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2\"/>
    </mc:Choice>
  </mc:AlternateContent>
  <xr:revisionPtr revIDLastSave="0" documentId="13_ncr:1_{16D2A234-A5C9-4362-B1DD-0ECA5D2B41D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headspace to dissolved calc" sheetId="70" r:id="rId1"/>
    <sheet name="summary CH4" sheetId="58" r:id="rId2"/>
    <sheet name="summary CO2" sheetId="59" r:id="rId3"/>
    <sheet name="MDL 29apr15" sheetId="56" r:id="rId4"/>
    <sheet name="MDL 10aug16" sheetId="64" r:id="rId5"/>
    <sheet name="MDL 13jul17" sheetId="52" r:id="rId6"/>
    <sheet name="MDL 15aug18" sheetId="57" r:id="rId7"/>
    <sheet name="MDL 16may19" sheetId="63" r:id="rId8"/>
    <sheet name="MDL 26jun19" sheetId="51" r:id="rId9"/>
    <sheet name="MDL 03feb22" sheetId="66" r:id="rId10"/>
    <sheet name="rolling 2015" sheetId="71" r:id="rId11"/>
    <sheet name="rolling 2016" sheetId="55" r:id="rId12"/>
    <sheet name="rolling 2017" sheetId="53" r:id="rId13"/>
    <sheet name="rolling 2018" sheetId="65" r:id="rId14"/>
    <sheet name="rolling 2019" sheetId="60" r:id="rId15"/>
    <sheet name="rolling 2020" sheetId="67" r:id="rId16"/>
    <sheet name="rolling 2021" sheetId="68" r:id="rId17"/>
    <sheet name="rolling 2022" sheetId="69" r:id="rId18"/>
  </sheets>
  <definedNames>
    <definedName name="BRN02jul19FID" localSheetId="9">'MDL 03feb22'!#REF!</definedName>
    <definedName name="BRN02jul19FID" localSheetId="8">'MDL 26jun19'!#REF!</definedName>
    <definedName name="BRN02jul19TCD" localSheetId="9">'MDL 03feb22'!#REF!</definedName>
    <definedName name="BRN02jul19TCD" localSheetId="8">'MDL 26jun19'!#REF!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55" l="1"/>
  <c r="O2" i="55"/>
  <c r="N2" i="55"/>
  <c r="P2" i="55"/>
  <c r="AB2" i="55"/>
  <c r="X3" i="55"/>
  <c r="O3" i="55"/>
  <c r="N3" i="55"/>
  <c r="P3" i="55"/>
  <c r="AB3" i="55"/>
  <c r="X4" i="55"/>
  <c r="O4" i="55"/>
  <c r="N4" i="55"/>
  <c r="P4" i="55"/>
  <c r="AB4" i="55"/>
  <c r="X5" i="55"/>
  <c r="O5" i="55"/>
  <c r="N5" i="55"/>
  <c r="P5" i="55"/>
  <c r="AB5" i="55"/>
  <c r="X6" i="55"/>
  <c r="O6" i="55"/>
  <c r="N6" i="55"/>
  <c r="P6" i="55"/>
  <c r="AB6" i="55"/>
  <c r="X7" i="55"/>
  <c r="O7" i="55"/>
  <c r="N7" i="55"/>
  <c r="P7" i="55"/>
  <c r="AB7" i="55"/>
  <c r="X8" i="55"/>
  <c r="O8" i="55"/>
  <c r="N8" i="55"/>
  <c r="P8" i="55"/>
  <c r="AB8" i="55"/>
  <c r="X9" i="55"/>
  <c r="O9" i="55"/>
  <c r="N9" i="55"/>
  <c r="P9" i="55"/>
  <c r="AB9" i="55"/>
  <c r="X10" i="55"/>
  <c r="O10" i="55"/>
  <c r="N10" i="55"/>
  <c r="P10" i="55"/>
  <c r="AB10" i="55"/>
  <c r="X11" i="55"/>
  <c r="O11" i="55"/>
  <c r="N11" i="55"/>
  <c r="P11" i="55"/>
  <c r="AB11" i="55"/>
  <c r="X12" i="55"/>
  <c r="O12" i="55"/>
  <c r="N12" i="55"/>
  <c r="P12" i="55"/>
  <c r="AB12" i="55"/>
  <c r="X13" i="55"/>
  <c r="AB13" i="55"/>
  <c r="X14" i="55"/>
  <c r="AB14" i="55"/>
  <c r="X15" i="55"/>
  <c r="AB15" i="55"/>
  <c r="X16" i="55"/>
  <c r="O16" i="55"/>
  <c r="N16" i="55"/>
  <c r="P16" i="55"/>
  <c r="AB16" i="55"/>
  <c r="X17" i="55"/>
  <c r="O17" i="55"/>
  <c r="N17" i="55"/>
  <c r="P17" i="55"/>
  <c r="AB17" i="55"/>
  <c r="X18" i="55"/>
  <c r="O18" i="55"/>
  <c r="N18" i="55"/>
  <c r="P18" i="55"/>
  <c r="AB18" i="55"/>
  <c r="X19" i="55"/>
  <c r="O19" i="55"/>
  <c r="N19" i="55"/>
  <c r="P19" i="55"/>
  <c r="AB19" i="55"/>
  <c r="X20" i="55"/>
  <c r="O20" i="55"/>
  <c r="N20" i="55"/>
  <c r="P20" i="55"/>
  <c r="AB20" i="55"/>
  <c r="X21" i="55"/>
  <c r="O21" i="55"/>
  <c r="N21" i="55"/>
  <c r="P21" i="55"/>
  <c r="AB21" i="55"/>
  <c r="X22" i="55"/>
  <c r="O22" i="55"/>
  <c r="N22" i="55"/>
  <c r="P22" i="55"/>
  <c r="AB22" i="55"/>
  <c r="X23" i="55"/>
  <c r="O23" i="55"/>
  <c r="N23" i="55"/>
  <c r="P23" i="55"/>
  <c r="AB23" i="55"/>
  <c r="X24" i="55"/>
  <c r="O24" i="55"/>
  <c r="N24" i="55"/>
  <c r="P24" i="55"/>
  <c r="AB24" i="55"/>
  <c r="X25" i="55"/>
  <c r="O25" i="55"/>
  <c r="N25" i="55"/>
  <c r="P25" i="55"/>
  <c r="AB25" i="55"/>
  <c r="X26" i="55"/>
  <c r="O26" i="55"/>
  <c r="N26" i="55"/>
  <c r="P26" i="55"/>
  <c r="AB26" i="55"/>
  <c r="X27" i="55"/>
  <c r="O27" i="55"/>
  <c r="N27" i="55"/>
  <c r="P27" i="55"/>
  <c r="AB27" i="55"/>
  <c r="X28" i="55"/>
  <c r="O28" i="55"/>
  <c r="N28" i="55"/>
  <c r="P28" i="55"/>
  <c r="AB28" i="55"/>
  <c r="X29" i="55"/>
  <c r="O29" i="55"/>
  <c r="N29" i="55"/>
  <c r="P29" i="55"/>
  <c r="AB29" i="55"/>
  <c r="X30" i="55"/>
  <c r="O30" i="55"/>
  <c r="N30" i="55"/>
  <c r="P30" i="55"/>
  <c r="AB30" i="55"/>
  <c r="X31" i="55"/>
  <c r="O31" i="55"/>
  <c r="N31" i="55"/>
  <c r="P31" i="55"/>
  <c r="AB31" i="55"/>
  <c r="X32" i="55"/>
  <c r="O32" i="55"/>
  <c r="N32" i="55"/>
  <c r="P32" i="55"/>
  <c r="AB32" i="55"/>
  <c r="X33" i="55"/>
  <c r="O33" i="55"/>
  <c r="N33" i="55"/>
  <c r="P33" i="55"/>
  <c r="AB33" i="55"/>
  <c r="X34" i="55"/>
  <c r="O34" i="55"/>
  <c r="N34" i="55"/>
  <c r="P34" i="55"/>
  <c r="AB34" i="55"/>
  <c r="X35" i="55"/>
  <c r="O35" i="55"/>
  <c r="N35" i="55"/>
  <c r="P35" i="55"/>
  <c r="AB35" i="55"/>
  <c r="X36" i="55"/>
  <c r="O36" i="55"/>
  <c r="N36" i="55"/>
  <c r="P36" i="55"/>
  <c r="AB36" i="55"/>
  <c r="X37" i="55"/>
  <c r="O37" i="55"/>
  <c r="N37" i="55"/>
  <c r="P37" i="55"/>
  <c r="AB37" i="55"/>
  <c r="X38" i="55"/>
  <c r="O38" i="55"/>
  <c r="N38" i="55"/>
  <c r="P38" i="55"/>
  <c r="AB38" i="55"/>
  <c r="X39" i="55"/>
  <c r="O39" i="55"/>
  <c r="N39" i="55"/>
  <c r="P39" i="55"/>
  <c r="AB39" i="55"/>
  <c r="X40" i="55"/>
  <c r="O40" i="55"/>
  <c r="N40" i="55"/>
  <c r="P40" i="55"/>
  <c r="AB40" i="55"/>
  <c r="X41" i="55"/>
  <c r="O41" i="55"/>
  <c r="N41" i="55"/>
  <c r="P41" i="55"/>
  <c r="AB41" i="55"/>
  <c r="X42" i="55"/>
  <c r="O42" i="55"/>
  <c r="N42" i="55"/>
  <c r="P42" i="55"/>
  <c r="AB42" i="55"/>
  <c r="X43" i="55"/>
  <c r="O43" i="55"/>
  <c r="N43" i="55"/>
  <c r="P43" i="55"/>
  <c r="AB43" i="55"/>
  <c r="X44" i="55"/>
  <c r="O44" i="55"/>
  <c r="N44" i="55"/>
  <c r="P44" i="55"/>
  <c r="AB44" i="55"/>
  <c r="X45" i="55"/>
  <c r="O45" i="55"/>
  <c r="N45" i="55"/>
  <c r="P45" i="55"/>
  <c r="AB45" i="55"/>
  <c r="X46" i="55"/>
  <c r="O46" i="55"/>
  <c r="N46" i="55"/>
  <c r="P46" i="55"/>
  <c r="AB46" i="55"/>
  <c r="X47" i="55"/>
  <c r="O47" i="55"/>
  <c r="N47" i="55"/>
  <c r="P47" i="55"/>
  <c r="AB47" i="55"/>
  <c r="X48" i="55"/>
  <c r="O48" i="55"/>
  <c r="N48" i="55"/>
  <c r="P48" i="55"/>
  <c r="AB48" i="55"/>
  <c r="X49" i="55"/>
  <c r="O49" i="55"/>
  <c r="N49" i="55"/>
  <c r="P49" i="55"/>
  <c r="AB49" i="55"/>
  <c r="X50" i="55"/>
  <c r="O50" i="55"/>
  <c r="N50" i="55"/>
  <c r="P50" i="55"/>
  <c r="AB50" i="55"/>
  <c r="X51" i="55"/>
  <c r="O51" i="55"/>
  <c r="N51" i="55"/>
  <c r="P51" i="55"/>
  <c r="AB51" i="55"/>
  <c r="X52" i="55"/>
  <c r="O52" i="55"/>
  <c r="N52" i="55"/>
  <c r="P52" i="55"/>
  <c r="AB52" i="55"/>
  <c r="X53" i="55"/>
  <c r="O53" i="55"/>
  <c r="N53" i="55"/>
  <c r="P53" i="55"/>
  <c r="AB53" i="55"/>
  <c r="X54" i="55"/>
  <c r="O54" i="55"/>
  <c r="N54" i="55"/>
  <c r="P54" i="55"/>
  <c r="AB54" i="55"/>
  <c r="X55" i="55"/>
  <c r="O55" i="55"/>
  <c r="N55" i="55"/>
  <c r="P55" i="55"/>
  <c r="AB55" i="55"/>
  <c r="X56" i="55"/>
  <c r="O56" i="55"/>
  <c r="N56" i="55"/>
  <c r="P56" i="55"/>
  <c r="AB56" i="55"/>
  <c r="X57" i="55"/>
  <c r="O57" i="55"/>
  <c r="N57" i="55"/>
  <c r="P57" i="55"/>
  <c r="AB57" i="55"/>
  <c r="X58" i="55"/>
  <c r="O58" i="55"/>
  <c r="N58" i="55"/>
  <c r="P58" i="55"/>
  <c r="AB58" i="55"/>
  <c r="X59" i="55"/>
  <c r="O59" i="55"/>
  <c r="N59" i="55"/>
  <c r="P59" i="55"/>
  <c r="AB59" i="55"/>
  <c r="X60" i="55"/>
  <c r="O60" i="55"/>
  <c r="N60" i="55"/>
  <c r="P60" i="55"/>
  <c r="AB60" i="55"/>
  <c r="X61" i="55"/>
  <c r="O61" i="55"/>
  <c r="N61" i="55"/>
  <c r="P61" i="55"/>
  <c r="AB61" i="55"/>
  <c r="X62" i="55"/>
  <c r="O62" i="55"/>
  <c r="N62" i="55"/>
  <c r="P62" i="55"/>
  <c r="AB62" i="55"/>
  <c r="X63" i="55"/>
  <c r="O63" i="55"/>
  <c r="N63" i="55"/>
  <c r="P63" i="55"/>
  <c r="AB63" i="55"/>
  <c r="X64" i="55"/>
  <c r="O64" i="55"/>
  <c r="N64" i="55"/>
  <c r="P64" i="55"/>
  <c r="AB64" i="55"/>
  <c r="X65" i="55"/>
  <c r="O65" i="55"/>
  <c r="N65" i="55"/>
  <c r="P65" i="55"/>
  <c r="AB65" i="55"/>
  <c r="X66" i="55"/>
  <c r="O66" i="55"/>
  <c r="N66" i="55"/>
  <c r="P66" i="55"/>
  <c r="AB66" i="55"/>
  <c r="X67" i="55"/>
  <c r="O67" i="55"/>
  <c r="N67" i="55"/>
  <c r="P67" i="55"/>
  <c r="AB67" i="55"/>
  <c r="X68" i="55"/>
  <c r="O68" i="55"/>
  <c r="N68" i="55"/>
  <c r="P68" i="55"/>
  <c r="AB68" i="55"/>
  <c r="X69" i="55"/>
  <c r="O69" i="55"/>
  <c r="N69" i="55"/>
  <c r="P69" i="55"/>
  <c r="AB69" i="55"/>
  <c r="X70" i="55"/>
  <c r="O70" i="55"/>
  <c r="N70" i="55"/>
  <c r="P70" i="55"/>
  <c r="AB70" i="55"/>
  <c r="AB78" i="55"/>
  <c r="AB83" i="55"/>
  <c r="AB80" i="55"/>
  <c r="AB81" i="55"/>
  <c r="AB82" i="55"/>
  <c r="AC3" i="71"/>
  <c r="AC4" i="71"/>
  <c r="AC5" i="71"/>
  <c r="AC6" i="71"/>
  <c r="AC7" i="71"/>
  <c r="AC8" i="71"/>
  <c r="AC9" i="71"/>
  <c r="AC10" i="71"/>
  <c r="AC11" i="71"/>
  <c r="AC12" i="71"/>
  <c r="AC13" i="71"/>
  <c r="AC14" i="71"/>
  <c r="AC15" i="71"/>
  <c r="AC16" i="71"/>
  <c r="AC17" i="71"/>
  <c r="AC18" i="71"/>
  <c r="AC19" i="71"/>
  <c r="AC20" i="71"/>
  <c r="AC21" i="71"/>
  <c r="AC22" i="71"/>
  <c r="AC23" i="71"/>
  <c r="AC24" i="71"/>
  <c r="AC25" i="71"/>
  <c r="AC26" i="71"/>
  <c r="AC27" i="71"/>
  <c r="AC28" i="71"/>
  <c r="AC29" i="71"/>
  <c r="AC30" i="71"/>
  <c r="AC31" i="71"/>
  <c r="AC32" i="71"/>
  <c r="AC33" i="71"/>
  <c r="AC34" i="71"/>
  <c r="AC35" i="71"/>
  <c r="AC36" i="71"/>
  <c r="AC37" i="71"/>
  <c r="AC38" i="71"/>
  <c r="AC39" i="71"/>
  <c r="AC40" i="71"/>
  <c r="AC41" i="71"/>
  <c r="AC42" i="71"/>
  <c r="AC43" i="71"/>
  <c r="AC44" i="71"/>
  <c r="AC45" i="71"/>
  <c r="AC46" i="71"/>
  <c r="AC47" i="71"/>
  <c r="AC48" i="71"/>
  <c r="AC49" i="71"/>
  <c r="AC50" i="71"/>
  <c r="AC51" i="71"/>
  <c r="AC52" i="71"/>
  <c r="AC53" i="71"/>
  <c r="AC54" i="71"/>
  <c r="AC55" i="71"/>
  <c r="AC56" i="71"/>
  <c r="AC57" i="71"/>
  <c r="AC58" i="71"/>
  <c r="AC59" i="71"/>
  <c r="AC60" i="71"/>
  <c r="AC61" i="71"/>
  <c r="AC62" i="71"/>
  <c r="AC63" i="71"/>
  <c r="AC64" i="71"/>
  <c r="AC65" i="71"/>
  <c r="AC66" i="71"/>
  <c r="AC67" i="71"/>
  <c r="AC68" i="71"/>
  <c r="AC69" i="71"/>
  <c r="AC70" i="71"/>
  <c r="AC71" i="71"/>
  <c r="AC72" i="71"/>
  <c r="AC73" i="71"/>
  <c r="AC74" i="71"/>
  <c r="AC75" i="71"/>
  <c r="AC76" i="71"/>
  <c r="AC77" i="71"/>
  <c r="AC78" i="71"/>
  <c r="AC79" i="71"/>
  <c r="AC80" i="71"/>
  <c r="AC81" i="71"/>
  <c r="AC82" i="71"/>
  <c r="AC83" i="71"/>
  <c r="AC84" i="71"/>
  <c r="AC85" i="71"/>
  <c r="AC86" i="71"/>
  <c r="AC87" i="71"/>
  <c r="AC88" i="71"/>
  <c r="AC89" i="71"/>
  <c r="AC90" i="71"/>
  <c r="AC91" i="71"/>
  <c r="AC92" i="71"/>
  <c r="AC93" i="71"/>
  <c r="AC94" i="71"/>
  <c r="AC95" i="71"/>
  <c r="AC96" i="71"/>
  <c r="AC97" i="71"/>
  <c r="AC98" i="71"/>
  <c r="AC99" i="71"/>
  <c r="AC100" i="71"/>
  <c r="AC101" i="71"/>
  <c r="AC102" i="71"/>
  <c r="AC103" i="71"/>
  <c r="AC104" i="71"/>
  <c r="AC105" i="71"/>
  <c r="AC106" i="71"/>
  <c r="AC107" i="71"/>
  <c r="AC108" i="71"/>
  <c r="AC109" i="71"/>
  <c r="AC110" i="71"/>
  <c r="AC111" i="71"/>
  <c r="AC112" i="71"/>
  <c r="AC113" i="71"/>
  <c r="AC114" i="71"/>
  <c r="AC115" i="71"/>
  <c r="AC116" i="71"/>
  <c r="AC117" i="71"/>
  <c r="AC118" i="71"/>
  <c r="AC119" i="71"/>
  <c r="AC120" i="71"/>
  <c r="AC121" i="71"/>
  <c r="AC122" i="71"/>
  <c r="AC123" i="71"/>
  <c r="AC124" i="71"/>
  <c r="AC125" i="71"/>
  <c r="AC126" i="71"/>
  <c r="AC127" i="71"/>
  <c r="AC128" i="71"/>
  <c r="AC129" i="71"/>
  <c r="AC130" i="71"/>
  <c r="AC131" i="71"/>
  <c r="AC132" i="71"/>
  <c r="AC133" i="71"/>
  <c r="AC134" i="71"/>
  <c r="AC144" i="71"/>
  <c r="X3" i="71"/>
  <c r="X4" i="71"/>
  <c r="X5" i="71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19" i="71"/>
  <c r="X20" i="71"/>
  <c r="X21" i="71"/>
  <c r="X22" i="71"/>
  <c r="X23" i="71"/>
  <c r="X24" i="71"/>
  <c r="X25" i="71"/>
  <c r="X26" i="71"/>
  <c r="X27" i="71"/>
  <c r="X28" i="71"/>
  <c r="X29" i="71"/>
  <c r="X30" i="71"/>
  <c r="X31" i="71"/>
  <c r="X32" i="71"/>
  <c r="X33" i="71"/>
  <c r="X34" i="71"/>
  <c r="X35" i="71"/>
  <c r="X36" i="71"/>
  <c r="X37" i="71"/>
  <c r="X38" i="71"/>
  <c r="X39" i="71"/>
  <c r="X40" i="71"/>
  <c r="X41" i="71"/>
  <c r="X42" i="71"/>
  <c r="X43" i="71"/>
  <c r="X44" i="71"/>
  <c r="X45" i="71"/>
  <c r="X46" i="71"/>
  <c r="X47" i="71"/>
  <c r="X48" i="71"/>
  <c r="X49" i="71"/>
  <c r="X50" i="71"/>
  <c r="X51" i="71"/>
  <c r="X52" i="71"/>
  <c r="X53" i="71"/>
  <c r="X54" i="71"/>
  <c r="X55" i="71"/>
  <c r="X56" i="71"/>
  <c r="X57" i="71"/>
  <c r="X58" i="71"/>
  <c r="X59" i="71"/>
  <c r="X60" i="71"/>
  <c r="X61" i="71"/>
  <c r="X62" i="71"/>
  <c r="X63" i="71"/>
  <c r="X64" i="71"/>
  <c r="X65" i="71"/>
  <c r="X66" i="71"/>
  <c r="X67" i="71"/>
  <c r="X68" i="71"/>
  <c r="X69" i="71"/>
  <c r="X70" i="71"/>
  <c r="X71" i="71"/>
  <c r="X72" i="71"/>
  <c r="X73" i="71"/>
  <c r="X74" i="71"/>
  <c r="X75" i="71"/>
  <c r="X76" i="71"/>
  <c r="X77" i="71"/>
  <c r="X78" i="71"/>
  <c r="X79" i="71"/>
  <c r="X80" i="71"/>
  <c r="X81" i="71"/>
  <c r="X82" i="71"/>
  <c r="X83" i="71"/>
  <c r="X84" i="71"/>
  <c r="X85" i="71"/>
  <c r="X86" i="71"/>
  <c r="X87" i="71"/>
  <c r="X88" i="71"/>
  <c r="X89" i="71"/>
  <c r="X90" i="71"/>
  <c r="X91" i="71"/>
  <c r="X92" i="71"/>
  <c r="X93" i="71"/>
  <c r="X94" i="71"/>
  <c r="X95" i="71"/>
  <c r="X96" i="71"/>
  <c r="X97" i="71"/>
  <c r="X98" i="71"/>
  <c r="X99" i="71"/>
  <c r="X100" i="71"/>
  <c r="X101" i="71"/>
  <c r="X102" i="71"/>
  <c r="X103" i="71"/>
  <c r="X104" i="71"/>
  <c r="X105" i="71"/>
  <c r="X106" i="71"/>
  <c r="X107" i="71"/>
  <c r="X108" i="71"/>
  <c r="X109" i="71"/>
  <c r="X110" i="71"/>
  <c r="X111" i="71"/>
  <c r="X112" i="71"/>
  <c r="X113" i="71"/>
  <c r="X114" i="71"/>
  <c r="X115" i="71"/>
  <c r="X116" i="71"/>
  <c r="X117" i="71"/>
  <c r="X118" i="71"/>
  <c r="X119" i="71"/>
  <c r="X120" i="71"/>
  <c r="X121" i="71"/>
  <c r="X122" i="71"/>
  <c r="X123" i="71"/>
  <c r="X124" i="71"/>
  <c r="X125" i="71"/>
  <c r="X126" i="71"/>
  <c r="X127" i="71"/>
  <c r="X128" i="71"/>
  <c r="X129" i="71"/>
  <c r="X130" i="71"/>
  <c r="X131" i="71"/>
  <c r="X132" i="71"/>
  <c r="X133" i="71"/>
  <c r="X134" i="71"/>
  <c r="X144" i="71"/>
  <c r="Y3" i="71"/>
  <c r="Y4" i="71"/>
  <c r="Y5" i="71"/>
  <c r="Y6" i="71"/>
  <c r="Y7" i="71"/>
  <c r="Y8" i="71"/>
  <c r="Y9" i="71"/>
  <c r="Y10" i="71"/>
  <c r="Y11" i="71"/>
  <c r="Y12" i="71"/>
  <c r="Y13" i="71"/>
  <c r="Y14" i="71"/>
  <c r="Y15" i="71"/>
  <c r="Y16" i="71"/>
  <c r="Y17" i="71"/>
  <c r="Y18" i="71"/>
  <c r="Y19" i="71"/>
  <c r="Y20" i="71"/>
  <c r="Y21" i="71"/>
  <c r="Y22" i="71"/>
  <c r="Y23" i="71"/>
  <c r="Y24" i="71"/>
  <c r="Y25" i="71"/>
  <c r="Y26" i="71"/>
  <c r="Y27" i="71"/>
  <c r="Y28" i="71"/>
  <c r="Y29" i="71"/>
  <c r="Y30" i="71"/>
  <c r="Y31" i="71"/>
  <c r="Y32" i="71"/>
  <c r="Y33" i="71"/>
  <c r="Y34" i="71"/>
  <c r="Y35" i="71"/>
  <c r="Y36" i="71"/>
  <c r="Y37" i="71"/>
  <c r="Y38" i="71"/>
  <c r="Y39" i="71"/>
  <c r="Y40" i="71"/>
  <c r="Y41" i="71"/>
  <c r="Y42" i="71"/>
  <c r="Y43" i="71"/>
  <c r="Y44" i="71"/>
  <c r="Y45" i="71"/>
  <c r="Y46" i="71"/>
  <c r="Y47" i="71"/>
  <c r="Y48" i="71"/>
  <c r="Y49" i="71"/>
  <c r="Y50" i="71"/>
  <c r="Y51" i="71"/>
  <c r="Y52" i="71"/>
  <c r="Y53" i="71"/>
  <c r="Y54" i="71"/>
  <c r="Y55" i="71"/>
  <c r="Y56" i="71"/>
  <c r="Y57" i="71"/>
  <c r="Y58" i="71"/>
  <c r="Y59" i="71"/>
  <c r="Y60" i="71"/>
  <c r="Y61" i="71"/>
  <c r="Y62" i="71"/>
  <c r="Y63" i="71"/>
  <c r="Y64" i="71"/>
  <c r="Y65" i="71"/>
  <c r="Y66" i="71"/>
  <c r="Y67" i="71"/>
  <c r="Y68" i="71"/>
  <c r="Y69" i="71"/>
  <c r="Y70" i="71"/>
  <c r="Y71" i="71"/>
  <c r="Y72" i="71"/>
  <c r="Y73" i="71"/>
  <c r="Y74" i="71"/>
  <c r="Y75" i="71"/>
  <c r="Y76" i="71"/>
  <c r="Y77" i="71"/>
  <c r="Y78" i="71"/>
  <c r="Y79" i="71"/>
  <c r="Y80" i="71"/>
  <c r="Y81" i="71"/>
  <c r="Y82" i="71"/>
  <c r="Y83" i="71"/>
  <c r="Y84" i="71"/>
  <c r="Y85" i="71"/>
  <c r="Y86" i="71"/>
  <c r="Y87" i="71"/>
  <c r="Y88" i="71"/>
  <c r="Y89" i="71"/>
  <c r="Y90" i="71"/>
  <c r="Y91" i="71"/>
  <c r="Y92" i="71"/>
  <c r="Y93" i="71"/>
  <c r="Y94" i="71"/>
  <c r="Y95" i="71"/>
  <c r="Y96" i="71"/>
  <c r="Y97" i="71"/>
  <c r="Y98" i="71"/>
  <c r="Y99" i="71"/>
  <c r="Y100" i="71"/>
  <c r="Y101" i="71"/>
  <c r="Y102" i="71"/>
  <c r="Y103" i="71"/>
  <c r="Y104" i="71"/>
  <c r="Y105" i="71"/>
  <c r="Y106" i="71"/>
  <c r="Y107" i="71"/>
  <c r="Y108" i="71"/>
  <c r="Y109" i="71"/>
  <c r="Y110" i="71"/>
  <c r="Y111" i="71"/>
  <c r="Y112" i="71"/>
  <c r="Y113" i="71"/>
  <c r="Y114" i="71"/>
  <c r="Y115" i="71"/>
  <c r="Y116" i="71"/>
  <c r="Y117" i="71"/>
  <c r="Y118" i="71"/>
  <c r="Y119" i="71"/>
  <c r="Y120" i="71"/>
  <c r="Y121" i="71"/>
  <c r="Y122" i="71"/>
  <c r="Y123" i="71"/>
  <c r="Y124" i="71"/>
  <c r="Y125" i="71"/>
  <c r="Y126" i="71"/>
  <c r="Y127" i="71"/>
  <c r="Y128" i="71"/>
  <c r="Y129" i="71"/>
  <c r="Y130" i="71"/>
  <c r="Y131" i="71"/>
  <c r="Y132" i="71"/>
  <c r="Y133" i="71"/>
  <c r="Y134" i="71"/>
  <c r="Y144" i="71"/>
  <c r="AA3" i="71"/>
  <c r="AA4" i="71"/>
  <c r="AA5" i="71"/>
  <c r="AA6" i="71"/>
  <c r="AA7" i="71"/>
  <c r="AA8" i="71"/>
  <c r="AA9" i="71"/>
  <c r="AA10" i="71"/>
  <c r="AA11" i="71"/>
  <c r="AA12" i="71"/>
  <c r="AA13" i="71"/>
  <c r="AA14" i="71"/>
  <c r="AA15" i="71"/>
  <c r="AA16" i="71"/>
  <c r="AA17" i="71"/>
  <c r="AA18" i="71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44" i="71"/>
  <c r="AB3" i="71"/>
  <c r="AB4" i="71"/>
  <c r="AB5" i="71"/>
  <c r="AB6" i="71"/>
  <c r="AB7" i="71"/>
  <c r="AB8" i="71"/>
  <c r="AB9" i="71"/>
  <c r="AB10" i="71"/>
  <c r="AB11" i="71"/>
  <c r="AB12" i="71"/>
  <c r="AB13" i="71"/>
  <c r="AB14" i="71"/>
  <c r="AB15" i="71"/>
  <c r="AB16" i="71"/>
  <c r="AB17" i="71"/>
  <c r="AB18" i="71"/>
  <c r="AB19" i="71"/>
  <c r="AB20" i="71"/>
  <c r="AB21" i="71"/>
  <c r="AB22" i="71"/>
  <c r="AB23" i="71"/>
  <c r="AB24" i="71"/>
  <c r="AB25" i="71"/>
  <c r="AB26" i="71"/>
  <c r="AB27" i="71"/>
  <c r="AB28" i="71"/>
  <c r="AB29" i="71"/>
  <c r="AB30" i="71"/>
  <c r="AB31" i="71"/>
  <c r="AB32" i="71"/>
  <c r="AB33" i="71"/>
  <c r="AB34" i="71"/>
  <c r="AB35" i="71"/>
  <c r="AB36" i="71"/>
  <c r="AB37" i="71"/>
  <c r="AB38" i="71"/>
  <c r="AB39" i="71"/>
  <c r="AB40" i="71"/>
  <c r="AB41" i="71"/>
  <c r="AB42" i="71"/>
  <c r="AB43" i="71"/>
  <c r="AB44" i="71"/>
  <c r="AB45" i="71"/>
  <c r="AB46" i="71"/>
  <c r="AB47" i="71"/>
  <c r="AB48" i="71"/>
  <c r="AB49" i="71"/>
  <c r="AB50" i="71"/>
  <c r="AB51" i="71"/>
  <c r="AB52" i="71"/>
  <c r="AB53" i="71"/>
  <c r="AB54" i="71"/>
  <c r="AB55" i="71"/>
  <c r="AB56" i="71"/>
  <c r="AB57" i="71"/>
  <c r="AB58" i="71"/>
  <c r="AB59" i="71"/>
  <c r="AB60" i="71"/>
  <c r="AB61" i="71"/>
  <c r="AB62" i="71"/>
  <c r="AB63" i="71"/>
  <c r="AB64" i="71"/>
  <c r="AB65" i="71"/>
  <c r="AB66" i="71"/>
  <c r="AB67" i="71"/>
  <c r="AB68" i="71"/>
  <c r="AB69" i="71"/>
  <c r="AB70" i="71"/>
  <c r="AB71" i="71"/>
  <c r="AB72" i="71"/>
  <c r="AB73" i="71"/>
  <c r="AB74" i="71"/>
  <c r="AB75" i="71"/>
  <c r="AB76" i="71"/>
  <c r="AB77" i="71"/>
  <c r="AB78" i="71"/>
  <c r="AB79" i="71"/>
  <c r="AB80" i="71"/>
  <c r="AB81" i="71"/>
  <c r="AB82" i="71"/>
  <c r="AB83" i="71"/>
  <c r="AB84" i="71"/>
  <c r="AB85" i="71"/>
  <c r="AB86" i="71"/>
  <c r="AB87" i="71"/>
  <c r="AB88" i="71"/>
  <c r="AB89" i="71"/>
  <c r="AB90" i="71"/>
  <c r="AB91" i="71"/>
  <c r="AB92" i="71"/>
  <c r="AB93" i="71"/>
  <c r="AB94" i="71"/>
  <c r="AB95" i="71"/>
  <c r="AB96" i="71"/>
  <c r="AB97" i="71"/>
  <c r="AB98" i="71"/>
  <c r="AB99" i="71"/>
  <c r="AB100" i="71"/>
  <c r="AB101" i="71"/>
  <c r="AB102" i="71"/>
  <c r="AB103" i="71"/>
  <c r="AB104" i="71"/>
  <c r="AB105" i="71"/>
  <c r="AB106" i="71"/>
  <c r="AB107" i="71"/>
  <c r="AB108" i="71"/>
  <c r="AB109" i="71"/>
  <c r="AB110" i="71"/>
  <c r="AB111" i="71"/>
  <c r="AB112" i="71"/>
  <c r="AB113" i="71"/>
  <c r="AB114" i="71"/>
  <c r="AB115" i="71"/>
  <c r="AB116" i="71"/>
  <c r="AB117" i="71"/>
  <c r="AB118" i="71"/>
  <c r="AB119" i="71"/>
  <c r="AB120" i="71"/>
  <c r="AB121" i="71"/>
  <c r="AB122" i="71"/>
  <c r="AB123" i="71"/>
  <c r="AB124" i="71"/>
  <c r="AB125" i="71"/>
  <c r="AB126" i="71"/>
  <c r="AB127" i="71"/>
  <c r="AB128" i="71"/>
  <c r="AB129" i="71"/>
  <c r="AB130" i="71"/>
  <c r="AB131" i="71"/>
  <c r="AB132" i="71"/>
  <c r="AB133" i="71"/>
  <c r="AB134" i="71"/>
  <c r="AB144" i="71"/>
  <c r="Z3" i="71"/>
  <c r="Z4" i="71"/>
  <c r="Z5" i="71"/>
  <c r="Z6" i="71"/>
  <c r="Z7" i="71"/>
  <c r="Z8" i="71"/>
  <c r="Z9" i="71"/>
  <c r="Z10" i="71"/>
  <c r="Z11" i="71"/>
  <c r="Z12" i="71"/>
  <c r="Z13" i="71"/>
  <c r="Z14" i="71"/>
  <c r="Z15" i="71"/>
  <c r="Z16" i="71"/>
  <c r="Z17" i="71"/>
  <c r="Z18" i="71"/>
  <c r="Z19" i="71"/>
  <c r="Z20" i="71"/>
  <c r="Z21" i="71"/>
  <c r="Z22" i="71"/>
  <c r="Z23" i="71"/>
  <c r="Z24" i="71"/>
  <c r="Z25" i="71"/>
  <c r="Z26" i="71"/>
  <c r="Z27" i="71"/>
  <c r="Z28" i="71"/>
  <c r="Z29" i="71"/>
  <c r="Z30" i="71"/>
  <c r="Z31" i="71"/>
  <c r="Z32" i="71"/>
  <c r="Z33" i="71"/>
  <c r="Z34" i="71"/>
  <c r="Z35" i="71"/>
  <c r="Z36" i="71"/>
  <c r="Z37" i="71"/>
  <c r="Z38" i="71"/>
  <c r="Z39" i="71"/>
  <c r="Z40" i="71"/>
  <c r="Z41" i="71"/>
  <c r="Z42" i="71"/>
  <c r="Z43" i="71"/>
  <c r="Z44" i="71"/>
  <c r="Z45" i="71"/>
  <c r="Z46" i="71"/>
  <c r="Z47" i="71"/>
  <c r="Z48" i="71"/>
  <c r="Z49" i="71"/>
  <c r="Z50" i="71"/>
  <c r="Z51" i="71"/>
  <c r="Z52" i="71"/>
  <c r="Z53" i="71"/>
  <c r="Z54" i="71"/>
  <c r="Z55" i="71"/>
  <c r="Z56" i="71"/>
  <c r="Z57" i="71"/>
  <c r="Z58" i="71"/>
  <c r="Z59" i="71"/>
  <c r="Z60" i="71"/>
  <c r="Z61" i="71"/>
  <c r="Z62" i="71"/>
  <c r="Z63" i="71"/>
  <c r="Z64" i="71"/>
  <c r="Z65" i="71"/>
  <c r="Z66" i="71"/>
  <c r="Z67" i="71"/>
  <c r="Z68" i="71"/>
  <c r="Z69" i="71"/>
  <c r="Z70" i="71"/>
  <c r="Z71" i="71"/>
  <c r="Z72" i="71"/>
  <c r="Z73" i="71"/>
  <c r="Z74" i="71"/>
  <c r="Z75" i="71"/>
  <c r="Z76" i="71"/>
  <c r="Z77" i="71"/>
  <c r="Z78" i="71"/>
  <c r="Z79" i="71"/>
  <c r="Z80" i="71"/>
  <c r="Z81" i="71"/>
  <c r="Z82" i="71"/>
  <c r="Z83" i="71"/>
  <c r="Z84" i="71"/>
  <c r="Z85" i="71"/>
  <c r="Z86" i="71"/>
  <c r="Z87" i="71"/>
  <c r="Z88" i="71"/>
  <c r="Z89" i="71"/>
  <c r="Z90" i="71"/>
  <c r="Z91" i="71"/>
  <c r="Z92" i="71"/>
  <c r="Z93" i="71"/>
  <c r="Z94" i="71"/>
  <c r="Z95" i="71"/>
  <c r="Z96" i="71"/>
  <c r="Z97" i="71"/>
  <c r="Z98" i="71"/>
  <c r="Z99" i="71"/>
  <c r="Z100" i="71"/>
  <c r="Z101" i="71"/>
  <c r="Z102" i="71"/>
  <c r="Z103" i="71"/>
  <c r="Z104" i="71"/>
  <c r="Z105" i="71"/>
  <c r="Z106" i="71"/>
  <c r="Z107" i="71"/>
  <c r="Z108" i="71"/>
  <c r="Z109" i="71"/>
  <c r="Z110" i="71"/>
  <c r="Z111" i="71"/>
  <c r="Z112" i="71"/>
  <c r="Z113" i="71"/>
  <c r="Z114" i="71"/>
  <c r="Z115" i="71"/>
  <c r="Z116" i="71"/>
  <c r="Z117" i="71"/>
  <c r="Z118" i="71"/>
  <c r="Z119" i="71"/>
  <c r="Z120" i="71"/>
  <c r="Z121" i="71"/>
  <c r="Z122" i="71"/>
  <c r="Z123" i="71"/>
  <c r="Z124" i="71"/>
  <c r="Z125" i="71"/>
  <c r="Z126" i="71"/>
  <c r="Z127" i="71"/>
  <c r="Z128" i="71"/>
  <c r="Z129" i="71"/>
  <c r="Z130" i="71"/>
  <c r="Z131" i="71"/>
  <c r="Z132" i="71"/>
  <c r="Z133" i="71"/>
  <c r="Z134" i="71"/>
  <c r="Z144" i="71"/>
  <c r="AE134" i="71"/>
  <c r="AD134" i="71"/>
  <c r="O134" i="71"/>
  <c r="N134" i="71"/>
  <c r="P134" i="71"/>
  <c r="AE133" i="71"/>
  <c r="AD133" i="71"/>
  <c r="O133" i="71"/>
  <c r="N133" i="71"/>
  <c r="P133" i="71"/>
  <c r="AE132" i="71"/>
  <c r="AD132" i="71"/>
  <c r="O132" i="71"/>
  <c r="N132" i="71"/>
  <c r="P132" i="71"/>
  <c r="AE131" i="71"/>
  <c r="AD131" i="71"/>
  <c r="O131" i="71"/>
  <c r="N131" i="71"/>
  <c r="P131" i="71"/>
  <c r="AE130" i="71"/>
  <c r="AD130" i="71"/>
  <c r="O130" i="71"/>
  <c r="N130" i="71"/>
  <c r="P130" i="71"/>
  <c r="AE129" i="71"/>
  <c r="AD129" i="71"/>
  <c r="O129" i="71"/>
  <c r="N129" i="71"/>
  <c r="P129" i="71"/>
  <c r="AE128" i="71"/>
  <c r="AD128" i="71"/>
  <c r="O128" i="71"/>
  <c r="N128" i="71"/>
  <c r="P128" i="71"/>
  <c r="AE127" i="71"/>
  <c r="AD127" i="71"/>
  <c r="O127" i="71"/>
  <c r="N127" i="71"/>
  <c r="P127" i="71"/>
  <c r="AE126" i="71"/>
  <c r="AD126" i="71"/>
  <c r="O126" i="71"/>
  <c r="N126" i="71"/>
  <c r="P126" i="71"/>
  <c r="AE125" i="71"/>
  <c r="AD125" i="71"/>
  <c r="O125" i="71"/>
  <c r="N125" i="71"/>
  <c r="P125" i="71"/>
  <c r="AE124" i="71"/>
  <c r="AD124" i="71"/>
  <c r="O124" i="71"/>
  <c r="N124" i="71"/>
  <c r="P124" i="71"/>
  <c r="AE123" i="71"/>
  <c r="AD123" i="71"/>
  <c r="O123" i="71"/>
  <c r="N123" i="71"/>
  <c r="P123" i="71"/>
  <c r="AE122" i="71"/>
  <c r="AD122" i="71"/>
  <c r="O122" i="71"/>
  <c r="N122" i="71"/>
  <c r="P122" i="71"/>
  <c r="AE121" i="71"/>
  <c r="AD121" i="71"/>
  <c r="O121" i="71"/>
  <c r="N121" i="71"/>
  <c r="P121" i="71"/>
  <c r="AE120" i="71"/>
  <c r="AD120" i="71"/>
  <c r="O120" i="71"/>
  <c r="N120" i="71"/>
  <c r="P120" i="71"/>
  <c r="AE119" i="71"/>
  <c r="AD119" i="71"/>
  <c r="O119" i="71"/>
  <c r="N119" i="71"/>
  <c r="P119" i="71"/>
  <c r="AE118" i="71"/>
  <c r="AD118" i="71"/>
  <c r="O118" i="71"/>
  <c r="N118" i="71"/>
  <c r="P118" i="71"/>
  <c r="AE117" i="71"/>
  <c r="AD117" i="71"/>
  <c r="O117" i="71"/>
  <c r="N117" i="71"/>
  <c r="P117" i="71"/>
  <c r="AE116" i="71"/>
  <c r="AD116" i="71"/>
  <c r="O116" i="71"/>
  <c r="N116" i="71"/>
  <c r="P116" i="71"/>
  <c r="AE115" i="71"/>
  <c r="AD115" i="71"/>
  <c r="O115" i="71"/>
  <c r="N115" i="71"/>
  <c r="P115" i="71"/>
  <c r="AE114" i="71"/>
  <c r="AD114" i="71"/>
  <c r="O114" i="71"/>
  <c r="N114" i="71"/>
  <c r="P114" i="71"/>
  <c r="AE113" i="71"/>
  <c r="AD113" i="71"/>
  <c r="O113" i="71"/>
  <c r="N113" i="71"/>
  <c r="P113" i="71"/>
  <c r="AE112" i="71"/>
  <c r="AD112" i="71"/>
  <c r="O112" i="71"/>
  <c r="N112" i="71"/>
  <c r="P112" i="71"/>
  <c r="AE111" i="71"/>
  <c r="AD111" i="71"/>
  <c r="O111" i="71"/>
  <c r="N111" i="71"/>
  <c r="P111" i="71"/>
  <c r="AE110" i="71"/>
  <c r="AD110" i="71"/>
  <c r="O110" i="71"/>
  <c r="N110" i="71"/>
  <c r="P110" i="71"/>
  <c r="AE109" i="71"/>
  <c r="AD109" i="71"/>
  <c r="U109" i="71"/>
  <c r="T109" i="71"/>
  <c r="O109" i="71"/>
  <c r="N109" i="71"/>
  <c r="P109" i="71"/>
  <c r="AE108" i="71"/>
  <c r="AD108" i="71"/>
  <c r="U108" i="71"/>
  <c r="T108" i="71"/>
  <c r="O108" i="71"/>
  <c r="N108" i="71"/>
  <c r="P108" i="71"/>
  <c r="AE107" i="71"/>
  <c r="AD107" i="71"/>
  <c r="U107" i="71"/>
  <c r="T107" i="71"/>
  <c r="O107" i="71"/>
  <c r="N107" i="71"/>
  <c r="P107" i="71"/>
  <c r="AE106" i="71"/>
  <c r="AD106" i="71"/>
  <c r="U106" i="71"/>
  <c r="T106" i="71"/>
  <c r="O106" i="71"/>
  <c r="N106" i="71"/>
  <c r="P106" i="71"/>
  <c r="AE105" i="71"/>
  <c r="AD105" i="71"/>
  <c r="U105" i="71"/>
  <c r="T105" i="71"/>
  <c r="O105" i="71"/>
  <c r="N105" i="71"/>
  <c r="P105" i="71"/>
  <c r="AE104" i="71"/>
  <c r="AD104" i="71"/>
  <c r="U104" i="71"/>
  <c r="T104" i="71"/>
  <c r="O104" i="71"/>
  <c r="N104" i="71"/>
  <c r="P104" i="71"/>
  <c r="AE103" i="71"/>
  <c r="AD103" i="71"/>
  <c r="U103" i="71"/>
  <c r="T103" i="71"/>
  <c r="O103" i="71"/>
  <c r="N103" i="71"/>
  <c r="P103" i="71"/>
  <c r="AE102" i="71"/>
  <c r="AD102" i="71"/>
  <c r="U102" i="71"/>
  <c r="T102" i="71"/>
  <c r="O102" i="71"/>
  <c r="N102" i="71"/>
  <c r="P102" i="71"/>
  <c r="AE101" i="71"/>
  <c r="AD101" i="71"/>
  <c r="U101" i="71"/>
  <c r="T101" i="71"/>
  <c r="O101" i="71"/>
  <c r="N101" i="71"/>
  <c r="P101" i="71"/>
  <c r="AE100" i="71"/>
  <c r="AD100" i="71"/>
  <c r="U100" i="71"/>
  <c r="T100" i="71"/>
  <c r="O100" i="71"/>
  <c r="N100" i="71"/>
  <c r="P100" i="71"/>
  <c r="AE99" i="71"/>
  <c r="AD99" i="71"/>
  <c r="U99" i="71"/>
  <c r="T99" i="71"/>
  <c r="O99" i="71"/>
  <c r="N99" i="71"/>
  <c r="P99" i="71"/>
  <c r="O98" i="71"/>
  <c r="N98" i="71"/>
  <c r="P98" i="71"/>
  <c r="O97" i="71"/>
  <c r="N97" i="71"/>
  <c r="P97" i="71"/>
  <c r="O96" i="71"/>
  <c r="N96" i="71"/>
  <c r="P96" i="71"/>
  <c r="O95" i="71"/>
  <c r="N95" i="71"/>
  <c r="P95" i="71"/>
  <c r="O94" i="71"/>
  <c r="N94" i="71"/>
  <c r="P94" i="71"/>
  <c r="O93" i="71"/>
  <c r="N93" i="71"/>
  <c r="P93" i="71"/>
  <c r="O92" i="71"/>
  <c r="N92" i="71"/>
  <c r="P92" i="71"/>
  <c r="O91" i="71"/>
  <c r="N91" i="71"/>
  <c r="P91" i="71"/>
  <c r="O90" i="71"/>
  <c r="N90" i="71"/>
  <c r="P90" i="71"/>
  <c r="O89" i="71"/>
  <c r="N89" i="71"/>
  <c r="P89" i="71"/>
  <c r="O88" i="71"/>
  <c r="N88" i="71"/>
  <c r="P88" i="71"/>
  <c r="O87" i="71"/>
  <c r="N87" i="71"/>
  <c r="P87" i="71"/>
  <c r="O86" i="71"/>
  <c r="N86" i="71"/>
  <c r="P86" i="71"/>
  <c r="O85" i="71"/>
  <c r="N85" i="71"/>
  <c r="P85" i="71"/>
  <c r="O84" i="71"/>
  <c r="N84" i="71"/>
  <c r="P84" i="71"/>
  <c r="O83" i="71"/>
  <c r="N83" i="71"/>
  <c r="P83" i="71"/>
  <c r="O82" i="71"/>
  <c r="N82" i="71"/>
  <c r="P82" i="71"/>
  <c r="O81" i="71"/>
  <c r="N81" i="71"/>
  <c r="P81" i="71"/>
  <c r="O80" i="71"/>
  <c r="N80" i="71"/>
  <c r="P80" i="71"/>
  <c r="O79" i="71"/>
  <c r="N79" i="71"/>
  <c r="P79" i="71"/>
  <c r="O78" i="71"/>
  <c r="N78" i="71"/>
  <c r="P78" i="71"/>
  <c r="O77" i="71"/>
  <c r="N77" i="71"/>
  <c r="P77" i="71"/>
  <c r="O76" i="71"/>
  <c r="N76" i="71"/>
  <c r="P76" i="71"/>
  <c r="O75" i="71"/>
  <c r="N75" i="71"/>
  <c r="P75" i="71"/>
  <c r="O74" i="71"/>
  <c r="N74" i="71"/>
  <c r="P74" i="71"/>
  <c r="O73" i="71"/>
  <c r="N73" i="71"/>
  <c r="P73" i="71"/>
  <c r="O72" i="71"/>
  <c r="N72" i="71"/>
  <c r="P72" i="71"/>
  <c r="O71" i="71"/>
  <c r="N71" i="71"/>
  <c r="P71" i="71"/>
  <c r="O70" i="71"/>
  <c r="N70" i="71"/>
  <c r="P70" i="71"/>
  <c r="O69" i="71"/>
  <c r="N69" i="71"/>
  <c r="P69" i="71"/>
  <c r="O68" i="71"/>
  <c r="N68" i="71"/>
  <c r="P68" i="71"/>
  <c r="O67" i="71"/>
  <c r="N67" i="71"/>
  <c r="P67" i="71"/>
  <c r="O66" i="71"/>
  <c r="N66" i="71"/>
  <c r="P66" i="71"/>
  <c r="O65" i="71"/>
  <c r="N65" i="71"/>
  <c r="P65" i="71"/>
  <c r="O64" i="71"/>
  <c r="N64" i="71"/>
  <c r="P64" i="71"/>
  <c r="O63" i="71"/>
  <c r="N63" i="71"/>
  <c r="P63" i="71"/>
  <c r="O62" i="71"/>
  <c r="N62" i="71"/>
  <c r="P62" i="71"/>
  <c r="O61" i="71"/>
  <c r="N61" i="71"/>
  <c r="P61" i="71"/>
  <c r="O60" i="71"/>
  <c r="N60" i="71"/>
  <c r="P60" i="71"/>
  <c r="O59" i="71"/>
  <c r="N59" i="71"/>
  <c r="P59" i="71"/>
  <c r="O58" i="71"/>
  <c r="N58" i="71"/>
  <c r="P58" i="71"/>
  <c r="O57" i="71"/>
  <c r="N57" i="71"/>
  <c r="P57" i="71"/>
  <c r="O56" i="71"/>
  <c r="N56" i="71"/>
  <c r="P56" i="71"/>
  <c r="O55" i="71"/>
  <c r="N55" i="71"/>
  <c r="P55" i="71"/>
  <c r="O54" i="71"/>
  <c r="N54" i="71"/>
  <c r="P54" i="71"/>
  <c r="O53" i="71"/>
  <c r="N53" i="71"/>
  <c r="P53" i="71"/>
  <c r="O52" i="71"/>
  <c r="N52" i="71"/>
  <c r="P52" i="71"/>
  <c r="O51" i="71"/>
  <c r="N51" i="71"/>
  <c r="P51" i="71"/>
  <c r="O50" i="71"/>
  <c r="N50" i="71"/>
  <c r="P50" i="71"/>
  <c r="O49" i="71"/>
  <c r="N49" i="71"/>
  <c r="P49" i="71"/>
  <c r="O48" i="71"/>
  <c r="N48" i="71"/>
  <c r="P48" i="71"/>
  <c r="O47" i="71"/>
  <c r="N47" i="71"/>
  <c r="P47" i="71"/>
  <c r="O46" i="71"/>
  <c r="N46" i="71"/>
  <c r="P46" i="71"/>
  <c r="O45" i="71"/>
  <c r="N45" i="71"/>
  <c r="P45" i="71"/>
  <c r="O44" i="71"/>
  <c r="N44" i="71"/>
  <c r="P44" i="71"/>
  <c r="O43" i="71"/>
  <c r="N43" i="71"/>
  <c r="P43" i="71"/>
  <c r="O42" i="71"/>
  <c r="N42" i="71"/>
  <c r="P42" i="71"/>
  <c r="O41" i="71"/>
  <c r="N41" i="71"/>
  <c r="P41" i="71"/>
  <c r="O40" i="71"/>
  <c r="N40" i="71"/>
  <c r="P40" i="71"/>
  <c r="O39" i="71"/>
  <c r="N39" i="71"/>
  <c r="P39" i="71"/>
  <c r="O38" i="71"/>
  <c r="N38" i="71"/>
  <c r="P38" i="71"/>
  <c r="O37" i="71"/>
  <c r="N37" i="71"/>
  <c r="P37" i="71"/>
  <c r="O36" i="71"/>
  <c r="N36" i="71"/>
  <c r="P36" i="71"/>
  <c r="O35" i="71"/>
  <c r="N35" i="71"/>
  <c r="P35" i="71"/>
  <c r="O34" i="71"/>
  <c r="N34" i="71"/>
  <c r="P34" i="71"/>
  <c r="O33" i="71"/>
  <c r="N33" i="71"/>
  <c r="P33" i="71"/>
  <c r="O32" i="71"/>
  <c r="N32" i="71"/>
  <c r="P32" i="71"/>
  <c r="O31" i="71"/>
  <c r="N31" i="71"/>
  <c r="P31" i="71"/>
  <c r="O30" i="71"/>
  <c r="N30" i="71"/>
  <c r="P30" i="71"/>
  <c r="O29" i="71"/>
  <c r="N29" i="71"/>
  <c r="P29" i="71"/>
  <c r="O28" i="71"/>
  <c r="N28" i="71"/>
  <c r="P28" i="71"/>
  <c r="O27" i="71"/>
  <c r="N27" i="71"/>
  <c r="P27" i="71"/>
  <c r="O26" i="71"/>
  <c r="N26" i="71"/>
  <c r="P26" i="71"/>
  <c r="O25" i="71"/>
  <c r="N25" i="71"/>
  <c r="P25" i="71"/>
  <c r="O24" i="71"/>
  <c r="N24" i="71"/>
  <c r="P24" i="71"/>
  <c r="AC156" i="71"/>
  <c r="AC157" i="71"/>
  <c r="AC158" i="71"/>
  <c r="AC159" i="71"/>
  <c r="AC160" i="71"/>
  <c r="AC161" i="71"/>
  <c r="AC162" i="71"/>
  <c r="AC163" i="71"/>
  <c r="AC164" i="71"/>
  <c r="AC165" i="71"/>
  <c r="AC166" i="71"/>
  <c r="AB163" i="71"/>
  <c r="AB164" i="71"/>
  <c r="AB157" i="71"/>
  <c r="AB156" i="71"/>
  <c r="AN145" i="71"/>
  <c r="AA157" i="71"/>
  <c r="AN144" i="71"/>
  <c r="AA156" i="71"/>
  <c r="AB166" i="71"/>
  <c r="AB165" i="71"/>
  <c r="AB162" i="71"/>
  <c r="AB161" i="71"/>
  <c r="AB160" i="71"/>
  <c r="AB159" i="71"/>
  <c r="AB158" i="71"/>
  <c r="Q5" i="71"/>
  <c r="P5" i="71"/>
  <c r="Q4" i="71"/>
  <c r="P4" i="71"/>
  <c r="Q3" i="71"/>
  <c r="P3" i="71"/>
  <c r="Q13" i="71"/>
  <c r="P13" i="71"/>
  <c r="Q12" i="71"/>
  <c r="P12" i="71"/>
  <c r="Q11" i="71"/>
  <c r="P11" i="71"/>
  <c r="Q10" i="71"/>
  <c r="P10" i="71"/>
  <c r="Q9" i="71"/>
  <c r="P9" i="71"/>
  <c r="Q8" i="71"/>
  <c r="P8" i="71"/>
  <c r="Q7" i="71"/>
  <c r="P7" i="71"/>
  <c r="Q6" i="71"/>
  <c r="P6" i="71"/>
  <c r="O14" i="71"/>
  <c r="N14" i="71"/>
  <c r="P14" i="71"/>
  <c r="P23" i="71"/>
  <c r="P22" i="71"/>
  <c r="P21" i="71"/>
  <c r="P20" i="71"/>
  <c r="P19" i="71"/>
  <c r="P18" i="71"/>
  <c r="P17" i="71"/>
  <c r="P16" i="71"/>
  <c r="O15" i="71"/>
  <c r="N15" i="71"/>
  <c r="P15" i="71"/>
  <c r="AC147" i="71"/>
  <c r="AC152" i="71"/>
  <c r="AB147" i="71"/>
  <c r="AB152" i="71"/>
  <c r="AC149" i="71"/>
  <c r="AC150" i="71"/>
  <c r="AC151" i="71"/>
  <c r="AB149" i="71"/>
  <c r="AB150" i="71"/>
  <c r="AB151" i="71"/>
  <c r="AC146" i="71"/>
  <c r="AC148" i="71"/>
  <c r="AB146" i="71"/>
  <c r="AB148" i="71"/>
  <c r="AA147" i="71"/>
  <c r="AA146" i="71"/>
  <c r="AA148" i="71"/>
  <c r="Z147" i="71"/>
  <c r="Z146" i="71"/>
  <c r="Z148" i="71"/>
  <c r="Y147" i="71"/>
  <c r="Y146" i="71"/>
  <c r="Y148" i="71"/>
  <c r="X147" i="71"/>
  <c r="X146" i="71"/>
  <c r="X148" i="71"/>
  <c r="K144" i="71"/>
  <c r="K145" i="71"/>
  <c r="M147" i="71"/>
  <c r="H144" i="71"/>
  <c r="H145" i="71"/>
  <c r="L147" i="71"/>
  <c r="K147" i="71"/>
  <c r="H147" i="71"/>
  <c r="M146" i="71"/>
  <c r="L146" i="71"/>
  <c r="K146" i="71"/>
  <c r="H146" i="71"/>
  <c r="AC145" i="71"/>
  <c r="AB145" i="71"/>
  <c r="AA145" i="71"/>
  <c r="Z145" i="71"/>
  <c r="Y145" i="71"/>
  <c r="X145" i="71"/>
  <c r="Y27" i="70"/>
  <c r="T27" i="70"/>
  <c r="Z27" i="70"/>
  <c r="W27" i="70"/>
  <c r="AK27" i="70"/>
  <c r="S27" i="70"/>
  <c r="AF27" i="70"/>
  <c r="Y26" i="70"/>
  <c r="T26" i="70"/>
  <c r="Z26" i="70"/>
  <c r="W26" i="70"/>
  <c r="AD26" i="70"/>
  <c r="AB26" i="70"/>
  <c r="S26" i="70"/>
  <c r="AF26" i="70"/>
  <c r="Y25" i="70"/>
  <c r="T25" i="70"/>
  <c r="Z25" i="70"/>
  <c r="W25" i="70"/>
  <c r="AK25" i="70"/>
  <c r="S25" i="70"/>
  <c r="AF25" i="70"/>
  <c r="Y24" i="70"/>
  <c r="T24" i="70"/>
  <c r="Z24" i="70"/>
  <c r="W24" i="70"/>
  <c r="AD24" i="70"/>
  <c r="AB24" i="70"/>
  <c r="S24" i="70"/>
  <c r="AF24" i="70"/>
  <c r="Y23" i="70"/>
  <c r="T23" i="70"/>
  <c r="Z23" i="70"/>
  <c r="W23" i="70"/>
  <c r="AK23" i="70"/>
  <c r="S23" i="70"/>
  <c r="AF23" i="70"/>
  <c r="Y22" i="70"/>
  <c r="Z22" i="70"/>
  <c r="W22" i="70"/>
  <c r="T22" i="70"/>
  <c r="AD22" i="70"/>
  <c r="AB22" i="70"/>
  <c r="S22" i="70"/>
  <c r="AF22" i="70"/>
  <c r="Y21" i="70"/>
  <c r="Z21" i="70"/>
  <c r="W21" i="70"/>
  <c r="T21" i="70"/>
  <c r="AK21" i="70"/>
  <c r="S21" i="70"/>
  <c r="AF21" i="70"/>
  <c r="Y20" i="70"/>
  <c r="Z20" i="70"/>
  <c r="W20" i="70"/>
  <c r="T20" i="70"/>
  <c r="AD20" i="70"/>
  <c r="AB20" i="70"/>
  <c r="S20" i="70"/>
  <c r="AF20" i="70"/>
  <c r="Y19" i="70"/>
  <c r="T19" i="70"/>
  <c r="Z19" i="70"/>
  <c r="W19" i="70"/>
  <c r="AK19" i="70"/>
  <c r="S19" i="70"/>
  <c r="AF19" i="70"/>
  <c r="Y18" i="70"/>
  <c r="T18" i="70"/>
  <c r="Z18" i="70"/>
  <c r="W18" i="70"/>
  <c r="AD18" i="70"/>
  <c r="AB18" i="70"/>
  <c r="S18" i="70"/>
  <c r="AF18" i="70"/>
  <c r="Y17" i="70"/>
  <c r="T17" i="70"/>
  <c r="Z17" i="70"/>
  <c r="W17" i="70"/>
  <c r="W1" i="70"/>
  <c r="AK17" i="70"/>
  <c r="S17" i="70"/>
  <c r="AF17" i="70"/>
  <c r="Y16" i="70"/>
  <c r="Z16" i="70"/>
  <c r="W16" i="70"/>
  <c r="T16" i="70"/>
  <c r="AD16" i="70"/>
  <c r="S16" i="70"/>
  <c r="AF16" i="70"/>
  <c r="Y15" i="70"/>
  <c r="Z15" i="70"/>
  <c r="W15" i="70"/>
  <c r="T15" i="70"/>
  <c r="AK15" i="70"/>
  <c r="S15" i="70"/>
  <c r="AF15" i="70"/>
  <c r="Y14" i="70"/>
  <c r="Z14" i="70"/>
  <c r="W14" i="70"/>
  <c r="T14" i="70"/>
  <c r="AD14" i="70"/>
  <c r="AB14" i="70"/>
  <c r="S14" i="70"/>
  <c r="AF14" i="70"/>
  <c r="Y13" i="70"/>
  <c r="Z13" i="70"/>
  <c r="W13" i="70"/>
  <c r="T13" i="70"/>
  <c r="AK13" i="70"/>
  <c r="S13" i="70"/>
  <c r="AF13" i="70"/>
  <c r="W12" i="70"/>
  <c r="T12" i="70"/>
  <c r="AD12" i="70"/>
  <c r="S12" i="70"/>
  <c r="AF12" i="70"/>
  <c r="AH3" i="70"/>
  <c r="AE3" i="70"/>
  <c r="AA3" i="70"/>
  <c r="X3" i="70"/>
  <c r="V3" i="70"/>
  <c r="U3" i="70"/>
  <c r="T3" i="70"/>
  <c r="S3" i="70"/>
  <c r="R3" i="70"/>
  <c r="J3" i="70"/>
  <c r="I3" i="70"/>
  <c r="AH2" i="70"/>
  <c r="AE2" i="70"/>
  <c r="AA2" i="70"/>
  <c r="Y2" i="70"/>
  <c r="X2" i="70"/>
  <c r="V2" i="70"/>
  <c r="U2" i="70"/>
  <c r="S2" i="70"/>
  <c r="R2" i="70"/>
  <c r="J2" i="70"/>
  <c r="I2" i="70"/>
  <c r="AH1" i="70"/>
  <c r="AE1" i="70"/>
  <c r="AA1" i="70"/>
  <c r="X1" i="70"/>
  <c r="V1" i="70"/>
  <c r="U1" i="70"/>
  <c r="S1" i="70"/>
  <c r="R1" i="70"/>
  <c r="J1" i="70"/>
  <c r="I1" i="70"/>
  <c r="B29" i="59"/>
  <c r="B23" i="59"/>
  <c r="AU270" i="69"/>
  <c r="AU275" i="69"/>
  <c r="AV270" i="69"/>
  <c r="AV275" i="69"/>
  <c r="AU271" i="69"/>
  <c r="AU272" i="69"/>
  <c r="AV271" i="69"/>
  <c r="AV279" i="69"/>
  <c r="AU274" i="69"/>
  <c r="AV274" i="69"/>
  <c r="AU277" i="69"/>
  <c r="AV277" i="69"/>
  <c r="AU278" i="69"/>
  <c r="AU279" i="69"/>
  <c r="AV278" i="69"/>
  <c r="AV280" i="69"/>
  <c r="AT277" i="69"/>
  <c r="AT271" i="69"/>
  <c r="AT270" i="69"/>
  <c r="AS271" i="69"/>
  <c r="AS270" i="69"/>
  <c r="H265" i="69"/>
  <c r="AJ263" i="69"/>
  <c r="AJ264" i="69"/>
  <c r="H263" i="69"/>
  <c r="AJ262" i="69"/>
  <c r="H262" i="69"/>
  <c r="AJ260" i="69"/>
  <c r="H260" i="69"/>
  <c r="AJ258" i="69"/>
  <c r="H257" i="69"/>
  <c r="AS256" i="69"/>
  <c r="AJ256" i="69"/>
  <c r="AJ265" i="69"/>
  <c r="H256" i="69"/>
  <c r="H264" i="69"/>
  <c r="AS255" i="69"/>
  <c r="AJ255" i="69"/>
  <c r="AJ261" i="69"/>
  <c r="H255" i="69"/>
  <c r="H258" i="69"/>
  <c r="BG243" i="69"/>
  <c r="BF243" i="69"/>
  <c r="BD243" i="69"/>
  <c r="BC243" i="69"/>
  <c r="BA243" i="69"/>
  <c r="AZ243" i="69"/>
  <c r="AX243" i="69"/>
  <c r="AW243" i="69"/>
  <c r="AV243" i="69"/>
  <c r="AU243" i="69"/>
  <c r="AT243" i="69"/>
  <c r="BG242" i="69"/>
  <c r="BF242" i="69"/>
  <c r="BD242" i="69"/>
  <c r="BC242" i="69"/>
  <c r="BA242" i="69"/>
  <c r="AZ242" i="69"/>
  <c r="AX242" i="69"/>
  <c r="AW242" i="69"/>
  <c r="AV242" i="69"/>
  <c r="AU242" i="69"/>
  <c r="AT242" i="69"/>
  <c r="BG241" i="69"/>
  <c r="BF241" i="69"/>
  <c r="BD241" i="69"/>
  <c r="BC241" i="69"/>
  <c r="BA241" i="69"/>
  <c r="AZ241" i="69"/>
  <c r="AX241" i="69"/>
  <c r="AW241" i="69"/>
  <c r="AU241" i="69"/>
  <c r="AT241" i="69"/>
  <c r="AV241" i="69"/>
  <c r="BG240" i="69"/>
  <c r="BF240" i="69"/>
  <c r="BD240" i="69"/>
  <c r="BC240" i="69"/>
  <c r="BA240" i="69"/>
  <c r="AZ240" i="69"/>
  <c r="AX240" i="69"/>
  <c r="AW240" i="69"/>
  <c r="AU240" i="69"/>
  <c r="AT240" i="69"/>
  <c r="AV240" i="69"/>
  <c r="BG239" i="69"/>
  <c r="BF239" i="69"/>
  <c r="BD239" i="69"/>
  <c r="BC239" i="69"/>
  <c r="BA239" i="69"/>
  <c r="AZ239" i="69"/>
  <c r="AX239" i="69"/>
  <c r="AW239" i="69"/>
  <c r="AV239" i="69"/>
  <c r="AU239" i="69"/>
  <c r="AT239" i="69"/>
  <c r="BG238" i="69"/>
  <c r="BF238" i="69"/>
  <c r="BD238" i="69"/>
  <c r="BC238" i="69"/>
  <c r="BA238" i="69"/>
  <c r="AZ238" i="69"/>
  <c r="AX238" i="69"/>
  <c r="AW238" i="69"/>
  <c r="AV238" i="69"/>
  <c r="AU238" i="69"/>
  <c r="AT238" i="69"/>
  <c r="BG237" i="69"/>
  <c r="BF237" i="69"/>
  <c r="BD237" i="69"/>
  <c r="BC237" i="69"/>
  <c r="BA237" i="69"/>
  <c r="AZ237" i="69"/>
  <c r="AX237" i="69"/>
  <c r="AW237" i="69"/>
  <c r="AU237" i="69"/>
  <c r="AT237" i="69"/>
  <c r="AV237" i="69"/>
  <c r="BG236" i="69"/>
  <c r="BF236" i="69"/>
  <c r="BD236" i="69"/>
  <c r="BC236" i="69"/>
  <c r="BA236" i="69"/>
  <c r="AZ236" i="69"/>
  <c r="AX236" i="69"/>
  <c r="AW236" i="69"/>
  <c r="AV236" i="69"/>
  <c r="AU236" i="69"/>
  <c r="AT236" i="69"/>
  <c r="BG235" i="69"/>
  <c r="BF235" i="69"/>
  <c r="BD235" i="69"/>
  <c r="BC235" i="69"/>
  <c r="BA235" i="69"/>
  <c r="AZ235" i="69"/>
  <c r="AX235" i="69"/>
  <c r="AW235" i="69"/>
  <c r="AV235" i="69"/>
  <c r="AU235" i="69"/>
  <c r="AT235" i="69"/>
  <c r="BG234" i="69"/>
  <c r="BF234" i="69"/>
  <c r="BD234" i="69"/>
  <c r="BC234" i="69"/>
  <c r="BA234" i="69"/>
  <c r="AZ234" i="69"/>
  <c r="AX234" i="69"/>
  <c r="AW234" i="69"/>
  <c r="AV234" i="69"/>
  <c r="AU234" i="69"/>
  <c r="AT234" i="69"/>
  <c r="BG233" i="69"/>
  <c r="BF233" i="69"/>
  <c r="BD233" i="69"/>
  <c r="BC233" i="69"/>
  <c r="BA233" i="69"/>
  <c r="AZ233" i="69"/>
  <c r="AX233" i="69"/>
  <c r="AW233" i="69"/>
  <c r="AU233" i="69"/>
  <c r="AT233" i="69"/>
  <c r="AV233" i="69"/>
  <c r="BG232" i="69"/>
  <c r="BF232" i="69"/>
  <c r="BD232" i="69"/>
  <c r="BC232" i="69"/>
  <c r="BA232" i="69"/>
  <c r="AZ232" i="69"/>
  <c r="AX232" i="69"/>
  <c r="AW232" i="69"/>
  <c r="AU232" i="69"/>
  <c r="AT232" i="69"/>
  <c r="AV232" i="69"/>
  <c r="BG231" i="69"/>
  <c r="BF231" i="69"/>
  <c r="BD231" i="69"/>
  <c r="BC231" i="69"/>
  <c r="BA231" i="69"/>
  <c r="AZ231" i="69"/>
  <c r="AX231" i="69"/>
  <c r="AW231" i="69"/>
  <c r="AV231" i="69"/>
  <c r="AU231" i="69"/>
  <c r="AT231" i="69"/>
  <c r="BG230" i="69"/>
  <c r="BF230" i="69"/>
  <c r="BD230" i="69"/>
  <c r="BC230" i="69"/>
  <c r="BA230" i="69"/>
  <c r="AZ230" i="69"/>
  <c r="AX230" i="69"/>
  <c r="AW230" i="69"/>
  <c r="AV230" i="69"/>
  <c r="AU230" i="69"/>
  <c r="AT230" i="69"/>
  <c r="BG229" i="69"/>
  <c r="BF229" i="69"/>
  <c r="BD229" i="69"/>
  <c r="BC229" i="69"/>
  <c r="BA229" i="69"/>
  <c r="AZ229" i="69"/>
  <c r="AX229" i="69"/>
  <c r="AW229" i="69"/>
  <c r="AU229" i="69"/>
  <c r="AT229" i="69"/>
  <c r="AV229" i="69"/>
  <c r="BG228" i="69"/>
  <c r="BF228" i="69"/>
  <c r="BD228" i="69"/>
  <c r="BC228" i="69"/>
  <c r="BA228" i="69"/>
  <c r="AZ228" i="69"/>
  <c r="AX228" i="69"/>
  <c r="AW228" i="69"/>
  <c r="AV228" i="69"/>
  <c r="AU228" i="69"/>
  <c r="AT228" i="69"/>
  <c r="BG227" i="69"/>
  <c r="BF227" i="69"/>
  <c r="BD227" i="69"/>
  <c r="BC227" i="69"/>
  <c r="BA227" i="69"/>
  <c r="AZ227" i="69"/>
  <c r="AX227" i="69"/>
  <c r="AW227" i="69"/>
  <c r="AV227" i="69"/>
  <c r="AU227" i="69"/>
  <c r="AT227" i="69"/>
  <c r="BG226" i="69"/>
  <c r="BF226" i="69"/>
  <c r="BD226" i="69"/>
  <c r="BC226" i="69"/>
  <c r="BA226" i="69"/>
  <c r="AZ226" i="69"/>
  <c r="AX226" i="69"/>
  <c r="AW226" i="69"/>
  <c r="AV226" i="69"/>
  <c r="AU226" i="69"/>
  <c r="AT226" i="69"/>
  <c r="BG225" i="69"/>
  <c r="BF225" i="69"/>
  <c r="BD225" i="69"/>
  <c r="BC225" i="69"/>
  <c r="BA225" i="69"/>
  <c r="AZ225" i="69"/>
  <c r="AX225" i="69"/>
  <c r="AW225" i="69"/>
  <c r="AU225" i="69"/>
  <c r="AT225" i="69"/>
  <c r="AV225" i="69"/>
  <c r="BG224" i="69"/>
  <c r="BF224" i="69"/>
  <c r="BD224" i="69"/>
  <c r="BC224" i="69"/>
  <c r="BA224" i="69"/>
  <c r="AZ224" i="69"/>
  <c r="AX224" i="69"/>
  <c r="AW224" i="69"/>
  <c r="AU224" i="69"/>
  <c r="AT224" i="69"/>
  <c r="AV224" i="69"/>
  <c r="BG223" i="69"/>
  <c r="BF223" i="69"/>
  <c r="BD223" i="69"/>
  <c r="BC223" i="69"/>
  <c r="BA223" i="69"/>
  <c r="AZ223" i="69"/>
  <c r="AX223" i="69"/>
  <c r="AW223" i="69"/>
  <c r="AV223" i="69"/>
  <c r="AU223" i="69"/>
  <c r="AT223" i="69"/>
  <c r="BG222" i="69"/>
  <c r="BF222" i="69"/>
  <c r="BD222" i="69"/>
  <c r="BC222" i="69"/>
  <c r="BA222" i="69"/>
  <c r="AZ222" i="69"/>
  <c r="AX222" i="69"/>
  <c r="AW222" i="69"/>
  <c r="AV222" i="69"/>
  <c r="AU222" i="69"/>
  <c r="AT222" i="69"/>
  <c r="BG221" i="69"/>
  <c r="BF221" i="69"/>
  <c r="BD221" i="69"/>
  <c r="BC221" i="69"/>
  <c r="BA221" i="69"/>
  <c r="AZ221" i="69"/>
  <c r="AX221" i="69"/>
  <c r="AW221" i="69"/>
  <c r="AU221" i="69"/>
  <c r="AT221" i="69"/>
  <c r="AV221" i="69"/>
  <c r="BG220" i="69"/>
  <c r="BF220" i="69"/>
  <c r="BD220" i="69"/>
  <c r="BC220" i="69"/>
  <c r="BA220" i="69"/>
  <c r="AZ220" i="69"/>
  <c r="AX220" i="69"/>
  <c r="AW220" i="69"/>
  <c r="AV220" i="69"/>
  <c r="AU220" i="69"/>
  <c r="AT220" i="69"/>
  <c r="BG219" i="69"/>
  <c r="BF219" i="69"/>
  <c r="BD219" i="69"/>
  <c r="BC219" i="69"/>
  <c r="BA219" i="69"/>
  <c r="AZ219" i="69"/>
  <c r="AX219" i="69"/>
  <c r="AW219" i="69"/>
  <c r="AV219" i="69"/>
  <c r="AU219" i="69"/>
  <c r="AT219" i="69"/>
  <c r="BG218" i="69"/>
  <c r="BF218" i="69"/>
  <c r="BD218" i="69"/>
  <c r="BC218" i="69"/>
  <c r="BA218" i="69"/>
  <c r="AZ218" i="69"/>
  <c r="AX218" i="69"/>
  <c r="AW218" i="69"/>
  <c r="AV218" i="69"/>
  <c r="AU218" i="69"/>
  <c r="AT218" i="69"/>
  <c r="BG217" i="69"/>
  <c r="BF217" i="69"/>
  <c r="BD217" i="69"/>
  <c r="BC217" i="69"/>
  <c r="BA217" i="69"/>
  <c r="AZ217" i="69"/>
  <c r="AX217" i="69"/>
  <c r="AW217" i="69"/>
  <c r="AU217" i="69"/>
  <c r="AT217" i="69"/>
  <c r="AV217" i="69"/>
  <c r="BG216" i="69"/>
  <c r="BF216" i="69"/>
  <c r="BD216" i="69"/>
  <c r="BC216" i="69"/>
  <c r="BA216" i="69"/>
  <c r="AZ216" i="69"/>
  <c r="AX216" i="69"/>
  <c r="AW216" i="69"/>
  <c r="AU216" i="69"/>
  <c r="AT216" i="69"/>
  <c r="AV216" i="69"/>
  <c r="BG215" i="69"/>
  <c r="BF215" i="69"/>
  <c r="BD215" i="69"/>
  <c r="BC215" i="69"/>
  <c r="BA215" i="69"/>
  <c r="AZ215" i="69"/>
  <c r="AX215" i="69"/>
  <c r="AW215" i="69"/>
  <c r="AV215" i="69"/>
  <c r="AU215" i="69"/>
  <c r="AT215" i="69"/>
  <c r="BG214" i="69"/>
  <c r="BF214" i="69"/>
  <c r="BD214" i="69"/>
  <c r="BC214" i="69"/>
  <c r="BA214" i="69"/>
  <c r="AZ214" i="69"/>
  <c r="AX214" i="69"/>
  <c r="AW214" i="69"/>
  <c r="AV214" i="69"/>
  <c r="AU214" i="69"/>
  <c r="AT214" i="69"/>
  <c r="BG213" i="69"/>
  <c r="BF213" i="69"/>
  <c r="BD213" i="69"/>
  <c r="BC213" i="69"/>
  <c r="BA213" i="69"/>
  <c r="AZ213" i="69"/>
  <c r="AX213" i="69"/>
  <c r="AW213" i="69"/>
  <c r="AU213" i="69"/>
  <c r="AT213" i="69"/>
  <c r="AV213" i="69"/>
  <c r="BG212" i="69"/>
  <c r="BF212" i="69"/>
  <c r="BD212" i="69"/>
  <c r="BC212" i="69"/>
  <c r="BA212" i="69"/>
  <c r="AZ212" i="69"/>
  <c r="AX212" i="69"/>
  <c r="AW212" i="69"/>
  <c r="AV212" i="69"/>
  <c r="AU212" i="69"/>
  <c r="AT212" i="69"/>
  <c r="BG211" i="69"/>
  <c r="BF211" i="69"/>
  <c r="BD211" i="69"/>
  <c r="BC211" i="69"/>
  <c r="BA211" i="69"/>
  <c r="AZ211" i="69"/>
  <c r="AX211" i="69"/>
  <c r="AW211" i="69"/>
  <c r="AV211" i="69"/>
  <c r="AU211" i="69"/>
  <c r="AT211" i="69"/>
  <c r="BG210" i="69"/>
  <c r="BF210" i="69"/>
  <c r="BD210" i="69"/>
  <c r="BC210" i="69"/>
  <c r="BA210" i="69"/>
  <c r="AZ210" i="69"/>
  <c r="AX210" i="69"/>
  <c r="AW210" i="69"/>
  <c r="AV210" i="69"/>
  <c r="AU210" i="69"/>
  <c r="AT210" i="69"/>
  <c r="BG209" i="69"/>
  <c r="BF209" i="69"/>
  <c r="BD209" i="69"/>
  <c r="BC209" i="69"/>
  <c r="BA209" i="69"/>
  <c r="AZ209" i="69"/>
  <c r="AX209" i="69"/>
  <c r="AW209" i="69"/>
  <c r="AU209" i="69"/>
  <c r="AT209" i="69"/>
  <c r="AV209" i="69"/>
  <c r="BG208" i="69"/>
  <c r="BF208" i="69"/>
  <c r="BD208" i="69"/>
  <c r="BC208" i="69"/>
  <c r="BA208" i="69"/>
  <c r="AZ208" i="69"/>
  <c r="AX208" i="69"/>
  <c r="AW208" i="69"/>
  <c r="AU208" i="69"/>
  <c r="AT208" i="69"/>
  <c r="AV208" i="69"/>
  <c r="BG207" i="69"/>
  <c r="BF207" i="69"/>
  <c r="BD207" i="69"/>
  <c r="BC207" i="69"/>
  <c r="BA207" i="69"/>
  <c r="AZ207" i="69"/>
  <c r="AX207" i="69"/>
  <c r="AW207" i="69"/>
  <c r="AV207" i="69"/>
  <c r="AU207" i="69"/>
  <c r="AT207" i="69"/>
  <c r="BG206" i="69"/>
  <c r="BF206" i="69"/>
  <c r="BD206" i="69"/>
  <c r="BC206" i="69"/>
  <c r="BA206" i="69"/>
  <c r="AZ206" i="69"/>
  <c r="AX206" i="69"/>
  <c r="AW206" i="69"/>
  <c r="AV206" i="69"/>
  <c r="AU206" i="69"/>
  <c r="AT206" i="69"/>
  <c r="BG205" i="69"/>
  <c r="BF205" i="69"/>
  <c r="BD205" i="69"/>
  <c r="BC205" i="69"/>
  <c r="BA205" i="69"/>
  <c r="AZ205" i="69"/>
  <c r="AX205" i="69"/>
  <c r="AW205" i="69"/>
  <c r="AU205" i="69"/>
  <c r="AT205" i="69"/>
  <c r="AV205" i="69"/>
  <c r="BG204" i="69"/>
  <c r="BF204" i="69"/>
  <c r="BD204" i="69"/>
  <c r="BC204" i="69"/>
  <c r="BA204" i="69"/>
  <c r="AZ204" i="69"/>
  <c r="AX204" i="69"/>
  <c r="AW204" i="69"/>
  <c r="AV204" i="69"/>
  <c r="AU204" i="69"/>
  <c r="AT204" i="69"/>
  <c r="BG203" i="69"/>
  <c r="BF203" i="69"/>
  <c r="BD203" i="69"/>
  <c r="BC203" i="69"/>
  <c r="BA203" i="69"/>
  <c r="AZ203" i="69"/>
  <c r="AX203" i="69"/>
  <c r="AW203" i="69"/>
  <c r="AV203" i="69"/>
  <c r="AU203" i="69"/>
  <c r="AT203" i="69"/>
  <c r="BG202" i="69"/>
  <c r="BF202" i="69"/>
  <c r="BD202" i="69"/>
  <c r="BC202" i="69"/>
  <c r="BA202" i="69"/>
  <c r="AZ202" i="69"/>
  <c r="AX202" i="69"/>
  <c r="AW202" i="69"/>
  <c r="AV202" i="69"/>
  <c r="AU202" i="69"/>
  <c r="AT202" i="69"/>
  <c r="BG201" i="69"/>
  <c r="BF201" i="69"/>
  <c r="BD201" i="69"/>
  <c r="BC201" i="69"/>
  <c r="BA201" i="69"/>
  <c r="AZ201" i="69"/>
  <c r="AX201" i="69"/>
  <c r="AW201" i="69"/>
  <c r="AU201" i="69"/>
  <c r="AT201" i="69"/>
  <c r="AV201" i="69"/>
  <c r="BG200" i="69"/>
  <c r="BF200" i="69"/>
  <c r="BD200" i="69"/>
  <c r="BC200" i="69"/>
  <c r="BA200" i="69"/>
  <c r="AZ200" i="69"/>
  <c r="AX200" i="69"/>
  <c r="AW200" i="69"/>
  <c r="AU200" i="69"/>
  <c r="AT200" i="69"/>
  <c r="AV200" i="69"/>
  <c r="BG199" i="69"/>
  <c r="BF199" i="69"/>
  <c r="BD199" i="69"/>
  <c r="BC199" i="69"/>
  <c r="BA199" i="69"/>
  <c r="AZ199" i="69"/>
  <c r="AX199" i="69"/>
  <c r="AW199" i="69"/>
  <c r="AV199" i="69"/>
  <c r="AU199" i="69"/>
  <c r="AT199" i="69"/>
  <c r="BG198" i="69"/>
  <c r="BF198" i="69"/>
  <c r="BD198" i="69"/>
  <c r="BC198" i="69"/>
  <c r="BA198" i="69"/>
  <c r="AZ198" i="69"/>
  <c r="AX198" i="69"/>
  <c r="AW198" i="69"/>
  <c r="AV198" i="69"/>
  <c r="AU198" i="69"/>
  <c r="AT198" i="69"/>
  <c r="BG197" i="69"/>
  <c r="BF197" i="69"/>
  <c r="BD197" i="69"/>
  <c r="BC197" i="69"/>
  <c r="BA197" i="69"/>
  <c r="AZ197" i="69"/>
  <c r="AX197" i="69"/>
  <c r="AW197" i="69"/>
  <c r="AU197" i="69"/>
  <c r="AT197" i="69"/>
  <c r="AV197" i="69"/>
  <c r="BG196" i="69"/>
  <c r="BF196" i="69"/>
  <c r="BD196" i="69"/>
  <c r="BC196" i="69"/>
  <c r="BA196" i="69"/>
  <c r="AZ196" i="69"/>
  <c r="AX196" i="69"/>
  <c r="AW196" i="69"/>
  <c r="AV196" i="69"/>
  <c r="AU196" i="69"/>
  <c r="AT196" i="69"/>
  <c r="BG195" i="69"/>
  <c r="BF195" i="69"/>
  <c r="BD195" i="69"/>
  <c r="BC195" i="69"/>
  <c r="BA195" i="69"/>
  <c r="AZ195" i="69"/>
  <c r="AX195" i="69"/>
  <c r="AW195" i="69"/>
  <c r="AV195" i="69"/>
  <c r="AU195" i="69"/>
  <c r="AT195" i="69"/>
  <c r="BG194" i="69"/>
  <c r="BF194" i="69"/>
  <c r="BD194" i="69"/>
  <c r="BC194" i="69"/>
  <c r="BA194" i="69"/>
  <c r="AZ194" i="69"/>
  <c r="AX194" i="69"/>
  <c r="AW194" i="69"/>
  <c r="AV194" i="69"/>
  <c r="AU194" i="69"/>
  <c r="AT194" i="69"/>
  <c r="BG193" i="69"/>
  <c r="BF193" i="69"/>
  <c r="BD193" i="69"/>
  <c r="BC193" i="69"/>
  <c r="BA193" i="69"/>
  <c r="AZ193" i="69"/>
  <c r="AX193" i="69"/>
  <c r="AW193" i="69"/>
  <c r="AU193" i="69"/>
  <c r="AT193" i="69"/>
  <c r="AV193" i="69"/>
  <c r="BG192" i="69"/>
  <c r="BF192" i="69"/>
  <c r="BD192" i="69"/>
  <c r="BC192" i="69"/>
  <c r="BA192" i="69"/>
  <c r="AZ192" i="69"/>
  <c r="AX192" i="69"/>
  <c r="AW192" i="69"/>
  <c r="AU192" i="69"/>
  <c r="AT192" i="69"/>
  <c r="AV192" i="69"/>
  <c r="BG191" i="69"/>
  <c r="BF191" i="69"/>
  <c r="BD191" i="69"/>
  <c r="BC191" i="69"/>
  <c r="BA191" i="69"/>
  <c r="AZ191" i="69"/>
  <c r="AX191" i="69"/>
  <c r="AW191" i="69"/>
  <c r="AV191" i="69"/>
  <c r="AU191" i="69"/>
  <c r="AT191" i="69"/>
  <c r="BG190" i="69"/>
  <c r="BF190" i="69"/>
  <c r="BD190" i="69"/>
  <c r="BC190" i="69"/>
  <c r="BA190" i="69"/>
  <c r="AZ190" i="69"/>
  <c r="AX190" i="69"/>
  <c r="AW190" i="69"/>
  <c r="AV190" i="69"/>
  <c r="AU190" i="69"/>
  <c r="AT190" i="69"/>
  <c r="BG189" i="69"/>
  <c r="BF189" i="69"/>
  <c r="BD189" i="69"/>
  <c r="BC189" i="69"/>
  <c r="BA189" i="69"/>
  <c r="AZ189" i="69"/>
  <c r="AX189" i="69"/>
  <c r="AW189" i="69"/>
  <c r="AU189" i="69"/>
  <c r="AT189" i="69"/>
  <c r="AV189" i="69"/>
  <c r="BG188" i="69"/>
  <c r="BF188" i="69"/>
  <c r="BD188" i="69"/>
  <c r="BC188" i="69"/>
  <c r="BA188" i="69"/>
  <c r="AZ188" i="69"/>
  <c r="AX188" i="69"/>
  <c r="AW188" i="69"/>
  <c r="AV188" i="69"/>
  <c r="AU188" i="69"/>
  <c r="AT188" i="69"/>
  <c r="BG187" i="69"/>
  <c r="BF187" i="69"/>
  <c r="BD187" i="69"/>
  <c r="BC187" i="69"/>
  <c r="BA187" i="69"/>
  <c r="AZ187" i="69"/>
  <c r="AX187" i="69"/>
  <c r="AW187" i="69"/>
  <c r="AV187" i="69"/>
  <c r="AU187" i="69"/>
  <c r="AT187" i="69"/>
  <c r="BG186" i="69"/>
  <c r="BF186" i="69"/>
  <c r="BD186" i="69"/>
  <c r="BC186" i="69"/>
  <c r="BA186" i="69"/>
  <c r="AZ186" i="69"/>
  <c r="AX186" i="69"/>
  <c r="AW186" i="69"/>
  <c r="AV186" i="69"/>
  <c r="AU186" i="69"/>
  <c r="AT186" i="69"/>
  <c r="BG185" i="69"/>
  <c r="BF185" i="69"/>
  <c r="BD185" i="69"/>
  <c r="BC185" i="69"/>
  <c r="BA185" i="69"/>
  <c r="AZ185" i="69"/>
  <c r="AX185" i="69"/>
  <c r="AW185" i="69"/>
  <c r="AU185" i="69"/>
  <c r="AT185" i="69"/>
  <c r="AV185" i="69"/>
  <c r="BG184" i="69"/>
  <c r="BF184" i="69"/>
  <c r="BD184" i="69"/>
  <c r="BC184" i="69"/>
  <c r="BA184" i="69"/>
  <c r="AZ184" i="69"/>
  <c r="AX184" i="69"/>
  <c r="AW184" i="69"/>
  <c r="AU184" i="69"/>
  <c r="AT184" i="69"/>
  <c r="AV184" i="69"/>
  <c r="BG183" i="69"/>
  <c r="BF183" i="69"/>
  <c r="BD183" i="69"/>
  <c r="BC183" i="69"/>
  <c r="BA183" i="69"/>
  <c r="AZ183" i="69"/>
  <c r="AX183" i="69"/>
  <c r="AW183" i="69"/>
  <c r="AV183" i="69"/>
  <c r="AU183" i="69"/>
  <c r="AT183" i="69"/>
  <c r="BG182" i="69"/>
  <c r="BF182" i="69"/>
  <c r="BD182" i="69"/>
  <c r="BC182" i="69"/>
  <c r="BA182" i="69"/>
  <c r="AZ182" i="69"/>
  <c r="AX182" i="69"/>
  <c r="AW182" i="69"/>
  <c r="AV182" i="69"/>
  <c r="AU182" i="69"/>
  <c r="AT182" i="69"/>
  <c r="BG181" i="69"/>
  <c r="BF181" i="69"/>
  <c r="BD181" i="69"/>
  <c r="BC181" i="69"/>
  <c r="BA181" i="69"/>
  <c r="AZ181" i="69"/>
  <c r="AX181" i="69"/>
  <c r="AW181" i="69"/>
  <c r="AU181" i="69"/>
  <c r="AT181" i="69"/>
  <c r="AV181" i="69"/>
  <c r="BG180" i="69"/>
  <c r="BF180" i="69"/>
  <c r="BD180" i="69"/>
  <c r="BC180" i="69"/>
  <c r="BA180" i="69"/>
  <c r="AZ180" i="69"/>
  <c r="AX180" i="69"/>
  <c r="AW180" i="69"/>
  <c r="AV180" i="69"/>
  <c r="AU180" i="69"/>
  <c r="AT180" i="69"/>
  <c r="BG179" i="69"/>
  <c r="BF179" i="69"/>
  <c r="BD179" i="69"/>
  <c r="BC179" i="69"/>
  <c r="BA179" i="69"/>
  <c r="AZ179" i="69"/>
  <c r="AX179" i="69"/>
  <c r="AW179" i="69"/>
  <c r="AV179" i="69"/>
  <c r="AU179" i="69"/>
  <c r="AT179" i="69"/>
  <c r="BG178" i="69"/>
  <c r="BF178" i="69"/>
  <c r="BD178" i="69"/>
  <c r="BC178" i="69"/>
  <c r="BA178" i="69"/>
  <c r="AZ178" i="69"/>
  <c r="AX178" i="69"/>
  <c r="AW178" i="69"/>
  <c r="AV178" i="69"/>
  <c r="AU178" i="69"/>
  <c r="AT178" i="69"/>
  <c r="BG177" i="69"/>
  <c r="BF177" i="69"/>
  <c r="BD177" i="69"/>
  <c r="BC177" i="69"/>
  <c r="BA177" i="69"/>
  <c r="AZ177" i="69"/>
  <c r="AX177" i="69"/>
  <c r="AW177" i="69"/>
  <c r="AU177" i="69"/>
  <c r="AT177" i="69"/>
  <c r="AV177" i="69"/>
  <c r="BG176" i="69"/>
  <c r="BF176" i="69"/>
  <c r="BD176" i="69"/>
  <c r="BC176" i="69"/>
  <c r="BA176" i="69"/>
  <c r="AZ176" i="69"/>
  <c r="AX176" i="69"/>
  <c r="AW176" i="69"/>
  <c r="AU176" i="69"/>
  <c r="AT176" i="69"/>
  <c r="AV176" i="69"/>
  <c r="BG175" i="69"/>
  <c r="BF175" i="69"/>
  <c r="BD175" i="69"/>
  <c r="BC175" i="69"/>
  <c r="BA175" i="69"/>
  <c r="AZ175" i="69"/>
  <c r="AX175" i="69"/>
  <c r="AW175" i="69"/>
  <c r="AV175" i="69"/>
  <c r="AU175" i="69"/>
  <c r="AT175" i="69"/>
  <c r="BG174" i="69"/>
  <c r="BF174" i="69"/>
  <c r="BD174" i="69"/>
  <c r="BC174" i="69"/>
  <c r="BA174" i="69"/>
  <c r="AZ174" i="69"/>
  <c r="AX174" i="69"/>
  <c r="AW174" i="69"/>
  <c r="AV174" i="69"/>
  <c r="AU174" i="69"/>
  <c r="AT174" i="69"/>
  <c r="BG173" i="69"/>
  <c r="BF173" i="69"/>
  <c r="BD173" i="69"/>
  <c r="BC173" i="69"/>
  <c r="BA173" i="69"/>
  <c r="AZ173" i="69"/>
  <c r="AX173" i="69"/>
  <c r="AW173" i="69"/>
  <c r="AU173" i="69"/>
  <c r="AT173" i="69"/>
  <c r="AV173" i="69"/>
  <c r="BG172" i="69"/>
  <c r="BF172" i="69"/>
  <c r="BD172" i="69"/>
  <c r="BC172" i="69"/>
  <c r="BA172" i="69"/>
  <c r="AZ172" i="69"/>
  <c r="AX172" i="69"/>
  <c r="AW172" i="69"/>
  <c r="AV172" i="69"/>
  <c r="AU172" i="69"/>
  <c r="AT172" i="69"/>
  <c r="BG171" i="69"/>
  <c r="BF171" i="69"/>
  <c r="BD171" i="69"/>
  <c r="BC171" i="69"/>
  <c r="BA171" i="69"/>
  <c r="AZ171" i="69"/>
  <c r="AX171" i="69"/>
  <c r="AW171" i="69"/>
  <c r="AV171" i="69"/>
  <c r="AU171" i="69"/>
  <c r="AT171" i="69"/>
  <c r="BG170" i="69"/>
  <c r="BF170" i="69"/>
  <c r="BD170" i="69"/>
  <c r="BC170" i="69"/>
  <c r="BA170" i="69"/>
  <c r="AZ170" i="69"/>
  <c r="AX170" i="69"/>
  <c r="AW170" i="69"/>
  <c r="AV170" i="69"/>
  <c r="AU170" i="69"/>
  <c r="AT170" i="69"/>
  <c r="BG169" i="69"/>
  <c r="BF169" i="69"/>
  <c r="BD169" i="69"/>
  <c r="BC169" i="69"/>
  <c r="BA169" i="69"/>
  <c r="AZ169" i="69"/>
  <c r="AX169" i="69"/>
  <c r="AW169" i="69"/>
  <c r="AU169" i="69"/>
  <c r="AT169" i="69"/>
  <c r="AV169" i="69"/>
  <c r="BG168" i="69"/>
  <c r="BF168" i="69"/>
  <c r="BD168" i="69"/>
  <c r="BC168" i="69"/>
  <c r="BA168" i="69"/>
  <c r="AZ168" i="69"/>
  <c r="AX168" i="69"/>
  <c r="AW168" i="69"/>
  <c r="AU168" i="69"/>
  <c r="AT168" i="69"/>
  <c r="AV168" i="69"/>
  <c r="BG167" i="69"/>
  <c r="BF167" i="69"/>
  <c r="BD167" i="69"/>
  <c r="BC167" i="69"/>
  <c r="BA167" i="69"/>
  <c r="AZ167" i="69"/>
  <c r="AX167" i="69"/>
  <c r="AW167" i="69"/>
  <c r="AV167" i="69"/>
  <c r="AU167" i="69"/>
  <c r="AT167" i="69"/>
  <c r="BG166" i="69"/>
  <c r="BF166" i="69"/>
  <c r="BD166" i="69"/>
  <c r="BC166" i="69"/>
  <c r="BA166" i="69"/>
  <c r="AZ166" i="69"/>
  <c r="AX166" i="69"/>
  <c r="AW166" i="69"/>
  <c r="AV166" i="69"/>
  <c r="AU166" i="69"/>
  <c r="AT166" i="69"/>
  <c r="BG165" i="69"/>
  <c r="BF165" i="69"/>
  <c r="BD165" i="69"/>
  <c r="BC165" i="69"/>
  <c r="BA165" i="69"/>
  <c r="AZ165" i="69"/>
  <c r="AX165" i="69"/>
  <c r="AW165" i="69"/>
  <c r="AU165" i="69"/>
  <c r="AT165" i="69"/>
  <c r="AV165" i="69"/>
  <c r="BG164" i="69"/>
  <c r="BF164" i="69"/>
  <c r="BD164" i="69"/>
  <c r="BC164" i="69"/>
  <c r="BA164" i="69"/>
  <c r="AZ164" i="69"/>
  <c r="AX164" i="69"/>
  <c r="AW164" i="69"/>
  <c r="AV164" i="69"/>
  <c r="AU164" i="69"/>
  <c r="AT164" i="69"/>
  <c r="BG163" i="69"/>
  <c r="BF163" i="69"/>
  <c r="BD163" i="69"/>
  <c r="BC163" i="69"/>
  <c r="BA163" i="69"/>
  <c r="AZ163" i="69"/>
  <c r="AX163" i="69"/>
  <c r="AW163" i="69"/>
  <c r="AV163" i="69"/>
  <c r="AU163" i="69"/>
  <c r="AT163" i="69"/>
  <c r="BG162" i="69"/>
  <c r="BF162" i="69"/>
  <c r="BD162" i="69"/>
  <c r="BC162" i="69"/>
  <c r="BA162" i="69"/>
  <c r="AZ162" i="69"/>
  <c r="AX162" i="69"/>
  <c r="AW162" i="69"/>
  <c r="AV162" i="69"/>
  <c r="AU162" i="69"/>
  <c r="AT162" i="69"/>
  <c r="BG161" i="69"/>
  <c r="BF161" i="69"/>
  <c r="BD161" i="69"/>
  <c r="BC161" i="69"/>
  <c r="BA161" i="69"/>
  <c r="AZ161" i="69"/>
  <c r="AX161" i="69"/>
  <c r="AW161" i="69"/>
  <c r="AU161" i="69"/>
  <c r="AT161" i="69"/>
  <c r="AV161" i="69"/>
  <c r="BG160" i="69"/>
  <c r="BF160" i="69"/>
  <c r="BD160" i="69"/>
  <c r="BC160" i="69"/>
  <c r="BA160" i="69"/>
  <c r="AZ160" i="69"/>
  <c r="AX160" i="69"/>
  <c r="AW160" i="69"/>
  <c r="AU160" i="69"/>
  <c r="AT160" i="69"/>
  <c r="AV160" i="69"/>
  <c r="BG159" i="69"/>
  <c r="BF159" i="69"/>
  <c r="BD159" i="69"/>
  <c r="BC159" i="69"/>
  <c r="BA159" i="69"/>
  <c r="AZ159" i="69"/>
  <c r="AX159" i="69"/>
  <c r="AW159" i="69"/>
  <c r="AV159" i="69"/>
  <c r="AU159" i="69"/>
  <c r="AT159" i="69"/>
  <c r="BG158" i="69"/>
  <c r="BF158" i="69"/>
  <c r="BD158" i="69"/>
  <c r="BC158" i="69"/>
  <c r="BA158" i="69"/>
  <c r="AZ158" i="69"/>
  <c r="AX158" i="69"/>
  <c r="AW158" i="69"/>
  <c r="AV158" i="69"/>
  <c r="AU158" i="69"/>
  <c r="AT158" i="69"/>
  <c r="BG157" i="69"/>
  <c r="BF157" i="69"/>
  <c r="BD157" i="69"/>
  <c r="BC157" i="69"/>
  <c r="BA157" i="69"/>
  <c r="AZ157" i="69"/>
  <c r="AX157" i="69"/>
  <c r="AW157" i="69"/>
  <c r="AU157" i="69"/>
  <c r="AT157" i="69"/>
  <c r="AV157" i="69"/>
  <c r="BG156" i="69"/>
  <c r="BF156" i="69"/>
  <c r="BD156" i="69"/>
  <c r="BC156" i="69"/>
  <c r="BA156" i="69"/>
  <c r="AZ156" i="69"/>
  <c r="AX156" i="69"/>
  <c r="AW156" i="69"/>
  <c r="AV156" i="69"/>
  <c r="AU156" i="69"/>
  <c r="AT156" i="69"/>
  <c r="BG155" i="69"/>
  <c r="BF155" i="69"/>
  <c r="BD155" i="69"/>
  <c r="BC155" i="69"/>
  <c r="BA155" i="69"/>
  <c r="AZ155" i="69"/>
  <c r="AX155" i="69"/>
  <c r="AW155" i="69"/>
  <c r="AV155" i="69"/>
  <c r="AU155" i="69"/>
  <c r="AT155" i="69"/>
  <c r="BG154" i="69"/>
  <c r="BF154" i="69"/>
  <c r="BD154" i="69"/>
  <c r="BC154" i="69"/>
  <c r="BA154" i="69"/>
  <c r="AZ154" i="69"/>
  <c r="AX154" i="69"/>
  <c r="AW154" i="69"/>
  <c r="AV154" i="69"/>
  <c r="AU154" i="69"/>
  <c r="AT154" i="69"/>
  <c r="BG153" i="69"/>
  <c r="BF153" i="69"/>
  <c r="BD153" i="69"/>
  <c r="BC153" i="69"/>
  <c r="BA153" i="69"/>
  <c r="AZ153" i="69"/>
  <c r="AX153" i="69"/>
  <c r="AW153" i="69"/>
  <c r="AU153" i="69"/>
  <c r="AT153" i="69"/>
  <c r="AV153" i="69"/>
  <c r="BG152" i="69"/>
  <c r="BF152" i="69"/>
  <c r="BD152" i="69"/>
  <c r="BC152" i="69"/>
  <c r="BA152" i="69"/>
  <c r="AZ152" i="69"/>
  <c r="AX152" i="69"/>
  <c r="AW152" i="69"/>
  <c r="AU152" i="69"/>
  <c r="AT152" i="69"/>
  <c r="AV152" i="69"/>
  <c r="BG151" i="69"/>
  <c r="BF151" i="69"/>
  <c r="BD151" i="69"/>
  <c r="BC151" i="69"/>
  <c r="BA151" i="69"/>
  <c r="AZ151" i="69"/>
  <c r="AX151" i="69"/>
  <c r="AW151" i="69"/>
  <c r="AV151" i="69"/>
  <c r="AU151" i="69"/>
  <c r="AT151" i="69"/>
  <c r="BG150" i="69"/>
  <c r="BF150" i="69"/>
  <c r="BD150" i="69"/>
  <c r="BC150" i="69"/>
  <c r="BA150" i="69"/>
  <c r="AZ150" i="69"/>
  <c r="AX150" i="69"/>
  <c r="AW150" i="69"/>
  <c r="AV150" i="69"/>
  <c r="AU150" i="69"/>
  <c r="AT150" i="69"/>
  <c r="BG149" i="69"/>
  <c r="BF149" i="69"/>
  <c r="BD149" i="69"/>
  <c r="BC149" i="69"/>
  <c r="BA149" i="69"/>
  <c r="AZ149" i="69"/>
  <c r="AX149" i="69"/>
  <c r="AW149" i="69"/>
  <c r="AU149" i="69"/>
  <c r="AT149" i="69"/>
  <c r="AV149" i="69"/>
  <c r="BG148" i="69"/>
  <c r="BF148" i="69"/>
  <c r="BD148" i="69"/>
  <c r="BC148" i="69"/>
  <c r="BA148" i="69"/>
  <c r="AZ148" i="69"/>
  <c r="AX148" i="69"/>
  <c r="AW148" i="69"/>
  <c r="AV148" i="69"/>
  <c r="AU148" i="69"/>
  <c r="AT148" i="69"/>
  <c r="BG147" i="69"/>
  <c r="BF147" i="69"/>
  <c r="BD147" i="69"/>
  <c r="BC147" i="69"/>
  <c r="BA147" i="69"/>
  <c r="AZ147" i="69"/>
  <c r="AX147" i="69"/>
  <c r="AW147" i="69"/>
  <c r="AV147" i="69"/>
  <c r="AU147" i="69"/>
  <c r="AT147" i="69"/>
  <c r="BG146" i="69"/>
  <c r="BF146" i="69"/>
  <c r="BD146" i="69"/>
  <c r="BC146" i="69"/>
  <c r="BA146" i="69"/>
  <c r="AZ146" i="69"/>
  <c r="AX146" i="69"/>
  <c r="AW146" i="69"/>
  <c r="AV146" i="69"/>
  <c r="AU146" i="69"/>
  <c r="AT146" i="69"/>
  <c r="BG145" i="69"/>
  <c r="BF145" i="69"/>
  <c r="BD145" i="69"/>
  <c r="BC145" i="69"/>
  <c r="BA145" i="69"/>
  <c r="AZ145" i="69"/>
  <c r="AX145" i="69"/>
  <c r="AW145" i="69"/>
  <c r="AU145" i="69"/>
  <c r="AT145" i="69"/>
  <c r="AV145" i="69"/>
  <c r="BG144" i="69"/>
  <c r="BF144" i="69"/>
  <c r="BD144" i="69"/>
  <c r="BC144" i="69"/>
  <c r="BA144" i="69"/>
  <c r="AZ144" i="69"/>
  <c r="AX144" i="69"/>
  <c r="AW144" i="69"/>
  <c r="AU144" i="69"/>
  <c r="AT144" i="69"/>
  <c r="AV144" i="69"/>
  <c r="BG143" i="69"/>
  <c r="BF143" i="69"/>
  <c r="BD143" i="69"/>
  <c r="BC143" i="69"/>
  <c r="BA143" i="69"/>
  <c r="AZ143" i="69"/>
  <c r="AX143" i="69"/>
  <c r="AW143" i="69"/>
  <c r="AV143" i="69"/>
  <c r="AU143" i="69"/>
  <c r="AT143" i="69"/>
  <c r="BG142" i="69"/>
  <c r="BF142" i="69"/>
  <c r="BD142" i="69"/>
  <c r="BC142" i="69"/>
  <c r="BA142" i="69"/>
  <c r="AZ142" i="69"/>
  <c r="AX142" i="69"/>
  <c r="AW142" i="69"/>
  <c r="AV142" i="69"/>
  <c r="AU142" i="69"/>
  <c r="AT142" i="69"/>
  <c r="BG141" i="69"/>
  <c r="BF141" i="69"/>
  <c r="BD141" i="69"/>
  <c r="BC141" i="69"/>
  <c r="BA141" i="69"/>
  <c r="AZ141" i="69"/>
  <c r="AX141" i="69"/>
  <c r="AW141" i="69"/>
  <c r="AU141" i="69"/>
  <c r="AT141" i="69"/>
  <c r="AV141" i="69"/>
  <c r="BG140" i="69"/>
  <c r="BF140" i="69"/>
  <c r="BD140" i="69"/>
  <c r="BC140" i="69"/>
  <c r="BA140" i="69"/>
  <c r="AZ140" i="69"/>
  <c r="AX140" i="69"/>
  <c r="AW140" i="69"/>
  <c r="AV140" i="69"/>
  <c r="AU140" i="69"/>
  <c r="AT140" i="69"/>
  <c r="BG139" i="69"/>
  <c r="BF139" i="69"/>
  <c r="BD139" i="69"/>
  <c r="BC139" i="69"/>
  <c r="BA139" i="69"/>
  <c r="AZ139" i="69"/>
  <c r="AX139" i="69"/>
  <c r="AW139" i="69"/>
  <c r="AV139" i="69"/>
  <c r="AU139" i="69"/>
  <c r="AT139" i="69"/>
  <c r="BG138" i="69"/>
  <c r="BF138" i="69"/>
  <c r="BD138" i="69"/>
  <c r="BC138" i="69"/>
  <c r="BA138" i="69"/>
  <c r="AZ138" i="69"/>
  <c r="AX138" i="69"/>
  <c r="AW138" i="69"/>
  <c r="AV138" i="69"/>
  <c r="AU138" i="69"/>
  <c r="AT138" i="69"/>
  <c r="BG137" i="69"/>
  <c r="BF137" i="69"/>
  <c r="BD137" i="69"/>
  <c r="BC137" i="69"/>
  <c r="BA137" i="69"/>
  <c r="AZ137" i="69"/>
  <c r="AX137" i="69"/>
  <c r="AW137" i="69"/>
  <c r="AU137" i="69"/>
  <c r="AT137" i="69"/>
  <c r="AV137" i="69"/>
  <c r="BG136" i="69"/>
  <c r="BF136" i="69"/>
  <c r="BD136" i="69"/>
  <c r="BC136" i="69"/>
  <c r="BA136" i="69"/>
  <c r="AZ136" i="69"/>
  <c r="AX136" i="69"/>
  <c r="AW136" i="69"/>
  <c r="AU136" i="69"/>
  <c r="AT136" i="69"/>
  <c r="AV136" i="69"/>
  <c r="BG135" i="69"/>
  <c r="BF135" i="69"/>
  <c r="BD135" i="69"/>
  <c r="BC135" i="69"/>
  <c r="BA135" i="69"/>
  <c r="AZ135" i="69"/>
  <c r="AX135" i="69"/>
  <c r="AW135" i="69"/>
  <c r="AV135" i="69"/>
  <c r="AU135" i="69"/>
  <c r="AT135" i="69"/>
  <c r="BG134" i="69"/>
  <c r="BF134" i="69"/>
  <c r="BD134" i="69"/>
  <c r="BC134" i="69"/>
  <c r="BA134" i="69"/>
  <c r="AZ134" i="69"/>
  <c r="AX134" i="69"/>
  <c r="AW134" i="69"/>
  <c r="AV134" i="69"/>
  <c r="AU134" i="69"/>
  <c r="AT134" i="69"/>
  <c r="BG133" i="69"/>
  <c r="BF133" i="69"/>
  <c r="BD133" i="69"/>
  <c r="BC133" i="69"/>
  <c r="BA133" i="69"/>
  <c r="AZ133" i="69"/>
  <c r="AX133" i="69"/>
  <c r="AW133" i="69"/>
  <c r="AU133" i="69"/>
  <c r="AT133" i="69"/>
  <c r="AV133" i="69"/>
  <c r="BG132" i="69"/>
  <c r="BF132" i="69"/>
  <c r="BD132" i="69"/>
  <c r="BC132" i="69"/>
  <c r="BA132" i="69"/>
  <c r="AZ132" i="69"/>
  <c r="AX132" i="69"/>
  <c r="AW132" i="69"/>
  <c r="AV132" i="69"/>
  <c r="AU132" i="69"/>
  <c r="AT132" i="69"/>
  <c r="BG131" i="69"/>
  <c r="BF131" i="69"/>
  <c r="BD131" i="69"/>
  <c r="BC131" i="69"/>
  <c r="BA131" i="69"/>
  <c r="AZ131" i="69"/>
  <c r="AX131" i="69"/>
  <c r="AW131" i="69"/>
  <c r="AV131" i="69"/>
  <c r="AU131" i="69"/>
  <c r="AT131" i="69"/>
  <c r="BG130" i="69"/>
  <c r="BF130" i="69"/>
  <c r="BD130" i="69"/>
  <c r="BC130" i="69"/>
  <c r="BA130" i="69"/>
  <c r="AZ130" i="69"/>
  <c r="AX130" i="69"/>
  <c r="AW130" i="69"/>
  <c r="AV130" i="69"/>
  <c r="AU130" i="69"/>
  <c r="AT130" i="69"/>
  <c r="BG129" i="69"/>
  <c r="BF129" i="69"/>
  <c r="BD129" i="69"/>
  <c r="BC129" i="69"/>
  <c r="BA129" i="69"/>
  <c r="AZ129" i="69"/>
  <c r="AX129" i="69"/>
  <c r="AW129" i="69"/>
  <c r="AU129" i="69"/>
  <c r="AT129" i="69"/>
  <c r="AV129" i="69"/>
  <c r="BG128" i="69"/>
  <c r="BF128" i="69"/>
  <c r="BD128" i="69"/>
  <c r="BC128" i="69"/>
  <c r="BA128" i="69"/>
  <c r="AZ128" i="69"/>
  <c r="AX128" i="69"/>
  <c r="AW128" i="69"/>
  <c r="AU128" i="69"/>
  <c r="AT128" i="69"/>
  <c r="AV128" i="69"/>
  <c r="BG127" i="69"/>
  <c r="BF127" i="69"/>
  <c r="BD127" i="69"/>
  <c r="BC127" i="69"/>
  <c r="BA127" i="69"/>
  <c r="AZ127" i="69"/>
  <c r="AX127" i="69"/>
  <c r="AW127" i="69"/>
  <c r="AV127" i="69"/>
  <c r="AU127" i="69"/>
  <c r="AT127" i="69"/>
  <c r="BG126" i="69"/>
  <c r="BF126" i="69"/>
  <c r="BD126" i="69"/>
  <c r="BC126" i="69"/>
  <c r="BA126" i="69"/>
  <c r="AZ126" i="69"/>
  <c r="AX126" i="69"/>
  <c r="AW126" i="69"/>
  <c r="AV126" i="69"/>
  <c r="AU126" i="69"/>
  <c r="AT126" i="69"/>
  <c r="BG125" i="69"/>
  <c r="BF125" i="69"/>
  <c r="BD125" i="69"/>
  <c r="BC125" i="69"/>
  <c r="BA125" i="69"/>
  <c r="AZ125" i="69"/>
  <c r="AX125" i="69"/>
  <c r="AW125" i="69"/>
  <c r="AU125" i="69"/>
  <c r="AT125" i="69"/>
  <c r="AV125" i="69"/>
  <c r="BG124" i="69"/>
  <c r="BF124" i="69"/>
  <c r="BD124" i="69"/>
  <c r="BC124" i="69"/>
  <c r="BA124" i="69"/>
  <c r="AZ124" i="69"/>
  <c r="AX124" i="69"/>
  <c r="AW124" i="69"/>
  <c r="AV124" i="69"/>
  <c r="AU124" i="69"/>
  <c r="AT124" i="69"/>
  <c r="BG123" i="69"/>
  <c r="BF123" i="69"/>
  <c r="BD123" i="69"/>
  <c r="BC123" i="69"/>
  <c r="BA123" i="69"/>
  <c r="AZ123" i="69"/>
  <c r="AX123" i="69"/>
  <c r="AW123" i="69"/>
  <c r="AV123" i="69"/>
  <c r="AU123" i="69"/>
  <c r="AT123" i="69"/>
  <c r="BG122" i="69"/>
  <c r="BF122" i="69"/>
  <c r="BD122" i="69"/>
  <c r="BC122" i="69"/>
  <c r="BA122" i="69"/>
  <c r="AZ122" i="69"/>
  <c r="AX122" i="69"/>
  <c r="AW122" i="69"/>
  <c r="AV122" i="69"/>
  <c r="AU122" i="69"/>
  <c r="AT122" i="69"/>
  <c r="BG121" i="69"/>
  <c r="BF121" i="69"/>
  <c r="BD121" i="69"/>
  <c r="BC121" i="69"/>
  <c r="BA121" i="69"/>
  <c r="AZ121" i="69"/>
  <c r="AX121" i="69"/>
  <c r="AW121" i="69"/>
  <c r="AU121" i="69"/>
  <c r="AT121" i="69"/>
  <c r="AV121" i="69"/>
  <c r="BG120" i="69"/>
  <c r="BF120" i="69"/>
  <c r="BD120" i="69"/>
  <c r="BC120" i="69"/>
  <c r="BA120" i="69"/>
  <c r="AZ120" i="69"/>
  <c r="AX120" i="69"/>
  <c r="AW120" i="69"/>
  <c r="AU120" i="69"/>
  <c r="AT120" i="69"/>
  <c r="AV120" i="69"/>
  <c r="BG119" i="69"/>
  <c r="BF119" i="69"/>
  <c r="BD119" i="69"/>
  <c r="BC119" i="69"/>
  <c r="BA119" i="69"/>
  <c r="AZ119" i="69"/>
  <c r="AX119" i="69"/>
  <c r="AW119" i="69"/>
  <c r="AV119" i="69"/>
  <c r="AU119" i="69"/>
  <c r="AT119" i="69"/>
  <c r="BG118" i="69"/>
  <c r="BF118" i="69"/>
  <c r="BD118" i="69"/>
  <c r="BC118" i="69"/>
  <c r="BA118" i="69"/>
  <c r="AZ118" i="69"/>
  <c r="AX118" i="69"/>
  <c r="AW118" i="69"/>
  <c r="AV118" i="69"/>
  <c r="AT118" i="69"/>
  <c r="BG117" i="69"/>
  <c r="BF117" i="69"/>
  <c r="BD117" i="69"/>
  <c r="BC117" i="69"/>
  <c r="BA117" i="69"/>
  <c r="AZ117" i="69"/>
  <c r="AX117" i="69"/>
  <c r="AW117" i="69"/>
  <c r="AU117" i="69"/>
  <c r="AT117" i="69"/>
  <c r="AV117" i="69"/>
  <c r="BG116" i="69"/>
  <c r="BF116" i="69"/>
  <c r="BD116" i="69"/>
  <c r="BC116" i="69"/>
  <c r="BA116" i="69"/>
  <c r="AZ116" i="69"/>
  <c r="AX116" i="69"/>
  <c r="AW116" i="69"/>
  <c r="AV116" i="69"/>
  <c r="AU116" i="69"/>
  <c r="AT116" i="69"/>
  <c r="BG115" i="69"/>
  <c r="BF115" i="69"/>
  <c r="BD115" i="69"/>
  <c r="BC115" i="69"/>
  <c r="BA115" i="69"/>
  <c r="AZ115" i="69"/>
  <c r="AX115" i="69"/>
  <c r="AW115" i="69"/>
  <c r="AV115" i="69"/>
  <c r="AU115" i="69"/>
  <c r="AT115" i="69"/>
  <c r="BG114" i="69"/>
  <c r="BF114" i="69"/>
  <c r="BD114" i="69"/>
  <c r="BC114" i="69"/>
  <c r="BA114" i="69"/>
  <c r="AZ114" i="69"/>
  <c r="AX114" i="69"/>
  <c r="AW114" i="69"/>
  <c r="AV114" i="69"/>
  <c r="BG113" i="69"/>
  <c r="BF113" i="69"/>
  <c r="BD113" i="69"/>
  <c r="BC113" i="69"/>
  <c r="BA113" i="69"/>
  <c r="AZ113" i="69"/>
  <c r="AX113" i="69"/>
  <c r="AW113" i="69"/>
  <c r="AV113" i="69"/>
  <c r="AU113" i="69"/>
  <c r="AT113" i="69"/>
  <c r="BG112" i="69"/>
  <c r="BF112" i="69"/>
  <c r="BD112" i="69"/>
  <c r="BC112" i="69"/>
  <c r="BA112" i="69"/>
  <c r="AZ112" i="69"/>
  <c r="AX112" i="69"/>
  <c r="AW112" i="69"/>
  <c r="AU112" i="69"/>
  <c r="AT112" i="69"/>
  <c r="AV112" i="69"/>
  <c r="BG111" i="69"/>
  <c r="BF111" i="69"/>
  <c r="BD111" i="69"/>
  <c r="BC111" i="69"/>
  <c r="BA111" i="69"/>
  <c r="AZ111" i="69"/>
  <c r="AX111" i="69"/>
  <c r="AW111" i="69"/>
  <c r="AU111" i="69"/>
  <c r="AT111" i="69"/>
  <c r="AV111" i="69"/>
  <c r="BG110" i="69"/>
  <c r="BF110" i="69"/>
  <c r="BD110" i="69"/>
  <c r="BC110" i="69"/>
  <c r="BA110" i="69"/>
  <c r="AZ110" i="69"/>
  <c r="AX110" i="69"/>
  <c r="AW110" i="69"/>
  <c r="AV110" i="69"/>
  <c r="AU110" i="69"/>
  <c r="AT110" i="69"/>
  <c r="BG109" i="69"/>
  <c r="BF109" i="69"/>
  <c r="BD109" i="69"/>
  <c r="BC109" i="69"/>
  <c r="BA109" i="69"/>
  <c r="AZ109" i="69"/>
  <c r="AX109" i="69"/>
  <c r="AW109" i="69"/>
  <c r="AV109" i="69"/>
  <c r="AU109" i="69"/>
  <c r="AT109" i="69"/>
  <c r="BG108" i="69"/>
  <c r="BF108" i="69"/>
  <c r="BD108" i="69"/>
  <c r="BC108" i="69"/>
  <c r="BA108" i="69"/>
  <c r="AZ108" i="69"/>
  <c r="AX108" i="69"/>
  <c r="AW108" i="69"/>
  <c r="AU108" i="69"/>
  <c r="AT108" i="69"/>
  <c r="AV108" i="69"/>
  <c r="BG107" i="69"/>
  <c r="BF107" i="69"/>
  <c r="BD107" i="69"/>
  <c r="BC107" i="69"/>
  <c r="BA107" i="69"/>
  <c r="AZ107" i="69"/>
  <c r="AX107" i="69"/>
  <c r="AW107" i="69"/>
  <c r="AV107" i="69"/>
  <c r="AU107" i="69"/>
  <c r="AT107" i="69"/>
  <c r="BG106" i="69"/>
  <c r="BF106" i="69"/>
  <c r="BD106" i="69"/>
  <c r="BC106" i="69"/>
  <c r="BA106" i="69"/>
  <c r="AZ106" i="69"/>
  <c r="AX106" i="69"/>
  <c r="AW106" i="69"/>
  <c r="AV106" i="69"/>
  <c r="AU106" i="69"/>
  <c r="AT106" i="69"/>
  <c r="BG105" i="69"/>
  <c r="BF105" i="69"/>
  <c r="BD105" i="69"/>
  <c r="BC105" i="69"/>
  <c r="BA105" i="69"/>
  <c r="AZ105" i="69"/>
  <c r="AX105" i="69"/>
  <c r="AW105" i="69"/>
  <c r="AV105" i="69"/>
  <c r="AU105" i="69"/>
  <c r="AT105" i="69"/>
  <c r="BG104" i="69"/>
  <c r="BF104" i="69"/>
  <c r="BD104" i="69"/>
  <c r="BC104" i="69"/>
  <c r="BA104" i="69"/>
  <c r="AZ104" i="69"/>
  <c r="AX104" i="69"/>
  <c r="AW104" i="69"/>
  <c r="AU104" i="69"/>
  <c r="AT104" i="69"/>
  <c r="AV104" i="69"/>
  <c r="BG103" i="69"/>
  <c r="BF103" i="69"/>
  <c r="BD103" i="69"/>
  <c r="BC103" i="69"/>
  <c r="BA103" i="69"/>
  <c r="AZ103" i="69"/>
  <c r="AX103" i="69"/>
  <c r="AW103" i="69"/>
  <c r="AU103" i="69"/>
  <c r="AT103" i="69"/>
  <c r="AV103" i="69"/>
  <c r="BG102" i="69"/>
  <c r="BF102" i="69"/>
  <c r="BD102" i="69"/>
  <c r="BC102" i="69"/>
  <c r="BA102" i="69"/>
  <c r="AZ102" i="69"/>
  <c r="AX102" i="69"/>
  <c r="AW102" i="69"/>
  <c r="AV102" i="69"/>
  <c r="AU102" i="69"/>
  <c r="AT102" i="69"/>
  <c r="BG101" i="69"/>
  <c r="BF101" i="69"/>
  <c r="BD101" i="69"/>
  <c r="BC101" i="69"/>
  <c r="BA101" i="69"/>
  <c r="AZ101" i="69"/>
  <c r="AX101" i="69"/>
  <c r="AW101" i="69"/>
  <c r="AV101" i="69"/>
  <c r="AU101" i="69"/>
  <c r="AT101" i="69"/>
  <c r="BG100" i="69"/>
  <c r="BF100" i="69"/>
  <c r="BD100" i="69"/>
  <c r="BC100" i="69"/>
  <c r="BA100" i="69"/>
  <c r="AZ100" i="69"/>
  <c r="AX100" i="69"/>
  <c r="AW100" i="69"/>
  <c r="AU100" i="69"/>
  <c r="AT100" i="69"/>
  <c r="AV100" i="69"/>
  <c r="BG99" i="69"/>
  <c r="BF99" i="69"/>
  <c r="BD99" i="69"/>
  <c r="BC99" i="69"/>
  <c r="BA99" i="69"/>
  <c r="AZ99" i="69"/>
  <c r="AX99" i="69"/>
  <c r="AW99" i="69"/>
  <c r="AV99" i="69"/>
  <c r="AU99" i="69"/>
  <c r="AT99" i="69"/>
  <c r="BG98" i="69"/>
  <c r="BF98" i="69"/>
  <c r="BD98" i="69"/>
  <c r="BC98" i="69"/>
  <c r="BA98" i="69"/>
  <c r="AZ98" i="69"/>
  <c r="AX98" i="69"/>
  <c r="AW98" i="69"/>
  <c r="AV98" i="69"/>
  <c r="AU98" i="69"/>
  <c r="AT98" i="69"/>
  <c r="BG97" i="69"/>
  <c r="BF97" i="69"/>
  <c r="BD97" i="69"/>
  <c r="BC97" i="69"/>
  <c r="BA97" i="69"/>
  <c r="AZ97" i="69"/>
  <c r="AX97" i="69"/>
  <c r="AW97" i="69"/>
  <c r="AV97" i="69"/>
  <c r="AU97" i="69"/>
  <c r="AT97" i="69"/>
  <c r="BG96" i="69"/>
  <c r="BF96" i="69"/>
  <c r="BD96" i="69"/>
  <c r="BC96" i="69"/>
  <c r="BA96" i="69"/>
  <c r="AZ96" i="69"/>
  <c r="AX96" i="69"/>
  <c r="AW96" i="69"/>
  <c r="AU96" i="69"/>
  <c r="AT96" i="69"/>
  <c r="AV96" i="69"/>
  <c r="BG95" i="69"/>
  <c r="BF95" i="69"/>
  <c r="BD95" i="69"/>
  <c r="BC95" i="69"/>
  <c r="BA95" i="69"/>
  <c r="AZ95" i="69"/>
  <c r="AX95" i="69"/>
  <c r="AW95" i="69"/>
  <c r="AU95" i="69"/>
  <c r="AT95" i="69"/>
  <c r="AV95" i="69"/>
  <c r="BG94" i="69"/>
  <c r="BF94" i="69"/>
  <c r="BD94" i="69"/>
  <c r="BC94" i="69"/>
  <c r="BA94" i="69"/>
  <c r="AZ94" i="69"/>
  <c r="AX94" i="69"/>
  <c r="AW94" i="69"/>
  <c r="AV94" i="69"/>
  <c r="AU94" i="69"/>
  <c r="AT94" i="69"/>
  <c r="BG93" i="69"/>
  <c r="BF93" i="69"/>
  <c r="BD93" i="69"/>
  <c r="BC93" i="69"/>
  <c r="BA93" i="69"/>
  <c r="AZ93" i="69"/>
  <c r="AX93" i="69"/>
  <c r="AW93" i="69"/>
  <c r="AV93" i="69"/>
  <c r="AU93" i="69"/>
  <c r="AT93" i="69"/>
  <c r="BG92" i="69"/>
  <c r="BF92" i="69"/>
  <c r="BD92" i="69"/>
  <c r="BC92" i="69"/>
  <c r="BA92" i="69"/>
  <c r="AZ92" i="69"/>
  <c r="AX92" i="69"/>
  <c r="AW92" i="69"/>
  <c r="AU92" i="69"/>
  <c r="AT92" i="69"/>
  <c r="AV92" i="69"/>
  <c r="BG91" i="69"/>
  <c r="BF91" i="69"/>
  <c r="BD91" i="69"/>
  <c r="BC91" i="69"/>
  <c r="BA91" i="69"/>
  <c r="AZ91" i="69"/>
  <c r="AX91" i="69"/>
  <c r="AW91" i="69"/>
  <c r="AV91" i="69"/>
  <c r="AU91" i="69"/>
  <c r="AT91" i="69"/>
  <c r="BG90" i="69"/>
  <c r="BF90" i="69"/>
  <c r="BD90" i="69"/>
  <c r="BC90" i="69"/>
  <c r="BA90" i="69"/>
  <c r="AZ90" i="69"/>
  <c r="AX90" i="69"/>
  <c r="AW90" i="69"/>
  <c r="AV90" i="69"/>
  <c r="AU90" i="69"/>
  <c r="AT90" i="69"/>
  <c r="BG89" i="69"/>
  <c r="BF89" i="69"/>
  <c r="BD89" i="69"/>
  <c r="BC89" i="69"/>
  <c r="BA89" i="69"/>
  <c r="AZ89" i="69"/>
  <c r="AX89" i="69"/>
  <c r="AW89" i="69"/>
  <c r="AV89" i="69"/>
  <c r="AU89" i="69"/>
  <c r="AT89" i="69"/>
  <c r="BG88" i="69"/>
  <c r="BF88" i="69"/>
  <c r="BD88" i="69"/>
  <c r="BC88" i="69"/>
  <c r="BA88" i="69"/>
  <c r="AZ88" i="69"/>
  <c r="AX88" i="69"/>
  <c r="AW88" i="69"/>
  <c r="AU88" i="69"/>
  <c r="AT88" i="69"/>
  <c r="AV88" i="69"/>
  <c r="BG87" i="69"/>
  <c r="BF87" i="69"/>
  <c r="BD87" i="69"/>
  <c r="BC87" i="69"/>
  <c r="BA87" i="69"/>
  <c r="AZ87" i="69"/>
  <c r="AX87" i="69"/>
  <c r="AW87" i="69"/>
  <c r="AU87" i="69"/>
  <c r="AT87" i="69"/>
  <c r="AV87" i="69"/>
  <c r="BG86" i="69"/>
  <c r="BF86" i="69"/>
  <c r="BD86" i="69"/>
  <c r="BC86" i="69"/>
  <c r="BA86" i="69"/>
  <c r="AZ86" i="69"/>
  <c r="AX86" i="69"/>
  <c r="AW86" i="69"/>
  <c r="AV86" i="69"/>
  <c r="AU86" i="69"/>
  <c r="AT86" i="69"/>
  <c r="BG85" i="69"/>
  <c r="BF85" i="69"/>
  <c r="BD85" i="69"/>
  <c r="BC85" i="69"/>
  <c r="BA85" i="69"/>
  <c r="AZ85" i="69"/>
  <c r="AX85" i="69"/>
  <c r="AW85" i="69"/>
  <c r="AV85" i="69"/>
  <c r="AU85" i="69"/>
  <c r="AT85" i="69"/>
  <c r="BG84" i="69"/>
  <c r="BF84" i="69"/>
  <c r="BD84" i="69"/>
  <c r="BC84" i="69"/>
  <c r="BA84" i="69"/>
  <c r="AZ84" i="69"/>
  <c r="AX84" i="69"/>
  <c r="AW84" i="69"/>
  <c r="AU84" i="69"/>
  <c r="AT84" i="69"/>
  <c r="AV84" i="69"/>
  <c r="BG83" i="69"/>
  <c r="BF83" i="69"/>
  <c r="BD83" i="69"/>
  <c r="BC83" i="69"/>
  <c r="BA83" i="69"/>
  <c r="AZ83" i="69"/>
  <c r="AX83" i="69"/>
  <c r="AW83" i="69"/>
  <c r="AV83" i="69"/>
  <c r="AU83" i="69"/>
  <c r="AT83" i="69"/>
  <c r="BG82" i="69"/>
  <c r="BF82" i="69"/>
  <c r="BD82" i="69"/>
  <c r="BC82" i="69"/>
  <c r="BA82" i="69"/>
  <c r="AZ82" i="69"/>
  <c r="AX82" i="69"/>
  <c r="AW82" i="69"/>
  <c r="AV82" i="69"/>
  <c r="AU82" i="69"/>
  <c r="AT82" i="69"/>
  <c r="BG81" i="69"/>
  <c r="BF81" i="69"/>
  <c r="BD81" i="69"/>
  <c r="BC81" i="69"/>
  <c r="BA81" i="69"/>
  <c r="AZ81" i="69"/>
  <c r="AX81" i="69"/>
  <c r="AW81" i="69"/>
  <c r="AV81" i="69"/>
  <c r="AU81" i="69"/>
  <c r="AT81" i="69"/>
  <c r="BG80" i="69"/>
  <c r="BF80" i="69"/>
  <c r="BD80" i="69"/>
  <c r="BC80" i="69"/>
  <c r="BA80" i="69"/>
  <c r="AZ80" i="69"/>
  <c r="AX80" i="69"/>
  <c r="AW80" i="69"/>
  <c r="AU80" i="69"/>
  <c r="AT80" i="69"/>
  <c r="AV80" i="69"/>
  <c r="BG79" i="69"/>
  <c r="BF79" i="69"/>
  <c r="BD79" i="69"/>
  <c r="BC79" i="69"/>
  <c r="BA79" i="69"/>
  <c r="AZ79" i="69"/>
  <c r="AX79" i="69"/>
  <c r="AW79" i="69"/>
  <c r="AU79" i="69"/>
  <c r="AT79" i="69"/>
  <c r="AV79" i="69"/>
  <c r="BG78" i="69"/>
  <c r="BF78" i="69"/>
  <c r="BD78" i="69"/>
  <c r="BC78" i="69"/>
  <c r="BA78" i="69"/>
  <c r="AZ78" i="69"/>
  <c r="AX78" i="69"/>
  <c r="AW78" i="69"/>
  <c r="AV78" i="69"/>
  <c r="AU78" i="69"/>
  <c r="AT78" i="69"/>
  <c r="BG77" i="69"/>
  <c r="BF77" i="69"/>
  <c r="BD77" i="69"/>
  <c r="BC77" i="69"/>
  <c r="BA77" i="69"/>
  <c r="AZ77" i="69"/>
  <c r="AX77" i="69"/>
  <c r="AW77" i="69"/>
  <c r="AV77" i="69"/>
  <c r="AU77" i="69"/>
  <c r="AT77" i="69"/>
  <c r="BG76" i="69"/>
  <c r="BF76" i="69"/>
  <c r="BD76" i="69"/>
  <c r="BC76" i="69"/>
  <c r="BA76" i="69"/>
  <c r="AZ76" i="69"/>
  <c r="AX76" i="69"/>
  <c r="AW76" i="69"/>
  <c r="AU76" i="69"/>
  <c r="AT76" i="69"/>
  <c r="AV76" i="69"/>
  <c r="BG75" i="69"/>
  <c r="BF75" i="69"/>
  <c r="BD75" i="69"/>
  <c r="BC75" i="69"/>
  <c r="BA75" i="69"/>
  <c r="AZ75" i="69"/>
  <c r="AX75" i="69"/>
  <c r="AW75" i="69"/>
  <c r="AV75" i="69"/>
  <c r="AU75" i="69"/>
  <c r="AT75" i="69"/>
  <c r="BG74" i="69"/>
  <c r="BF74" i="69"/>
  <c r="BD74" i="69"/>
  <c r="BC74" i="69"/>
  <c r="BA74" i="69"/>
  <c r="AZ74" i="69"/>
  <c r="AX74" i="69"/>
  <c r="AW74" i="69"/>
  <c r="AV74" i="69"/>
  <c r="AU74" i="69"/>
  <c r="AT74" i="69"/>
  <c r="BG73" i="69"/>
  <c r="BF73" i="69"/>
  <c r="BD73" i="69"/>
  <c r="BC73" i="69"/>
  <c r="BA73" i="69"/>
  <c r="AZ73" i="69"/>
  <c r="AX73" i="69"/>
  <c r="AW73" i="69"/>
  <c r="AU73" i="69"/>
  <c r="AT73" i="69"/>
  <c r="AV73" i="69"/>
  <c r="BG72" i="69"/>
  <c r="BF72" i="69"/>
  <c r="BD72" i="69"/>
  <c r="BC72" i="69"/>
  <c r="BA72" i="69"/>
  <c r="AZ72" i="69"/>
  <c r="AX72" i="69"/>
  <c r="AW72" i="69"/>
  <c r="AU72" i="69"/>
  <c r="AT72" i="69"/>
  <c r="AV72" i="69"/>
  <c r="BG71" i="69"/>
  <c r="BF71" i="69"/>
  <c r="BD71" i="69"/>
  <c r="BC71" i="69"/>
  <c r="BA71" i="69"/>
  <c r="AZ71" i="69"/>
  <c r="AX71" i="69"/>
  <c r="AW71" i="69"/>
  <c r="AU71" i="69"/>
  <c r="AT71" i="69"/>
  <c r="AV71" i="69"/>
  <c r="BG70" i="69"/>
  <c r="BF70" i="69"/>
  <c r="BD70" i="69"/>
  <c r="BC70" i="69"/>
  <c r="BA70" i="69"/>
  <c r="AZ70" i="69"/>
  <c r="AX70" i="69"/>
  <c r="AW70" i="69"/>
  <c r="AV70" i="69"/>
  <c r="AU70" i="69"/>
  <c r="AT70" i="69"/>
  <c r="BG69" i="69"/>
  <c r="BF69" i="69"/>
  <c r="BD69" i="69"/>
  <c r="BC69" i="69"/>
  <c r="BA69" i="69"/>
  <c r="AZ69" i="69"/>
  <c r="AX69" i="69"/>
  <c r="AW69" i="69"/>
  <c r="AV69" i="69"/>
  <c r="AU69" i="69"/>
  <c r="AT69" i="69"/>
  <c r="BG68" i="69"/>
  <c r="BF68" i="69"/>
  <c r="BD68" i="69"/>
  <c r="BC68" i="69"/>
  <c r="BA68" i="69"/>
  <c r="AZ68" i="69"/>
  <c r="AX68" i="69"/>
  <c r="AW68" i="69"/>
  <c r="AU68" i="69"/>
  <c r="AT68" i="69"/>
  <c r="AV68" i="69"/>
  <c r="BG67" i="69"/>
  <c r="BF67" i="69"/>
  <c r="BD67" i="69"/>
  <c r="BC67" i="69"/>
  <c r="BA67" i="69"/>
  <c r="AZ67" i="69"/>
  <c r="AX67" i="69"/>
  <c r="AW67" i="69"/>
  <c r="AV67" i="69"/>
  <c r="AU67" i="69"/>
  <c r="AT67" i="69"/>
  <c r="BG66" i="69"/>
  <c r="BF66" i="69"/>
  <c r="BD66" i="69"/>
  <c r="BC66" i="69"/>
  <c r="BA66" i="69"/>
  <c r="AZ66" i="69"/>
  <c r="AX66" i="69"/>
  <c r="AW66" i="69"/>
  <c r="AV66" i="69"/>
  <c r="AU66" i="69"/>
  <c r="AT66" i="69"/>
  <c r="BG65" i="69"/>
  <c r="BF65" i="69"/>
  <c r="BD65" i="69"/>
  <c r="BC65" i="69"/>
  <c r="BA65" i="69"/>
  <c r="AZ65" i="69"/>
  <c r="AX65" i="69"/>
  <c r="AW65" i="69"/>
  <c r="AU65" i="69"/>
  <c r="AT65" i="69"/>
  <c r="AV65" i="69"/>
  <c r="BG64" i="69"/>
  <c r="BF64" i="69"/>
  <c r="BD64" i="69"/>
  <c r="BC64" i="69"/>
  <c r="BA64" i="69"/>
  <c r="AZ64" i="69"/>
  <c r="AX64" i="69"/>
  <c r="AW64" i="69"/>
  <c r="AU64" i="69"/>
  <c r="AT64" i="69"/>
  <c r="AV64" i="69"/>
  <c r="BG63" i="69"/>
  <c r="BF63" i="69"/>
  <c r="BD63" i="69"/>
  <c r="BC63" i="69"/>
  <c r="BA63" i="69"/>
  <c r="AZ63" i="69"/>
  <c r="AX63" i="69"/>
  <c r="AW63" i="69"/>
  <c r="AU63" i="69"/>
  <c r="AT63" i="69"/>
  <c r="AV63" i="69"/>
  <c r="BG62" i="69"/>
  <c r="BF62" i="69"/>
  <c r="BD62" i="69"/>
  <c r="BC62" i="69"/>
  <c r="BA62" i="69"/>
  <c r="AZ62" i="69"/>
  <c r="AX62" i="69"/>
  <c r="AW62" i="69"/>
  <c r="AV62" i="69"/>
  <c r="AU62" i="69"/>
  <c r="AT62" i="69"/>
  <c r="BG61" i="69"/>
  <c r="BF61" i="69"/>
  <c r="BD61" i="69"/>
  <c r="BC61" i="69"/>
  <c r="BA61" i="69"/>
  <c r="AZ61" i="69"/>
  <c r="AX61" i="69"/>
  <c r="AW61" i="69"/>
  <c r="AV61" i="69"/>
  <c r="AU61" i="69"/>
  <c r="AT61" i="69"/>
  <c r="BG60" i="69"/>
  <c r="BF60" i="69"/>
  <c r="BD60" i="69"/>
  <c r="BC60" i="69"/>
  <c r="BA60" i="69"/>
  <c r="AZ60" i="69"/>
  <c r="AX60" i="69"/>
  <c r="AW60" i="69"/>
  <c r="AU60" i="69"/>
  <c r="AT60" i="69"/>
  <c r="AV60" i="69"/>
  <c r="BG59" i="69"/>
  <c r="BF59" i="69"/>
  <c r="BD59" i="69"/>
  <c r="BC59" i="69"/>
  <c r="BA59" i="69"/>
  <c r="AZ59" i="69"/>
  <c r="AX59" i="69"/>
  <c r="AW59" i="69"/>
  <c r="AV59" i="69"/>
  <c r="AU59" i="69"/>
  <c r="AT59" i="69"/>
  <c r="BG58" i="69"/>
  <c r="BF58" i="69"/>
  <c r="BD58" i="69"/>
  <c r="BC58" i="69"/>
  <c r="BA58" i="69"/>
  <c r="AZ58" i="69"/>
  <c r="AX58" i="69"/>
  <c r="AW58" i="69"/>
  <c r="AV58" i="69"/>
  <c r="AU58" i="69"/>
  <c r="AT58" i="69"/>
  <c r="BG57" i="69"/>
  <c r="BF57" i="69"/>
  <c r="BD57" i="69"/>
  <c r="BC57" i="69"/>
  <c r="BA57" i="69"/>
  <c r="AZ57" i="69"/>
  <c r="AX57" i="69"/>
  <c r="AW57" i="69"/>
  <c r="AU57" i="69"/>
  <c r="AT57" i="69"/>
  <c r="AV57" i="69"/>
  <c r="BG56" i="69"/>
  <c r="BF56" i="69"/>
  <c r="BD56" i="69"/>
  <c r="BC56" i="69"/>
  <c r="BA56" i="69"/>
  <c r="AZ56" i="69"/>
  <c r="AX56" i="69"/>
  <c r="AW56" i="69"/>
  <c r="AU56" i="69"/>
  <c r="AT56" i="69"/>
  <c r="AV56" i="69"/>
  <c r="BG55" i="69"/>
  <c r="BF55" i="69"/>
  <c r="BD55" i="69"/>
  <c r="BC55" i="69"/>
  <c r="BA55" i="69"/>
  <c r="AZ55" i="69"/>
  <c r="AX55" i="69"/>
  <c r="AW55" i="69"/>
  <c r="AU55" i="69"/>
  <c r="AT55" i="69"/>
  <c r="AV55" i="69"/>
  <c r="BG54" i="69"/>
  <c r="BF54" i="69"/>
  <c r="BD54" i="69"/>
  <c r="BC54" i="69"/>
  <c r="BA54" i="69"/>
  <c r="AZ54" i="69"/>
  <c r="AX54" i="69"/>
  <c r="AW54" i="69"/>
  <c r="AV54" i="69"/>
  <c r="AU54" i="69"/>
  <c r="AT54" i="69"/>
  <c r="BG53" i="69"/>
  <c r="BF53" i="69"/>
  <c r="BD53" i="69"/>
  <c r="BC53" i="69"/>
  <c r="BA53" i="69"/>
  <c r="AZ53" i="69"/>
  <c r="AX53" i="69"/>
  <c r="AW53" i="69"/>
  <c r="AV53" i="69"/>
  <c r="AU53" i="69"/>
  <c r="AT53" i="69"/>
  <c r="BG52" i="69"/>
  <c r="BF52" i="69"/>
  <c r="BD52" i="69"/>
  <c r="BC52" i="69"/>
  <c r="BA52" i="69"/>
  <c r="AZ52" i="69"/>
  <c r="AX52" i="69"/>
  <c r="AW52" i="69"/>
  <c r="AU52" i="69"/>
  <c r="AT52" i="69"/>
  <c r="AV52" i="69"/>
  <c r="BG51" i="69"/>
  <c r="BF51" i="69"/>
  <c r="BD51" i="69"/>
  <c r="BC51" i="69"/>
  <c r="BA51" i="69"/>
  <c r="AZ51" i="69"/>
  <c r="AX51" i="69"/>
  <c r="AW51" i="69"/>
  <c r="AV51" i="69"/>
  <c r="AU51" i="69"/>
  <c r="AT51" i="69"/>
  <c r="BG50" i="69"/>
  <c r="BF50" i="69"/>
  <c r="BD50" i="69"/>
  <c r="BC50" i="69"/>
  <c r="BA50" i="69"/>
  <c r="AZ50" i="69"/>
  <c r="AX50" i="69"/>
  <c r="AW50" i="69"/>
  <c r="AV50" i="69"/>
  <c r="AU50" i="69"/>
  <c r="AT50" i="69"/>
  <c r="BG49" i="69"/>
  <c r="BF49" i="69"/>
  <c r="BD49" i="69"/>
  <c r="BC49" i="69"/>
  <c r="BA49" i="69"/>
  <c r="AZ49" i="69"/>
  <c r="AX49" i="69"/>
  <c r="AW49" i="69"/>
  <c r="AU49" i="69"/>
  <c r="AT49" i="69"/>
  <c r="AV49" i="69"/>
  <c r="BG48" i="69"/>
  <c r="BF48" i="69"/>
  <c r="BD48" i="69"/>
  <c r="BC48" i="69"/>
  <c r="BA48" i="69"/>
  <c r="AZ48" i="69"/>
  <c r="AX48" i="69"/>
  <c r="AW48" i="69"/>
  <c r="AU48" i="69"/>
  <c r="AT48" i="69"/>
  <c r="AV48" i="69"/>
  <c r="BG47" i="69"/>
  <c r="BF47" i="69"/>
  <c r="BD47" i="69"/>
  <c r="BC47" i="69"/>
  <c r="BA47" i="69"/>
  <c r="AZ47" i="69"/>
  <c r="AX47" i="69"/>
  <c r="AW47" i="69"/>
  <c r="AU47" i="69"/>
  <c r="AT47" i="69"/>
  <c r="AV47" i="69"/>
  <c r="BG46" i="69"/>
  <c r="BF46" i="69"/>
  <c r="BD46" i="69"/>
  <c r="BC46" i="69"/>
  <c r="BA46" i="69"/>
  <c r="AZ46" i="69"/>
  <c r="AX46" i="69"/>
  <c r="AW46" i="69"/>
  <c r="AV46" i="69"/>
  <c r="AU46" i="69"/>
  <c r="AT46" i="69"/>
  <c r="BG45" i="69"/>
  <c r="BF45" i="69"/>
  <c r="BD45" i="69"/>
  <c r="BC45" i="69"/>
  <c r="BA45" i="69"/>
  <c r="AZ45" i="69"/>
  <c r="AX45" i="69"/>
  <c r="AW45" i="69"/>
  <c r="AV45" i="69"/>
  <c r="AU45" i="69"/>
  <c r="AU256" i="69"/>
  <c r="AT45" i="69"/>
  <c r="AT255" i="69"/>
  <c r="J38" i="69"/>
  <c r="I38" i="69"/>
  <c r="Y12" i="70"/>
  <c r="AB12" i="70"/>
  <c r="AG12" i="70"/>
  <c r="AG14" i="70"/>
  <c r="AF2" i="70"/>
  <c r="AG16" i="70"/>
  <c r="AF1" i="70"/>
  <c r="AF3" i="70"/>
  <c r="AG18" i="70"/>
  <c r="AG20" i="70"/>
  <c r="AG22" i="70"/>
  <c r="AG24" i="70"/>
  <c r="AG26" i="70"/>
  <c r="AB16" i="70"/>
  <c r="AD17" i="70"/>
  <c r="AD19" i="70"/>
  <c r="AD3" i="70"/>
  <c r="AC14" i="70"/>
  <c r="Z2" i="70"/>
  <c r="Z3" i="70"/>
  <c r="Z1" i="70"/>
  <c r="AC18" i="70"/>
  <c r="AC20" i="70"/>
  <c r="AC22" i="70"/>
  <c r="AC24" i="70"/>
  <c r="AC26" i="70"/>
  <c r="AI13" i="70"/>
  <c r="AG13" i="70"/>
  <c r="AJ13" i="70"/>
  <c r="AI15" i="70"/>
  <c r="AG15" i="70"/>
  <c r="AI17" i="70"/>
  <c r="AG17" i="70"/>
  <c r="AJ17" i="70"/>
  <c r="AI19" i="70"/>
  <c r="AG19" i="70"/>
  <c r="AJ19" i="70"/>
  <c r="AI21" i="70"/>
  <c r="AG21" i="70"/>
  <c r="AJ21" i="70"/>
  <c r="AI23" i="70"/>
  <c r="AG23" i="70"/>
  <c r="AI25" i="70"/>
  <c r="AG25" i="70"/>
  <c r="AJ25" i="70"/>
  <c r="AI27" i="70"/>
  <c r="AG27" i="70"/>
  <c r="AJ27" i="70"/>
  <c r="AC15" i="70"/>
  <c r="AB17" i="70"/>
  <c r="AC17" i="70"/>
  <c r="AC21" i="70"/>
  <c r="AD23" i="70"/>
  <c r="AB23" i="70"/>
  <c r="AC23" i="70"/>
  <c r="Y1" i="70"/>
  <c r="T2" i="70"/>
  <c r="W3" i="70"/>
  <c r="AB19" i="70"/>
  <c r="AC19" i="70"/>
  <c r="AD13" i="70"/>
  <c r="AB13" i="70"/>
  <c r="AC13" i="70"/>
  <c r="AD15" i="70"/>
  <c r="AB15" i="70"/>
  <c r="AD21" i="70"/>
  <c r="AB21" i="70"/>
  <c r="AD25" i="70"/>
  <c r="AB25" i="70"/>
  <c r="AC25" i="70"/>
  <c r="AD27" i="70"/>
  <c r="AB27" i="70"/>
  <c r="AC27" i="70"/>
  <c r="Y3" i="70"/>
  <c r="AK12" i="70"/>
  <c r="AI12" i="70"/>
  <c r="AK14" i="70"/>
  <c r="AI14" i="70"/>
  <c r="AK16" i="70"/>
  <c r="AK18" i="70"/>
  <c r="AI18" i="70"/>
  <c r="AK20" i="70"/>
  <c r="AI20" i="70"/>
  <c r="AK22" i="70"/>
  <c r="AI22" i="70"/>
  <c r="AK24" i="70"/>
  <c r="AI24" i="70"/>
  <c r="AK26" i="70"/>
  <c r="AI26" i="70"/>
  <c r="T1" i="70"/>
  <c r="W2" i="70"/>
  <c r="AV273" i="69"/>
  <c r="AU273" i="69"/>
  <c r="AV276" i="69"/>
  <c r="AV272" i="69"/>
  <c r="AU280" i="69"/>
  <c r="AU276" i="69"/>
  <c r="AU265" i="69"/>
  <c r="AU257" i="69"/>
  <c r="AV256" i="69"/>
  <c r="AU255" i="69"/>
  <c r="AV255" i="69"/>
  <c r="AJ257" i="69"/>
  <c r="H259" i="69"/>
  <c r="AJ259" i="69"/>
  <c r="AT262" i="69"/>
  <c r="AT263" i="69"/>
  <c r="H261" i="69"/>
  <c r="AU262" i="69"/>
  <c r="AU263" i="69"/>
  <c r="AU264" i="69"/>
  <c r="AT278" i="69"/>
  <c r="AT256" i="69"/>
  <c r="AT260" i="69"/>
  <c r="AV262" i="69"/>
  <c r="AV263" i="69"/>
  <c r="Z12" i="70"/>
  <c r="AC12" i="70"/>
  <c r="O12" i="70"/>
  <c r="K13" i="70"/>
  <c r="M13" i="70"/>
  <c r="O13" i="70"/>
  <c r="K19" i="70"/>
  <c r="M19" i="70"/>
  <c r="O19" i="70"/>
  <c r="K25" i="70"/>
  <c r="M25" i="70"/>
  <c r="O25" i="70"/>
  <c r="K27" i="70"/>
  <c r="M27" i="70"/>
  <c r="O27" i="70"/>
  <c r="L17" i="70"/>
  <c r="P17" i="70"/>
  <c r="AJ22" i="70"/>
  <c r="AJ23" i="70"/>
  <c r="AJ15" i="70"/>
  <c r="O18" i="70"/>
  <c r="K18" i="70"/>
  <c r="M18" i="70"/>
  <c r="AD2" i="70"/>
  <c r="AG2" i="70"/>
  <c r="AG3" i="70"/>
  <c r="AG1" i="70"/>
  <c r="AJ24" i="70"/>
  <c r="L21" i="70"/>
  <c r="P21" i="70"/>
  <c r="L13" i="70"/>
  <c r="P13" i="70"/>
  <c r="AD1" i="70"/>
  <c r="AJ20" i="70"/>
  <c r="AJ14" i="70"/>
  <c r="L25" i="70"/>
  <c r="P25" i="70"/>
  <c r="AB3" i="70"/>
  <c r="AB1" i="70"/>
  <c r="AB2" i="70"/>
  <c r="K15" i="70"/>
  <c r="M15" i="70"/>
  <c r="O15" i="70"/>
  <c r="AK3" i="70"/>
  <c r="AK1" i="70"/>
  <c r="AK2" i="70"/>
  <c r="AC16" i="70"/>
  <c r="O22" i="70"/>
  <c r="K22" i="70"/>
  <c r="M22" i="70"/>
  <c r="L27" i="70"/>
  <c r="P27" i="70"/>
  <c r="L19" i="70"/>
  <c r="P19" i="70"/>
  <c r="O26" i="70"/>
  <c r="K26" i="70"/>
  <c r="M26" i="70"/>
  <c r="AJ26" i="70"/>
  <c r="AJ18" i="70"/>
  <c r="K23" i="70"/>
  <c r="M23" i="70"/>
  <c r="O23" i="70"/>
  <c r="K21" i="70"/>
  <c r="M21" i="70"/>
  <c r="O21" i="70"/>
  <c r="O20" i="70"/>
  <c r="K20" i="70"/>
  <c r="M20" i="70"/>
  <c r="K17" i="70"/>
  <c r="M17" i="70"/>
  <c r="O17" i="70"/>
  <c r="O24" i="70"/>
  <c r="K24" i="70"/>
  <c r="M24" i="70"/>
  <c r="O14" i="70"/>
  <c r="K14" i="70"/>
  <c r="M14" i="70"/>
  <c r="AI16" i="70"/>
  <c r="AJ16" i="70"/>
  <c r="AJ12" i="70"/>
  <c r="AT280" i="69"/>
  <c r="AT272" i="69"/>
  <c r="AT279" i="69"/>
  <c r="AT274" i="69"/>
  <c r="AT275" i="69"/>
  <c r="AT264" i="69"/>
  <c r="AT265" i="69"/>
  <c r="AT257" i="69"/>
  <c r="AV259" i="69"/>
  <c r="AV260" i="69"/>
  <c r="AV258" i="69"/>
  <c r="AV261" i="69"/>
  <c r="AT259" i="69"/>
  <c r="AU261" i="69"/>
  <c r="AU259" i="69"/>
  <c r="AU260" i="69"/>
  <c r="AU258" i="69"/>
  <c r="AT261" i="69"/>
  <c r="AT276" i="69"/>
  <c r="AT258" i="69"/>
  <c r="AV264" i="69"/>
  <c r="AV265" i="69"/>
  <c r="AV257" i="69"/>
  <c r="AT273" i="69"/>
  <c r="K12" i="70"/>
  <c r="M12" i="70"/>
  <c r="AJ3" i="70"/>
  <c r="P16" i="70"/>
  <c r="AJ1" i="70"/>
  <c r="L16" i="70"/>
  <c r="AJ2" i="70"/>
  <c r="N17" i="70"/>
  <c r="Q17" i="70"/>
  <c r="P24" i="70"/>
  <c r="L24" i="70"/>
  <c r="N19" i="70"/>
  <c r="Q19" i="70"/>
  <c r="P14" i="70"/>
  <c r="L14" i="70"/>
  <c r="L23" i="70"/>
  <c r="P23" i="70"/>
  <c r="N21" i="70"/>
  <c r="Q21" i="70"/>
  <c r="L15" i="70"/>
  <c r="P15" i="70"/>
  <c r="P20" i="70"/>
  <c r="L20" i="70"/>
  <c r="P22" i="70"/>
  <c r="L22" i="70"/>
  <c r="N25" i="70"/>
  <c r="Q25" i="70"/>
  <c r="N27" i="70"/>
  <c r="Q27" i="70"/>
  <c r="P12" i="70"/>
  <c r="L12" i="70"/>
  <c r="AC3" i="70"/>
  <c r="AC1" i="70"/>
  <c r="O16" i="70"/>
  <c r="AC2" i="70"/>
  <c r="K16" i="70"/>
  <c r="AI3" i="70"/>
  <c r="AI1" i="70"/>
  <c r="AI2" i="70"/>
  <c r="P18" i="70"/>
  <c r="L18" i="70"/>
  <c r="P26" i="70"/>
  <c r="L26" i="70"/>
  <c r="N13" i="70"/>
  <c r="Q13" i="70"/>
  <c r="Q22" i="70"/>
  <c r="N22" i="70"/>
  <c r="N23" i="70"/>
  <c r="Q23" i="70"/>
  <c r="L3" i="70"/>
  <c r="Q16" i="70"/>
  <c r="L1" i="70"/>
  <c r="N16" i="70"/>
  <c r="L2" i="70"/>
  <c r="O1" i="70"/>
  <c r="O2" i="70"/>
  <c r="O3" i="70"/>
  <c r="Q20" i="70"/>
  <c r="N20" i="70"/>
  <c r="K3" i="70"/>
  <c r="K1" i="70"/>
  <c r="M16" i="70"/>
  <c r="K2" i="70"/>
  <c r="N15" i="70"/>
  <c r="Q15" i="70"/>
  <c r="P2" i="70"/>
  <c r="P3" i="70"/>
  <c r="P1" i="70"/>
  <c r="Q18" i="70"/>
  <c r="N18" i="70"/>
  <c r="Q12" i="70"/>
  <c r="N12" i="70"/>
  <c r="Q14" i="70"/>
  <c r="N14" i="70"/>
  <c r="Q26" i="70"/>
  <c r="N26" i="70"/>
  <c r="Q24" i="70"/>
  <c r="N24" i="70"/>
  <c r="N1" i="70"/>
  <c r="N3" i="70"/>
  <c r="N2" i="70"/>
  <c r="M3" i="70"/>
  <c r="M1" i="70"/>
  <c r="M2" i="70"/>
  <c r="Q2" i="70"/>
  <c r="Q3" i="70"/>
  <c r="Q1" i="70"/>
  <c r="AX102" i="67"/>
  <c r="AW100" i="67"/>
  <c r="AX99" i="67"/>
  <c r="AX100" i="67"/>
  <c r="AW99" i="67"/>
  <c r="AX98" i="67"/>
  <c r="AX95" i="67"/>
  <c r="AX94" i="67"/>
  <c r="AX93" i="67"/>
  <c r="AW93" i="67"/>
  <c r="AW102" i="67"/>
  <c r="AX92" i="67"/>
  <c r="AX97" i="67"/>
  <c r="AW92" i="67"/>
  <c r="AW98" i="67"/>
  <c r="AZ107" i="68"/>
  <c r="BA107" i="68"/>
  <c r="BA112" i="68"/>
  <c r="AZ108" i="68"/>
  <c r="BA108" i="68"/>
  <c r="AZ109" i="68"/>
  <c r="BA109" i="68"/>
  <c r="AZ110" i="68"/>
  <c r="BA110" i="68"/>
  <c r="AZ111" i="68"/>
  <c r="BA111" i="68"/>
  <c r="AZ112" i="68"/>
  <c r="AZ113" i="68"/>
  <c r="BA113" i="68"/>
  <c r="AZ114" i="68"/>
  <c r="BA114" i="68"/>
  <c r="BA115" i="68"/>
  <c r="BA116" i="68"/>
  <c r="AZ115" i="68"/>
  <c r="AZ116" i="68"/>
  <c r="AZ117" i="68"/>
  <c r="BA117" i="68"/>
  <c r="AJ114" i="68"/>
  <c r="AJ115" i="68"/>
  <c r="H114" i="68"/>
  <c r="H115" i="68"/>
  <c r="H116" i="68"/>
  <c r="AS108" i="68"/>
  <c r="AJ108" i="68"/>
  <c r="AJ117" i="68"/>
  <c r="H108" i="68"/>
  <c r="H117" i="68"/>
  <c r="AS107" i="68"/>
  <c r="AJ107" i="68"/>
  <c r="H107" i="68"/>
  <c r="BD100" i="68"/>
  <c r="BC100" i="68"/>
  <c r="BA100" i="68"/>
  <c r="AZ100" i="68"/>
  <c r="AX100" i="68"/>
  <c r="AW100" i="68"/>
  <c r="AU100" i="68"/>
  <c r="AT100" i="68"/>
  <c r="BD99" i="68"/>
  <c r="BC99" i="68"/>
  <c r="BA99" i="68"/>
  <c r="AZ99" i="68"/>
  <c r="AX99" i="68"/>
  <c r="AW99" i="68"/>
  <c r="AU99" i="68"/>
  <c r="AT99" i="68"/>
  <c r="BD98" i="68"/>
  <c r="BC98" i="68"/>
  <c r="BA98" i="68"/>
  <c r="AZ98" i="68"/>
  <c r="AX98" i="68"/>
  <c r="AW98" i="68"/>
  <c r="AU98" i="68"/>
  <c r="AT98" i="68"/>
  <c r="BD97" i="68"/>
  <c r="BC97" i="68"/>
  <c r="BA97" i="68"/>
  <c r="AZ97" i="68"/>
  <c r="AX97" i="68"/>
  <c r="AW97" i="68"/>
  <c r="AU97" i="68"/>
  <c r="AT97" i="68"/>
  <c r="BD96" i="68"/>
  <c r="BC96" i="68"/>
  <c r="BA96" i="68"/>
  <c r="AZ96" i="68"/>
  <c r="AX96" i="68"/>
  <c r="AW96" i="68"/>
  <c r="AU96" i="68"/>
  <c r="AT96" i="68"/>
  <c r="BD95" i="68"/>
  <c r="BC95" i="68"/>
  <c r="BA95" i="68"/>
  <c r="AZ95" i="68"/>
  <c r="AX95" i="68"/>
  <c r="AW95" i="68"/>
  <c r="AU95" i="68"/>
  <c r="AT95" i="68"/>
  <c r="BD94" i="68"/>
  <c r="BC94" i="68"/>
  <c r="BA94" i="68"/>
  <c r="AZ94" i="68"/>
  <c r="AX94" i="68"/>
  <c r="AW94" i="68"/>
  <c r="AU94" i="68"/>
  <c r="AT94" i="68"/>
  <c r="BD93" i="68"/>
  <c r="BC93" i="68"/>
  <c r="BA93" i="68"/>
  <c r="AZ93" i="68"/>
  <c r="AX93" i="68"/>
  <c r="AW93" i="68"/>
  <c r="AU93" i="68"/>
  <c r="AT93" i="68"/>
  <c r="BD92" i="68"/>
  <c r="BC92" i="68"/>
  <c r="BA92" i="68"/>
  <c r="AZ92" i="68"/>
  <c r="AX92" i="68"/>
  <c r="AW92" i="68"/>
  <c r="AU92" i="68"/>
  <c r="AT92" i="68"/>
  <c r="BD91" i="68"/>
  <c r="BC91" i="68"/>
  <c r="BA91" i="68"/>
  <c r="AZ91" i="68"/>
  <c r="AX91" i="68"/>
  <c r="AW91" i="68"/>
  <c r="AU91" i="68"/>
  <c r="AT91" i="68"/>
  <c r="BD90" i="68"/>
  <c r="BC90" i="68"/>
  <c r="BA90" i="68"/>
  <c r="AZ90" i="68"/>
  <c r="AX90" i="68"/>
  <c r="AW90" i="68"/>
  <c r="AU90" i="68"/>
  <c r="AT90" i="68"/>
  <c r="BD89" i="68"/>
  <c r="BC89" i="68"/>
  <c r="BA89" i="68"/>
  <c r="AZ89" i="68"/>
  <c r="AX89" i="68"/>
  <c r="AW89" i="68"/>
  <c r="AU89" i="68"/>
  <c r="AT89" i="68"/>
  <c r="BD88" i="68"/>
  <c r="BC88" i="68"/>
  <c r="BA88" i="68"/>
  <c r="AZ88" i="68"/>
  <c r="AX88" i="68"/>
  <c r="AW88" i="68"/>
  <c r="AU88" i="68"/>
  <c r="AT88" i="68"/>
  <c r="BD87" i="68"/>
  <c r="BC87" i="68"/>
  <c r="BA87" i="68"/>
  <c r="AZ87" i="68"/>
  <c r="AX87" i="68"/>
  <c r="AW87" i="68"/>
  <c r="AU87" i="68"/>
  <c r="AT87" i="68"/>
  <c r="BD86" i="68"/>
  <c r="BC86" i="68"/>
  <c r="BA86" i="68"/>
  <c r="AZ86" i="68"/>
  <c r="AX86" i="68"/>
  <c r="AW86" i="68"/>
  <c r="AU86" i="68"/>
  <c r="AT86" i="68"/>
  <c r="BD85" i="68"/>
  <c r="BC85" i="68"/>
  <c r="BA85" i="68"/>
  <c r="AZ85" i="68"/>
  <c r="AX85" i="68"/>
  <c r="AW85" i="68"/>
  <c r="AU85" i="68"/>
  <c r="AT85" i="68"/>
  <c r="BD84" i="68"/>
  <c r="BC84" i="68"/>
  <c r="BA84" i="68"/>
  <c r="AZ84" i="68"/>
  <c r="AX84" i="68"/>
  <c r="AW84" i="68"/>
  <c r="AU84" i="68"/>
  <c r="AT84" i="68"/>
  <c r="BD83" i="68"/>
  <c r="BC83" i="68"/>
  <c r="BA83" i="68"/>
  <c r="AZ83" i="68"/>
  <c r="AX83" i="68"/>
  <c r="AW83" i="68"/>
  <c r="AU83" i="68"/>
  <c r="AT83" i="68"/>
  <c r="BD82" i="68"/>
  <c r="BC82" i="68"/>
  <c r="BA82" i="68"/>
  <c r="AZ82" i="68"/>
  <c r="AX82" i="68"/>
  <c r="AW82" i="68"/>
  <c r="AU82" i="68"/>
  <c r="AT82" i="68"/>
  <c r="BD81" i="68"/>
  <c r="BC81" i="68"/>
  <c r="BA81" i="68"/>
  <c r="AZ81" i="68"/>
  <c r="AX81" i="68"/>
  <c r="AW81" i="68"/>
  <c r="AU81" i="68"/>
  <c r="AT81" i="68"/>
  <c r="BD80" i="68"/>
  <c r="BC80" i="68"/>
  <c r="BA80" i="68"/>
  <c r="AZ80" i="68"/>
  <c r="AX80" i="68"/>
  <c r="AW80" i="68"/>
  <c r="AU80" i="68"/>
  <c r="AT80" i="68"/>
  <c r="BD79" i="68"/>
  <c r="BC79" i="68"/>
  <c r="BA79" i="68"/>
  <c r="AZ79" i="68"/>
  <c r="AX79" i="68"/>
  <c r="AW79" i="68"/>
  <c r="AU79" i="68"/>
  <c r="AT79" i="68"/>
  <c r="BD78" i="68"/>
  <c r="BC78" i="68"/>
  <c r="BA78" i="68"/>
  <c r="AZ78" i="68"/>
  <c r="AX78" i="68"/>
  <c r="AW78" i="68"/>
  <c r="AU78" i="68"/>
  <c r="AT78" i="68"/>
  <c r="BD77" i="68"/>
  <c r="BC77" i="68"/>
  <c r="BA77" i="68"/>
  <c r="AZ77" i="68"/>
  <c r="AX77" i="68"/>
  <c r="AW77" i="68"/>
  <c r="AU77" i="68"/>
  <c r="AT77" i="68"/>
  <c r="BD76" i="68"/>
  <c r="BC76" i="68"/>
  <c r="BA76" i="68"/>
  <c r="AZ76" i="68"/>
  <c r="AX76" i="68"/>
  <c r="AW76" i="68"/>
  <c r="AU76" i="68"/>
  <c r="AT76" i="68"/>
  <c r="BD75" i="68"/>
  <c r="BC75" i="68"/>
  <c r="BA75" i="68"/>
  <c r="AZ75" i="68"/>
  <c r="AX75" i="68"/>
  <c r="AW75" i="68"/>
  <c r="AU75" i="68"/>
  <c r="AT75" i="68"/>
  <c r="BD74" i="68"/>
  <c r="BC74" i="68"/>
  <c r="BA74" i="68"/>
  <c r="AZ74" i="68"/>
  <c r="AX74" i="68"/>
  <c r="AW74" i="68"/>
  <c r="AU74" i="68"/>
  <c r="AT74" i="68"/>
  <c r="BD73" i="68"/>
  <c r="BC73" i="68"/>
  <c r="BA73" i="68"/>
  <c r="AZ73" i="68"/>
  <c r="AX73" i="68"/>
  <c r="AW73" i="68"/>
  <c r="AU73" i="68"/>
  <c r="AT73" i="68"/>
  <c r="BD72" i="68"/>
  <c r="BC72" i="68"/>
  <c r="BA72" i="68"/>
  <c r="AZ72" i="68"/>
  <c r="AX72" i="68"/>
  <c r="AW72" i="68"/>
  <c r="AU72" i="68"/>
  <c r="AT72" i="68"/>
  <c r="BD71" i="68"/>
  <c r="BC71" i="68"/>
  <c r="BA71" i="68"/>
  <c r="AZ71" i="68"/>
  <c r="AX71" i="68"/>
  <c r="AW71" i="68"/>
  <c r="AU71" i="68"/>
  <c r="AT71" i="68"/>
  <c r="BD70" i="68"/>
  <c r="BC70" i="68"/>
  <c r="BA70" i="68"/>
  <c r="AZ70" i="68"/>
  <c r="AX70" i="68"/>
  <c r="AW70" i="68"/>
  <c r="AU70" i="68"/>
  <c r="AT70" i="68"/>
  <c r="BD69" i="68"/>
  <c r="BC69" i="68"/>
  <c r="BA69" i="68"/>
  <c r="AZ69" i="68"/>
  <c r="AX69" i="68"/>
  <c r="AW69" i="68"/>
  <c r="AU69" i="68"/>
  <c r="AT69" i="68"/>
  <c r="BD68" i="68"/>
  <c r="BC68" i="68"/>
  <c r="BA68" i="68"/>
  <c r="AZ68" i="68"/>
  <c r="AX68" i="68"/>
  <c r="AW68" i="68"/>
  <c r="AU68" i="68"/>
  <c r="AT68" i="68"/>
  <c r="BD67" i="68"/>
  <c r="BC67" i="68"/>
  <c r="BA67" i="68"/>
  <c r="AZ67" i="68"/>
  <c r="AX67" i="68"/>
  <c r="AW67" i="68"/>
  <c r="AU67" i="68"/>
  <c r="AT67" i="68"/>
  <c r="BD66" i="68"/>
  <c r="BC66" i="68"/>
  <c r="BA66" i="68"/>
  <c r="AZ66" i="68"/>
  <c r="AX66" i="68"/>
  <c r="AW66" i="68"/>
  <c r="AU66" i="68"/>
  <c r="AT66" i="68"/>
  <c r="BD65" i="68"/>
  <c r="BC65" i="68"/>
  <c r="BA65" i="68"/>
  <c r="AZ65" i="68"/>
  <c r="AX65" i="68"/>
  <c r="AW65" i="68"/>
  <c r="AU65" i="68"/>
  <c r="AT65" i="68"/>
  <c r="BD64" i="68"/>
  <c r="BC64" i="68"/>
  <c r="BA64" i="68"/>
  <c r="AZ64" i="68"/>
  <c r="AX64" i="68"/>
  <c r="AW64" i="68"/>
  <c r="AU64" i="68"/>
  <c r="AT64" i="68"/>
  <c r="BD63" i="68"/>
  <c r="BC63" i="68"/>
  <c r="BA63" i="68"/>
  <c r="AZ63" i="68"/>
  <c r="AX63" i="68"/>
  <c r="AW63" i="68"/>
  <c r="AU63" i="68"/>
  <c r="AT63" i="68"/>
  <c r="BD62" i="68"/>
  <c r="BC62" i="68"/>
  <c r="BA62" i="68"/>
  <c r="AZ62" i="68"/>
  <c r="AX62" i="68"/>
  <c r="AW62" i="68"/>
  <c r="AU62" i="68"/>
  <c r="AT62" i="68"/>
  <c r="BD61" i="68"/>
  <c r="BC61" i="68"/>
  <c r="BA61" i="68"/>
  <c r="AZ61" i="68"/>
  <c r="AX61" i="68"/>
  <c r="AW61" i="68"/>
  <c r="AU61" i="68"/>
  <c r="AT61" i="68"/>
  <c r="BD60" i="68"/>
  <c r="BC60" i="68"/>
  <c r="BA60" i="68"/>
  <c r="AZ60" i="68"/>
  <c r="AX60" i="68"/>
  <c r="AW60" i="68"/>
  <c r="AU60" i="68"/>
  <c r="AT60" i="68"/>
  <c r="BD59" i="68"/>
  <c r="BC59" i="68"/>
  <c r="BA59" i="68"/>
  <c r="AZ59" i="68"/>
  <c r="AX59" i="68"/>
  <c r="AW59" i="68"/>
  <c r="AU59" i="68"/>
  <c r="AT59" i="68"/>
  <c r="BD58" i="68"/>
  <c r="BC58" i="68"/>
  <c r="BA58" i="68"/>
  <c r="AZ58" i="68"/>
  <c r="AX58" i="68"/>
  <c r="AW58" i="68"/>
  <c r="AU58" i="68"/>
  <c r="AT58" i="68"/>
  <c r="BD57" i="68"/>
  <c r="BC57" i="68"/>
  <c r="BA57" i="68"/>
  <c r="AZ57" i="68"/>
  <c r="AX57" i="68"/>
  <c r="AW57" i="68"/>
  <c r="AU57" i="68"/>
  <c r="AT57" i="68"/>
  <c r="BD56" i="68"/>
  <c r="BC56" i="68"/>
  <c r="BA56" i="68"/>
  <c r="AZ56" i="68"/>
  <c r="AX56" i="68"/>
  <c r="AW56" i="68"/>
  <c r="AU56" i="68"/>
  <c r="AT56" i="68"/>
  <c r="BD55" i="68"/>
  <c r="BC55" i="68"/>
  <c r="BA55" i="68"/>
  <c r="AZ55" i="68"/>
  <c r="AX55" i="68"/>
  <c r="AW55" i="68"/>
  <c r="AU55" i="68"/>
  <c r="AT55" i="68"/>
  <c r="BD54" i="68"/>
  <c r="BC54" i="68"/>
  <c r="BA54" i="68"/>
  <c r="AZ54" i="68"/>
  <c r="AX54" i="68"/>
  <c r="AW54" i="68"/>
  <c r="AU54" i="68"/>
  <c r="AT54" i="68"/>
  <c r="BD53" i="68"/>
  <c r="BC53" i="68"/>
  <c r="BA53" i="68"/>
  <c r="AZ53" i="68"/>
  <c r="AX53" i="68"/>
  <c r="AW53" i="68"/>
  <c r="AU53" i="68"/>
  <c r="AT53" i="68"/>
  <c r="BD52" i="68"/>
  <c r="BC52" i="68"/>
  <c r="BA52" i="68"/>
  <c r="AZ52" i="68"/>
  <c r="AX52" i="68"/>
  <c r="AW52" i="68"/>
  <c r="AU52" i="68"/>
  <c r="AT52" i="68"/>
  <c r="BD51" i="68"/>
  <c r="BC51" i="68"/>
  <c r="BA51" i="68"/>
  <c r="AZ51" i="68"/>
  <c r="AX51" i="68"/>
  <c r="AW51" i="68"/>
  <c r="AU51" i="68"/>
  <c r="AT51" i="68"/>
  <c r="BD50" i="68"/>
  <c r="BC50" i="68"/>
  <c r="BA50" i="68"/>
  <c r="AZ50" i="68"/>
  <c r="AX50" i="68"/>
  <c r="AW50" i="68"/>
  <c r="AU50" i="68"/>
  <c r="AT50" i="68"/>
  <c r="BD49" i="68"/>
  <c r="BC49" i="68"/>
  <c r="BA49" i="68"/>
  <c r="AZ49" i="68"/>
  <c r="AX49" i="68"/>
  <c r="AW49" i="68"/>
  <c r="AU49" i="68"/>
  <c r="AT49" i="68"/>
  <c r="BD48" i="68"/>
  <c r="BC48" i="68"/>
  <c r="BA48" i="68"/>
  <c r="AZ48" i="68"/>
  <c r="AX48" i="68"/>
  <c r="AW48" i="68"/>
  <c r="AU48" i="68"/>
  <c r="AT48" i="68"/>
  <c r="BD47" i="68"/>
  <c r="BC47" i="68"/>
  <c r="BA47" i="68"/>
  <c r="AZ47" i="68"/>
  <c r="AX47" i="68"/>
  <c r="AW47" i="68"/>
  <c r="AU47" i="68"/>
  <c r="AT47" i="68"/>
  <c r="BD46" i="68"/>
  <c r="BC46" i="68"/>
  <c r="BA46" i="68"/>
  <c r="AZ46" i="68"/>
  <c r="AX46" i="68"/>
  <c r="AW46" i="68"/>
  <c r="AU46" i="68"/>
  <c r="AT46" i="68"/>
  <c r="BD45" i="68"/>
  <c r="BC45" i="68"/>
  <c r="BA45" i="68"/>
  <c r="AZ45" i="68"/>
  <c r="AX45" i="68"/>
  <c r="AW45" i="68"/>
  <c r="AU45" i="68"/>
  <c r="AT45" i="68"/>
  <c r="BD44" i="68"/>
  <c r="BC44" i="68"/>
  <c r="BA44" i="68"/>
  <c r="AZ44" i="68"/>
  <c r="AX44" i="68"/>
  <c r="AW44" i="68"/>
  <c r="AU44" i="68"/>
  <c r="AT44" i="68"/>
  <c r="BD43" i="68"/>
  <c r="BC43" i="68"/>
  <c r="BA43" i="68"/>
  <c r="AZ43" i="68"/>
  <c r="AX43" i="68"/>
  <c r="AW43" i="68"/>
  <c r="AU43" i="68"/>
  <c r="AT43" i="68"/>
  <c r="BD42" i="68"/>
  <c r="BC42" i="68"/>
  <c r="BA42" i="68"/>
  <c r="AZ42" i="68"/>
  <c r="AX42" i="68"/>
  <c r="AW42" i="68"/>
  <c r="AU42" i="68"/>
  <c r="AT42" i="68"/>
  <c r="BD41" i="68"/>
  <c r="BC41" i="68"/>
  <c r="BA41" i="68"/>
  <c r="AZ41" i="68"/>
  <c r="AX41" i="68"/>
  <c r="AW41" i="68"/>
  <c r="AU41" i="68"/>
  <c r="AT41" i="68"/>
  <c r="BD40" i="68"/>
  <c r="BC40" i="68"/>
  <c r="BA40" i="68"/>
  <c r="AZ40" i="68"/>
  <c r="AX40" i="68"/>
  <c r="AW40" i="68"/>
  <c r="AU40" i="68"/>
  <c r="AT40" i="68"/>
  <c r="BD39" i="68"/>
  <c r="BC39" i="68"/>
  <c r="BA39" i="68"/>
  <c r="AZ39" i="68"/>
  <c r="AX39" i="68"/>
  <c r="AW39" i="68"/>
  <c r="AU39" i="68"/>
  <c r="AT39" i="68"/>
  <c r="BD38" i="68"/>
  <c r="BC38" i="68"/>
  <c r="BA38" i="68"/>
  <c r="AZ38" i="68"/>
  <c r="AX38" i="68"/>
  <c r="AW38" i="68"/>
  <c r="AU38" i="68"/>
  <c r="AT38" i="68"/>
  <c r="BD37" i="68"/>
  <c r="BC37" i="68"/>
  <c r="BA37" i="68"/>
  <c r="AZ37" i="68"/>
  <c r="AX37" i="68"/>
  <c r="AW37" i="68"/>
  <c r="AU37" i="68"/>
  <c r="AT37" i="68"/>
  <c r="BD36" i="68"/>
  <c r="BC36" i="68"/>
  <c r="BA36" i="68"/>
  <c r="AZ36" i="68"/>
  <c r="AX36" i="68"/>
  <c r="AW36" i="68"/>
  <c r="AU36" i="68"/>
  <c r="AT36" i="68"/>
  <c r="BD35" i="68"/>
  <c r="BC35" i="68"/>
  <c r="BA35" i="68"/>
  <c r="AZ35" i="68"/>
  <c r="AX35" i="68"/>
  <c r="AW35" i="68"/>
  <c r="AU35" i="68"/>
  <c r="AT35" i="68"/>
  <c r="BD34" i="68"/>
  <c r="BC34" i="68"/>
  <c r="BA34" i="68"/>
  <c r="AZ34" i="68"/>
  <c r="AX34" i="68"/>
  <c r="AW34" i="68"/>
  <c r="AU34" i="68"/>
  <c r="AT34" i="68"/>
  <c r="BD33" i="68"/>
  <c r="BC33" i="68"/>
  <c r="BA33" i="68"/>
  <c r="AZ33" i="68"/>
  <c r="AX33" i="68"/>
  <c r="AW33" i="68"/>
  <c r="AU33" i="68"/>
  <c r="AT33" i="68"/>
  <c r="BD32" i="68"/>
  <c r="BC32" i="68"/>
  <c r="BA32" i="68"/>
  <c r="AZ32" i="68"/>
  <c r="AX32" i="68"/>
  <c r="AW32" i="68"/>
  <c r="AU32" i="68"/>
  <c r="AT32" i="68"/>
  <c r="BD31" i="68"/>
  <c r="BC31" i="68"/>
  <c r="BA31" i="68"/>
  <c r="AZ31" i="68"/>
  <c r="AX31" i="68"/>
  <c r="AW31" i="68"/>
  <c r="AU31" i="68"/>
  <c r="AT31" i="68"/>
  <c r="BD30" i="68"/>
  <c r="BC30" i="68"/>
  <c r="BA30" i="68"/>
  <c r="AZ30" i="68"/>
  <c r="AX30" i="68"/>
  <c r="AW30" i="68"/>
  <c r="AU30" i="68"/>
  <c r="AT30" i="68"/>
  <c r="BD29" i="68"/>
  <c r="BC29" i="68"/>
  <c r="BA29" i="68"/>
  <c r="AZ29" i="68"/>
  <c r="AX29" i="68"/>
  <c r="AW29" i="68"/>
  <c r="AU29" i="68"/>
  <c r="AT29" i="68"/>
  <c r="BD28" i="68"/>
  <c r="BC28" i="68"/>
  <c r="BA28" i="68"/>
  <c r="AZ28" i="68"/>
  <c r="AX28" i="68"/>
  <c r="AW28" i="68"/>
  <c r="AU28" i="68"/>
  <c r="AT28" i="68"/>
  <c r="BD27" i="68"/>
  <c r="BC27" i="68"/>
  <c r="BA27" i="68"/>
  <c r="AZ27" i="68"/>
  <c r="AX27" i="68"/>
  <c r="AW27" i="68"/>
  <c r="AU27" i="68"/>
  <c r="AT27" i="68"/>
  <c r="J22" i="68"/>
  <c r="I22" i="68"/>
  <c r="AJ99" i="67"/>
  <c r="AJ100" i="67"/>
  <c r="AS93" i="67"/>
  <c r="AJ93" i="67"/>
  <c r="AJ102" i="67"/>
  <c r="AS92" i="67"/>
  <c r="AJ92" i="67"/>
  <c r="AJ98" i="67"/>
  <c r="BD85" i="67"/>
  <c r="BC85" i="67"/>
  <c r="BA85" i="67"/>
  <c r="AZ85" i="67"/>
  <c r="AX85" i="67"/>
  <c r="AW85" i="67"/>
  <c r="AU85" i="67"/>
  <c r="AT85" i="67"/>
  <c r="BD84" i="67"/>
  <c r="BC84" i="67"/>
  <c r="BA84" i="67"/>
  <c r="AZ84" i="67"/>
  <c r="AX84" i="67"/>
  <c r="AW84" i="67"/>
  <c r="AU84" i="67"/>
  <c r="AT84" i="67"/>
  <c r="BD83" i="67"/>
  <c r="BC83" i="67"/>
  <c r="BA83" i="67"/>
  <c r="AZ83" i="67"/>
  <c r="AX83" i="67"/>
  <c r="AW83" i="67"/>
  <c r="AU83" i="67"/>
  <c r="AT83" i="67"/>
  <c r="BD82" i="67"/>
  <c r="BC82" i="67"/>
  <c r="BA82" i="67"/>
  <c r="AZ82" i="67"/>
  <c r="AX82" i="67"/>
  <c r="AW82" i="67"/>
  <c r="AU82" i="67"/>
  <c r="AT82" i="67"/>
  <c r="BD81" i="67"/>
  <c r="BC81" i="67"/>
  <c r="BA81" i="67"/>
  <c r="AZ81" i="67"/>
  <c r="AX81" i="67"/>
  <c r="AW81" i="67"/>
  <c r="AU81" i="67"/>
  <c r="AT81" i="67"/>
  <c r="BD80" i="67"/>
  <c r="BC80" i="67"/>
  <c r="BA80" i="67"/>
  <c r="AZ80" i="67"/>
  <c r="AX80" i="67"/>
  <c r="AW80" i="67"/>
  <c r="AU80" i="67"/>
  <c r="AT80" i="67"/>
  <c r="BD79" i="67"/>
  <c r="BC79" i="67"/>
  <c r="BA79" i="67"/>
  <c r="AZ79" i="67"/>
  <c r="AX79" i="67"/>
  <c r="AW79" i="67"/>
  <c r="AU79" i="67"/>
  <c r="AT79" i="67"/>
  <c r="BD78" i="67"/>
  <c r="BC78" i="67"/>
  <c r="BA78" i="67"/>
  <c r="AZ78" i="67"/>
  <c r="AX78" i="67"/>
  <c r="AW78" i="67"/>
  <c r="AU78" i="67"/>
  <c r="AT78" i="67"/>
  <c r="BD77" i="67"/>
  <c r="BC77" i="67"/>
  <c r="BA77" i="67"/>
  <c r="AZ77" i="67"/>
  <c r="AX77" i="67"/>
  <c r="AW77" i="67"/>
  <c r="AU77" i="67"/>
  <c r="AT77" i="67"/>
  <c r="BD76" i="67"/>
  <c r="BC76" i="67"/>
  <c r="BA76" i="67"/>
  <c r="AZ76" i="67"/>
  <c r="AX76" i="67"/>
  <c r="AW76" i="67"/>
  <c r="AU76" i="67"/>
  <c r="AT76" i="67"/>
  <c r="BD75" i="67"/>
  <c r="BC75" i="67"/>
  <c r="BA75" i="67"/>
  <c r="AZ75" i="67"/>
  <c r="AX75" i="67"/>
  <c r="AW75" i="67"/>
  <c r="AU75" i="67"/>
  <c r="AT75" i="67"/>
  <c r="BD74" i="67"/>
  <c r="BC74" i="67"/>
  <c r="BA74" i="67"/>
  <c r="AZ74" i="67"/>
  <c r="AX74" i="67"/>
  <c r="AW74" i="67"/>
  <c r="AU74" i="67"/>
  <c r="AT74" i="67"/>
  <c r="BD73" i="67"/>
  <c r="BC73" i="67"/>
  <c r="BA73" i="67"/>
  <c r="AZ73" i="67"/>
  <c r="AX73" i="67"/>
  <c r="AW73" i="67"/>
  <c r="AU73" i="67"/>
  <c r="AT73" i="67"/>
  <c r="BD72" i="67"/>
  <c r="BC72" i="67"/>
  <c r="BA72" i="67"/>
  <c r="AZ72" i="67"/>
  <c r="AX72" i="67"/>
  <c r="AW72" i="67"/>
  <c r="AU72" i="67"/>
  <c r="AT72" i="67"/>
  <c r="BD71" i="67"/>
  <c r="BC71" i="67"/>
  <c r="BA71" i="67"/>
  <c r="AZ71" i="67"/>
  <c r="AX71" i="67"/>
  <c r="AW71" i="67"/>
  <c r="AU71" i="67"/>
  <c r="AT71" i="67"/>
  <c r="BD70" i="67"/>
  <c r="BC70" i="67"/>
  <c r="BA70" i="67"/>
  <c r="AZ70" i="67"/>
  <c r="AX70" i="67"/>
  <c r="AW70" i="67"/>
  <c r="AU70" i="67"/>
  <c r="AT70" i="67"/>
  <c r="BD69" i="67"/>
  <c r="BC69" i="67"/>
  <c r="BA69" i="67"/>
  <c r="AZ69" i="67"/>
  <c r="AX69" i="67"/>
  <c r="AW69" i="67"/>
  <c r="AU69" i="67"/>
  <c r="AT69" i="67"/>
  <c r="BD68" i="67"/>
  <c r="BC68" i="67"/>
  <c r="BA68" i="67"/>
  <c r="AZ68" i="67"/>
  <c r="AX68" i="67"/>
  <c r="AW68" i="67"/>
  <c r="AU68" i="67"/>
  <c r="AT68" i="67"/>
  <c r="BD67" i="67"/>
  <c r="BC67" i="67"/>
  <c r="BA67" i="67"/>
  <c r="AZ67" i="67"/>
  <c r="AX67" i="67"/>
  <c r="AW67" i="67"/>
  <c r="AU67" i="67"/>
  <c r="AT67" i="67"/>
  <c r="BD66" i="67"/>
  <c r="BC66" i="67"/>
  <c r="BA66" i="67"/>
  <c r="AZ66" i="67"/>
  <c r="AX66" i="67"/>
  <c r="AW66" i="67"/>
  <c r="AU66" i="67"/>
  <c r="AT66" i="67"/>
  <c r="BD65" i="67"/>
  <c r="BC65" i="67"/>
  <c r="BA65" i="67"/>
  <c r="AZ65" i="67"/>
  <c r="AX65" i="67"/>
  <c r="AW65" i="67"/>
  <c r="AU65" i="67"/>
  <c r="AT65" i="67"/>
  <c r="BD64" i="67"/>
  <c r="BC64" i="67"/>
  <c r="BA64" i="67"/>
  <c r="AZ64" i="67"/>
  <c r="AX64" i="67"/>
  <c r="AW64" i="67"/>
  <c r="AU64" i="67"/>
  <c r="AT64" i="67"/>
  <c r="BD63" i="67"/>
  <c r="BC63" i="67"/>
  <c r="BA63" i="67"/>
  <c r="AZ63" i="67"/>
  <c r="AX63" i="67"/>
  <c r="AW63" i="67"/>
  <c r="AU63" i="67"/>
  <c r="AT63" i="67"/>
  <c r="BD62" i="67"/>
  <c r="BC62" i="67"/>
  <c r="BA62" i="67"/>
  <c r="AZ62" i="67"/>
  <c r="AX62" i="67"/>
  <c r="AW62" i="67"/>
  <c r="AT62" i="67"/>
  <c r="BD61" i="67"/>
  <c r="BC61" i="67"/>
  <c r="BA61" i="67"/>
  <c r="AZ61" i="67"/>
  <c r="AX61" i="67"/>
  <c r="AW61" i="67"/>
  <c r="AU61" i="67"/>
  <c r="AT61" i="67"/>
  <c r="BD60" i="67"/>
  <c r="BC60" i="67"/>
  <c r="BA60" i="67"/>
  <c r="AZ60" i="67"/>
  <c r="AX60" i="67"/>
  <c r="AW60" i="67"/>
  <c r="AU60" i="67"/>
  <c r="AT60" i="67"/>
  <c r="BD59" i="67"/>
  <c r="BC59" i="67"/>
  <c r="BA59" i="67"/>
  <c r="AZ59" i="67"/>
  <c r="AX59" i="67"/>
  <c r="AW59" i="67"/>
  <c r="AU59" i="67"/>
  <c r="AT59" i="67"/>
  <c r="BD58" i="67"/>
  <c r="BC58" i="67"/>
  <c r="BA58" i="67"/>
  <c r="AZ58" i="67"/>
  <c r="AX58" i="67"/>
  <c r="AW58" i="67"/>
  <c r="BD57" i="67"/>
  <c r="BC57" i="67"/>
  <c r="BA57" i="67"/>
  <c r="AZ57" i="67"/>
  <c r="AX57" i="67"/>
  <c r="AW57" i="67"/>
  <c r="AU57" i="67"/>
  <c r="AT57" i="67"/>
  <c r="BD56" i="67"/>
  <c r="BC56" i="67"/>
  <c r="BA56" i="67"/>
  <c r="AZ56" i="67"/>
  <c r="AX56" i="67"/>
  <c r="AW56" i="67"/>
  <c r="AU56" i="67"/>
  <c r="AT56" i="67"/>
  <c r="BD55" i="67"/>
  <c r="BC55" i="67"/>
  <c r="BA55" i="67"/>
  <c r="AZ55" i="67"/>
  <c r="AX55" i="67"/>
  <c r="AW55" i="67"/>
  <c r="AU55" i="67"/>
  <c r="AT55" i="67"/>
  <c r="BD54" i="67"/>
  <c r="BC54" i="67"/>
  <c r="BA54" i="67"/>
  <c r="AZ54" i="67"/>
  <c r="AX54" i="67"/>
  <c r="AW54" i="67"/>
  <c r="AU54" i="67"/>
  <c r="AT54" i="67"/>
  <c r="BD53" i="67"/>
  <c r="BC53" i="67"/>
  <c r="BA53" i="67"/>
  <c r="AZ53" i="67"/>
  <c r="AX53" i="67"/>
  <c r="AW53" i="67"/>
  <c r="AU53" i="67"/>
  <c r="AT53" i="67"/>
  <c r="BD52" i="67"/>
  <c r="BC52" i="67"/>
  <c r="BA52" i="67"/>
  <c r="AZ52" i="67"/>
  <c r="AX52" i="67"/>
  <c r="AW52" i="67"/>
  <c r="AU52" i="67"/>
  <c r="AT52" i="67"/>
  <c r="BD51" i="67"/>
  <c r="BC51" i="67"/>
  <c r="BA51" i="67"/>
  <c r="AZ51" i="67"/>
  <c r="AX51" i="67"/>
  <c r="AW51" i="67"/>
  <c r="AU51" i="67"/>
  <c r="AT51" i="67"/>
  <c r="BD50" i="67"/>
  <c r="BC50" i="67"/>
  <c r="BA50" i="67"/>
  <c r="AZ50" i="67"/>
  <c r="AX50" i="67"/>
  <c r="AW50" i="67"/>
  <c r="AU50" i="67"/>
  <c r="AT50" i="67"/>
  <c r="BD49" i="67"/>
  <c r="BC49" i="67"/>
  <c r="BA49" i="67"/>
  <c r="AZ49" i="67"/>
  <c r="AX49" i="67"/>
  <c r="AW49" i="67"/>
  <c r="AU49" i="67"/>
  <c r="AT49" i="67"/>
  <c r="BD48" i="67"/>
  <c r="BC48" i="67"/>
  <c r="BA48" i="67"/>
  <c r="AZ48" i="67"/>
  <c r="AX48" i="67"/>
  <c r="AW48" i="67"/>
  <c r="AU48" i="67"/>
  <c r="AT48" i="67"/>
  <c r="BD47" i="67"/>
  <c r="BC47" i="67"/>
  <c r="BA47" i="67"/>
  <c r="AZ47" i="67"/>
  <c r="AX47" i="67"/>
  <c r="AW47" i="67"/>
  <c r="AU47" i="67"/>
  <c r="AT47" i="67"/>
  <c r="BD46" i="67"/>
  <c r="BC46" i="67"/>
  <c r="BA46" i="67"/>
  <c r="AZ46" i="67"/>
  <c r="AX46" i="67"/>
  <c r="AW46" i="67"/>
  <c r="AU46" i="67"/>
  <c r="AT46" i="67"/>
  <c r="BD45" i="67"/>
  <c r="BC45" i="67"/>
  <c r="BA45" i="67"/>
  <c r="AZ45" i="67"/>
  <c r="AX45" i="67"/>
  <c r="AW45" i="67"/>
  <c r="AU45" i="67"/>
  <c r="AT45" i="67"/>
  <c r="BD44" i="67"/>
  <c r="BC44" i="67"/>
  <c r="BA44" i="67"/>
  <c r="AZ44" i="67"/>
  <c r="AX44" i="67"/>
  <c r="AW44" i="67"/>
  <c r="AU44" i="67"/>
  <c r="AT44" i="67"/>
  <c r="BD43" i="67"/>
  <c r="BC43" i="67"/>
  <c r="BA43" i="67"/>
  <c r="AZ43" i="67"/>
  <c r="AX43" i="67"/>
  <c r="AW43" i="67"/>
  <c r="AU43" i="67"/>
  <c r="AT43" i="67"/>
  <c r="BD42" i="67"/>
  <c r="BC42" i="67"/>
  <c r="BA42" i="67"/>
  <c r="AZ42" i="67"/>
  <c r="AX42" i="67"/>
  <c r="AW42" i="67"/>
  <c r="AU42" i="67"/>
  <c r="AT42" i="67"/>
  <c r="BD41" i="67"/>
  <c r="BC41" i="67"/>
  <c r="BA41" i="67"/>
  <c r="AZ41" i="67"/>
  <c r="AX41" i="67"/>
  <c r="AW41" i="67"/>
  <c r="AU41" i="67"/>
  <c r="AT41" i="67"/>
  <c r="BD40" i="67"/>
  <c r="BC40" i="67"/>
  <c r="BA40" i="67"/>
  <c r="AZ40" i="67"/>
  <c r="AX40" i="67"/>
  <c r="AW40" i="67"/>
  <c r="AU40" i="67"/>
  <c r="AT40" i="67"/>
  <c r="BD39" i="67"/>
  <c r="BC39" i="67"/>
  <c r="BA39" i="67"/>
  <c r="AZ39" i="67"/>
  <c r="AX39" i="67"/>
  <c r="AW39" i="67"/>
  <c r="AU39" i="67"/>
  <c r="AT39" i="67"/>
  <c r="BD38" i="67"/>
  <c r="BC38" i="67"/>
  <c r="BA38" i="67"/>
  <c r="AZ38" i="67"/>
  <c r="AX38" i="67"/>
  <c r="AW38" i="67"/>
  <c r="AU38" i="67"/>
  <c r="AT38" i="67"/>
  <c r="BD37" i="67"/>
  <c r="BC37" i="67"/>
  <c r="BA37" i="67"/>
  <c r="AZ37" i="67"/>
  <c r="AX37" i="67"/>
  <c r="AW37" i="67"/>
  <c r="AU37" i="67"/>
  <c r="AT37" i="67"/>
  <c r="BD36" i="67"/>
  <c r="BC36" i="67"/>
  <c r="BA36" i="67"/>
  <c r="AZ36" i="67"/>
  <c r="AX36" i="67"/>
  <c r="AW36" i="67"/>
  <c r="AU36" i="67"/>
  <c r="AT36" i="67"/>
  <c r="BD35" i="67"/>
  <c r="BC35" i="67"/>
  <c r="BA35" i="67"/>
  <c r="AZ35" i="67"/>
  <c r="AX35" i="67"/>
  <c r="AW35" i="67"/>
  <c r="AU35" i="67"/>
  <c r="AT35" i="67"/>
  <c r="BD34" i="67"/>
  <c r="BC34" i="67"/>
  <c r="BA34" i="67"/>
  <c r="AZ34" i="67"/>
  <c r="AX34" i="67"/>
  <c r="AW34" i="67"/>
  <c r="AU34" i="67"/>
  <c r="AT34" i="67"/>
  <c r="BD33" i="67"/>
  <c r="BC33" i="67"/>
  <c r="BA33" i="67"/>
  <c r="AZ33" i="67"/>
  <c r="AX33" i="67"/>
  <c r="AW33" i="67"/>
  <c r="AU33" i="67"/>
  <c r="AT33" i="67"/>
  <c r="BD32" i="67"/>
  <c r="BC32" i="67"/>
  <c r="BA32" i="67"/>
  <c r="AZ32" i="67"/>
  <c r="AX32" i="67"/>
  <c r="AW32" i="67"/>
  <c r="AU32" i="67"/>
  <c r="AT32" i="67"/>
  <c r="BD31" i="67"/>
  <c r="BC31" i="67"/>
  <c r="BA31" i="67"/>
  <c r="AZ31" i="67"/>
  <c r="AX31" i="67"/>
  <c r="AW31" i="67"/>
  <c r="AU31" i="67"/>
  <c r="AT31" i="67"/>
  <c r="BD30" i="67"/>
  <c r="BC30" i="67"/>
  <c r="BA30" i="67"/>
  <c r="AZ30" i="67"/>
  <c r="AX30" i="67"/>
  <c r="AW30" i="67"/>
  <c r="AU30" i="67"/>
  <c r="AT30" i="67"/>
  <c r="BD29" i="67"/>
  <c r="BC29" i="67"/>
  <c r="BA29" i="67"/>
  <c r="AZ29" i="67"/>
  <c r="AX29" i="67"/>
  <c r="AW29" i="67"/>
  <c r="AU29" i="67"/>
  <c r="AT29" i="67"/>
  <c r="BD28" i="67"/>
  <c r="BC28" i="67"/>
  <c r="BA28" i="67"/>
  <c r="AZ28" i="67"/>
  <c r="AX28" i="67"/>
  <c r="AW28" i="67"/>
  <c r="AU28" i="67"/>
  <c r="AT28" i="67"/>
  <c r="BD27" i="67"/>
  <c r="BC27" i="67"/>
  <c r="BA27" i="67"/>
  <c r="AZ27" i="67"/>
  <c r="AX27" i="67"/>
  <c r="AW27" i="67"/>
  <c r="AU27" i="67"/>
  <c r="AT27" i="67"/>
  <c r="J22" i="67"/>
  <c r="I22" i="67"/>
  <c r="AZ18" i="66"/>
  <c r="AZ24" i="66"/>
  <c r="BA18" i="66"/>
  <c r="AZ19" i="66"/>
  <c r="BA19" i="66"/>
  <c r="BA20" i="66"/>
  <c r="AZ20" i="66"/>
  <c r="AZ21" i="66"/>
  <c r="AZ22" i="66"/>
  <c r="AZ25" i="66"/>
  <c r="BA21" i="66"/>
  <c r="BA22" i="66"/>
  <c r="AZ23" i="66"/>
  <c r="BA23" i="66"/>
  <c r="BA24" i="66"/>
  <c r="BA25" i="66"/>
  <c r="AZ26" i="66"/>
  <c r="BA26" i="66"/>
  <c r="BA27" i="66"/>
  <c r="AZ9" i="66"/>
  <c r="BA9" i="66"/>
  <c r="AZ10" i="66"/>
  <c r="BA10" i="66"/>
  <c r="AZ11" i="66"/>
  <c r="BA11" i="66"/>
  <c r="AZ12" i="66"/>
  <c r="BA12" i="66"/>
  <c r="BA8" i="66"/>
  <c r="AZ8" i="66"/>
  <c r="BA7" i="66"/>
  <c r="AZ7" i="66"/>
  <c r="BA6" i="66"/>
  <c r="AZ6" i="66"/>
  <c r="BA5" i="66"/>
  <c r="AZ5" i="66"/>
  <c r="C31" i="58"/>
  <c r="B31" i="58"/>
  <c r="C30" i="58"/>
  <c r="B30" i="58"/>
  <c r="C29" i="58"/>
  <c r="B29" i="58"/>
  <c r="C29" i="59"/>
  <c r="C30" i="59"/>
  <c r="C31" i="59"/>
  <c r="B31" i="59"/>
  <c r="B30" i="59"/>
  <c r="C32" i="59"/>
  <c r="C33" i="58"/>
  <c r="C34" i="58"/>
  <c r="AX101" i="67"/>
  <c r="AW95" i="67"/>
  <c r="AX96" i="67"/>
  <c r="AW97" i="67"/>
  <c r="AW96" i="67"/>
  <c r="AW101" i="67"/>
  <c r="AW94" i="67"/>
  <c r="H113" i="68"/>
  <c r="H110" i="68"/>
  <c r="H112" i="68"/>
  <c r="AJ113" i="68"/>
  <c r="AJ110" i="68"/>
  <c r="AJ112" i="68"/>
  <c r="AJ116" i="68"/>
  <c r="H109" i="68"/>
  <c r="H111" i="68"/>
  <c r="AJ109" i="68"/>
  <c r="AJ111" i="68"/>
  <c r="AJ95" i="67"/>
  <c r="AJ97" i="67"/>
  <c r="AJ101" i="67"/>
  <c r="AJ94" i="67"/>
  <c r="AJ96" i="67"/>
  <c r="B33" i="58"/>
  <c r="B35" i="58"/>
  <c r="AZ27" i="66"/>
  <c r="B32" i="58"/>
  <c r="C32" i="58"/>
  <c r="C33" i="59"/>
  <c r="C34" i="59"/>
  <c r="C35" i="58"/>
  <c r="B34" i="58"/>
  <c r="C35" i="59"/>
  <c r="B32" i="59"/>
  <c r="B33" i="59"/>
  <c r="B35" i="59"/>
  <c r="B34" i="59"/>
  <c r="C25" i="58"/>
  <c r="B25" i="58"/>
  <c r="C24" i="58"/>
  <c r="B24" i="58"/>
  <c r="C23" i="58"/>
  <c r="B23" i="58"/>
  <c r="C26" i="58"/>
  <c r="B26" i="58"/>
  <c r="AU21" i="66"/>
  <c r="AW21" i="66"/>
  <c r="AX21" i="66"/>
  <c r="AT21" i="66"/>
  <c r="AX12" i="66"/>
  <c r="AW12" i="66"/>
  <c r="AU12" i="66"/>
  <c r="AT12" i="66"/>
  <c r="AX11" i="66"/>
  <c r="AW11" i="66"/>
  <c r="AU11" i="66"/>
  <c r="AT11" i="66"/>
  <c r="AX10" i="66"/>
  <c r="AW10" i="66"/>
  <c r="AU10" i="66"/>
  <c r="AT10" i="66"/>
  <c r="AX9" i="66"/>
  <c r="AW9" i="66"/>
  <c r="AU9" i="66"/>
  <c r="AT9" i="66"/>
  <c r="AX8" i="66"/>
  <c r="AW8" i="66"/>
  <c r="AU8" i="66"/>
  <c r="AT8" i="66"/>
  <c r="AX7" i="66"/>
  <c r="AW7" i="66"/>
  <c r="AU7" i="66"/>
  <c r="AT7" i="66"/>
  <c r="AX6" i="66"/>
  <c r="AW6" i="66"/>
  <c r="AU6" i="66"/>
  <c r="AT6" i="66"/>
  <c r="AX5" i="66"/>
  <c r="AX18" i="66"/>
  <c r="AW5" i="66"/>
  <c r="AW18" i="66"/>
  <c r="AU5" i="66"/>
  <c r="AT5" i="66"/>
  <c r="AT19" i="66"/>
  <c r="AT23" i="66"/>
  <c r="AK21" i="66"/>
  <c r="I21" i="66"/>
  <c r="AK19" i="66"/>
  <c r="I19" i="66"/>
  <c r="AK18" i="66"/>
  <c r="AK26" i="66"/>
  <c r="I18" i="66"/>
  <c r="I26" i="66"/>
  <c r="AU18" i="66"/>
  <c r="I27" i="66"/>
  <c r="AW24" i="66"/>
  <c r="AW26" i="66"/>
  <c r="AU24" i="66"/>
  <c r="AU26" i="66"/>
  <c r="AX26" i="66"/>
  <c r="AX24" i="66"/>
  <c r="AX19" i="66"/>
  <c r="AX23" i="66"/>
  <c r="AK22" i="66"/>
  <c r="AK25" i="66"/>
  <c r="AW19" i="66"/>
  <c r="AW23" i="66"/>
  <c r="AT18" i="66"/>
  <c r="AT24" i="66"/>
  <c r="AU19" i="66"/>
  <c r="AT22" i="66"/>
  <c r="AT25" i="66"/>
  <c r="AT27" i="66"/>
  <c r="AK23" i="66"/>
  <c r="AK27" i="66"/>
  <c r="I20" i="66"/>
  <c r="I24" i="66"/>
  <c r="AK20" i="66"/>
  <c r="AK24" i="66"/>
  <c r="I22" i="66"/>
  <c r="I25" i="66"/>
  <c r="I23" i="66"/>
  <c r="C25" i="59"/>
  <c r="B25" i="59"/>
  <c r="AT26" i="66"/>
  <c r="AT20" i="66"/>
  <c r="AW22" i="66"/>
  <c r="AW25" i="66"/>
  <c r="AX27" i="66"/>
  <c r="AU20" i="66"/>
  <c r="AU23" i="66"/>
  <c r="AU22" i="66"/>
  <c r="AU25" i="66"/>
  <c r="AU27" i="66"/>
  <c r="AX20" i="66"/>
  <c r="AX22" i="66"/>
  <c r="AX25" i="66"/>
  <c r="AW27" i="66"/>
  <c r="AW20" i="66"/>
  <c r="O4" i="65"/>
  <c r="O5" i="65"/>
  <c r="O6" i="65"/>
  <c r="O7" i="65"/>
  <c r="O8" i="65"/>
  <c r="O9" i="65"/>
  <c r="O10" i="65"/>
  <c r="O11" i="65"/>
  <c r="O3" i="65"/>
  <c r="X3" i="65"/>
  <c r="Z3" i="65"/>
  <c r="Y3" i="65"/>
  <c r="AA3" i="65"/>
  <c r="AB3" i="65"/>
  <c r="AC3" i="65"/>
  <c r="X4" i="65"/>
  <c r="Z4" i="65"/>
  <c r="Y4" i="65"/>
  <c r="AA4" i="65"/>
  <c r="AB4" i="65"/>
  <c r="AC4" i="65"/>
  <c r="N3" i="65"/>
  <c r="N4" i="65"/>
  <c r="P4" i="65"/>
  <c r="P3" i="65"/>
  <c r="AE3" i="65"/>
  <c r="AE4" i="65"/>
  <c r="AD4" i="65"/>
  <c r="AD3" i="65"/>
  <c r="X8" i="65"/>
  <c r="Y8" i="65"/>
  <c r="X5" i="65"/>
  <c r="Y5" i="65"/>
  <c r="X9" i="65"/>
  <c r="Y9" i="65"/>
  <c r="X10" i="65"/>
  <c r="Y10" i="65"/>
  <c r="X11" i="65"/>
  <c r="Y11" i="65"/>
  <c r="X7" i="65"/>
  <c r="Y7" i="65"/>
  <c r="Y6" i="65"/>
  <c r="X6" i="65"/>
  <c r="N7" i="65"/>
  <c r="N8" i="65"/>
  <c r="N5" i="65"/>
  <c r="N9" i="65"/>
  <c r="N10" i="65"/>
  <c r="N11" i="65"/>
  <c r="N6" i="65"/>
  <c r="AA6" i="65"/>
  <c r="Z6" i="65"/>
  <c r="AN20" i="65"/>
  <c r="K20" i="65"/>
  <c r="H20" i="65"/>
  <c r="AN19" i="65"/>
  <c r="K19" i="65"/>
  <c r="H19" i="65"/>
  <c r="AC11" i="65"/>
  <c r="AB11" i="65"/>
  <c r="AA11" i="65"/>
  <c r="Z11" i="65"/>
  <c r="P11" i="65"/>
  <c r="AD11" i="65"/>
  <c r="AC10" i="65"/>
  <c r="AB10" i="65"/>
  <c r="AA10" i="65"/>
  <c r="Z10" i="65"/>
  <c r="P10" i="65"/>
  <c r="AD10" i="65"/>
  <c r="AC9" i="65"/>
  <c r="AB9" i="65"/>
  <c r="AA9" i="65"/>
  <c r="Z9" i="65"/>
  <c r="P9" i="65"/>
  <c r="AE9" i="65"/>
  <c r="AC5" i="65"/>
  <c r="AB5" i="65"/>
  <c r="AA5" i="65"/>
  <c r="Z5" i="65"/>
  <c r="P5" i="65"/>
  <c r="AD5" i="65"/>
  <c r="AC8" i="65"/>
  <c r="AB8" i="65"/>
  <c r="AA8" i="65"/>
  <c r="Z8" i="65"/>
  <c r="P8" i="65"/>
  <c r="AD8" i="65"/>
  <c r="AC7" i="65"/>
  <c r="AB7" i="65"/>
  <c r="AA7" i="65"/>
  <c r="Z7" i="65"/>
  <c r="P7" i="65"/>
  <c r="AE7" i="65"/>
  <c r="AC6" i="65"/>
  <c r="AB6" i="65"/>
  <c r="P6" i="65"/>
  <c r="AE6" i="65"/>
  <c r="AD7" i="65"/>
  <c r="AE8" i="65"/>
  <c r="AD9" i="65"/>
  <c r="AE5" i="65"/>
  <c r="AE11" i="65"/>
  <c r="AD6" i="65"/>
  <c r="AE10" i="65"/>
  <c r="K24" i="65"/>
  <c r="K23" i="65"/>
  <c r="K21" i="65"/>
  <c r="H24" i="65"/>
  <c r="H23" i="65"/>
  <c r="H21" i="65"/>
  <c r="H22" i="65"/>
  <c r="AD24" i="65"/>
  <c r="AD25" i="65"/>
  <c r="K22" i="65"/>
  <c r="AC14" i="64"/>
  <c r="AC20" i="64"/>
  <c r="AC15" i="64"/>
  <c r="AC16" i="64"/>
  <c r="AC17" i="64"/>
  <c r="AC18" i="64"/>
  <c r="AC21" i="64"/>
  <c r="AC19" i="64"/>
  <c r="AC22" i="64"/>
  <c r="AC23" i="64"/>
  <c r="AB18" i="64"/>
  <c r="AB15" i="64"/>
  <c r="AB14" i="64"/>
  <c r="AB17" i="64"/>
  <c r="AN14" i="64"/>
  <c r="AN13" i="64"/>
  <c r="Y8" i="64"/>
  <c r="AA8" i="64"/>
  <c r="X8" i="64"/>
  <c r="Z8" i="64"/>
  <c r="O8" i="64"/>
  <c r="N8" i="64"/>
  <c r="Y7" i="64"/>
  <c r="AA7" i="64"/>
  <c r="X7" i="64"/>
  <c r="Z7" i="64"/>
  <c r="O7" i="64"/>
  <c r="N7" i="64"/>
  <c r="Z6" i="64"/>
  <c r="Y6" i="64"/>
  <c r="AA6" i="64"/>
  <c r="X6" i="64"/>
  <c r="O6" i="64"/>
  <c r="N6" i="64"/>
  <c r="Y5" i="64"/>
  <c r="AA5" i="64"/>
  <c r="X5" i="64"/>
  <c r="Z5" i="64"/>
  <c r="O5" i="64"/>
  <c r="N5" i="64"/>
  <c r="Y4" i="64"/>
  <c r="AA4" i="64"/>
  <c r="X4" i="64"/>
  <c r="Z4" i="64"/>
  <c r="O4" i="64"/>
  <c r="N4" i="64"/>
  <c r="Y3" i="64"/>
  <c r="AA3" i="64"/>
  <c r="X3" i="64"/>
  <c r="Z3" i="64"/>
  <c r="O3" i="64"/>
  <c r="N3" i="64"/>
  <c r="Y2" i="64"/>
  <c r="AA2" i="64"/>
  <c r="X2" i="64"/>
  <c r="Z2" i="64"/>
  <c r="O2" i="64"/>
  <c r="N2" i="64"/>
  <c r="B11" i="63"/>
  <c r="L69" i="63"/>
  <c r="L68" i="63"/>
  <c r="L66" i="63"/>
  <c r="O63" i="63"/>
  <c r="N63" i="63"/>
  <c r="M63" i="63"/>
  <c r="L63" i="63"/>
  <c r="L64" i="63"/>
  <c r="L67" i="63"/>
  <c r="O62" i="63"/>
  <c r="L62" i="63"/>
  <c r="O61" i="63"/>
  <c r="O64" i="63"/>
  <c r="O67" i="63"/>
  <c r="N61" i="63"/>
  <c r="N64" i="63"/>
  <c r="N67" i="63"/>
  <c r="M61" i="63"/>
  <c r="M65" i="63"/>
  <c r="L61" i="63"/>
  <c r="L65" i="63"/>
  <c r="O60" i="63"/>
  <c r="O69" i="63"/>
  <c r="N60" i="63"/>
  <c r="N69" i="63"/>
  <c r="M60" i="63"/>
  <c r="M69" i="63"/>
  <c r="L60" i="63"/>
  <c r="Q56" i="63"/>
  <c r="P56" i="63"/>
  <c r="Q55" i="63"/>
  <c r="P55" i="63"/>
  <c r="Q54" i="63"/>
  <c r="P54" i="63"/>
  <c r="Q53" i="63"/>
  <c r="P53" i="63"/>
  <c r="Q52" i="63"/>
  <c r="P52" i="63"/>
  <c r="Q51" i="63"/>
  <c r="P51" i="63"/>
  <c r="Q50" i="63"/>
  <c r="P50" i="63"/>
  <c r="Q49" i="63"/>
  <c r="P49" i="63"/>
  <c r="Q48" i="63"/>
  <c r="P48" i="63"/>
  <c r="Q47" i="63"/>
  <c r="P47" i="63"/>
  <c r="Q46" i="63"/>
  <c r="P46" i="63"/>
  <c r="Q45" i="63"/>
  <c r="Q61" i="63"/>
  <c r="P45" i="63"/>
  <c r="P61" i="63"/>
  <c r="P26" i="63"/>
  <c r="P25" i="63"/>
  <c r="P23" i="63"/>
  <c r="P22" i="63"/>
  <c r="BF20" i="63"/>
  <c r="P20" i="63"/>
  <c r="P21" i="63"/>
  <c r="P24" i="63"/>
  <c r="C20" i="63"/>
  <c r="B20" i="63"/>
  <c r="BF18" i="63"/>
  <c r="BF22" i="63"/>
  <c r="BE18" i="63"/>
  <c r="P18" i="63"/>
  <c r="O18" i="63"/>
  <c r="O19" i="63"/>
  <c r="BF17" i="63"/>
  <c r="BF26" i="63"/>
  <c r="BE17" i="63"/>
  <c r="BE19" i="63"/>
  <c r="P17" i="63"/>
  <c r="P19" i="63"/>
  <c r="O17" i="63"/>
  <c r="C13" i="63"/>
  <c r="B13" i="63"/>
  <c r="C12" i="63"/>
  <c r="B12" i="63"/>
  <c r="C11" i="63"/>
  <c r="C10" i="63"/>
  <c r="B10" i="63"/>
  <c r="C9" i="63"/>
  <c r="B9" i="63"/>
  <c r="C8" i="63"/>
  <c r="B8" i="63"/>
  <c r="C7" i="63"/>
  <c r="C18" i="63"/>
  <c r="B7" i="63"/>
  <c r="C6" i="63"/>
  <c r="C17" i="63"/>
  <c r="B6" i="63"/>
  <c r="B18" i="63"/>
  <c r="AD22" i="65"/>
  <c r="AD27" i="65"/>
  <c r="AD19" i="65"/>
  <c r="AE19" i="65"/>
  <c r="AE24" i="65"/>
  <c r="AE25" i="65"/>
  <c r="AE20" i="65"/>
  <c r="AE21" i="65"/>
  <c r="AE22" i="65"/>
  <c r="AD20" i="65"/>
  <c r="AD21" i="65"/>
  <c r="AD23" i="65"/>
  <c r="AD26" i="65"/>
  <c r="P2" i="64"/>
  <c r="P4" i="64"/>
  <c r="P6" i="64"/>
  <c r="AB6" i="64"/>
  <c r="P8" i="64"/>
  <c r="AC8" i="64"/>
  <c r="P3" i="64"/>
  <c r="AC3" i="64"/>
  <c r="P5" i="64"/>
  <c r="AB5" i="64"/>
  <c r="P7" i="64"/>
  <c r="AB7" i="64"/>
  <c r="AB2" i="64"/>
  <c r="AC2" i="64"/>
  <c r="AC6" i="64"/>
  <c r="AC4" i="64"/>
  <c r="AB4" i="64"/>
  <c r="AC7" i="64"/>
  <c r="AB8" i="64"/>
  <c r="C26" i="63"/>
  <c r="C25" i="63"/>
  <c r="C23" i="63"/>
  <c r="C22" i="63"/>
  <c r="C21" i="63"/>
  <c r="C24" i="63"/>
  <c r="C19" i="63"/>
  <c r="Q65" i="63"/>
  <c r="Q64" i="63"/>
  <c r="B22" i="63"/>
  <c r="B21" i="63"/>
  <c r="B24" i="63"/>
  <c r="P65" i="63"/>
  <c r="P64" i="63"/>
  <c r="BF19" i="63"/>
  <c r="BF21" i="63"/>
  <c r="BF24" i="63"/>
  <c r="BF23" i="63"/>
  <c r="BF25" i="63"/>
  <c r="M62" i="63"/>
  <c r="M64" i="63"/>
  <c r="M67" i="63"/>
  <c r="O65" i="63"/>
  <c r="M66" i="63"/>
  <c r="M68" i="63"/>
  <c r="B17" i="63"/>
  <c r="N65" i="63"/>
  <c r="N62" i="63"/>
  <c r="N66" i="63"/>
  <c r="N68" i="63"/>
  <c r="O66" i="63"/>
  <c r="O68" i="63"/>
  <c r="AU67" i="60"/>
  <c r="AU73" i="60"/>
  <c r="AU68" i="60"/>
  <c r="AU71" i="60"/>
  <c r="AU72" i="60"/>
  <c r="AU74" i="60"/>
  <c r="AU75" i="60"/>
  <c r="AU76" i="60"/>
  <c r="AT74" i="60"/>
  <c r="AT75" i="60"/>
  <c r="AT68" i="60"/>
  <c r="AT67" i="60"/>
  <c r="H77" i="60"/>
  <c r="AJ74" i="60"/>
  <c r="AJ75" i="60"/>
  <c r="H74" i="60"/>
  <c r="H75" i="60"/>
  <c r="H72" i="60"/>
  <c r="AR68" i="60"/>
  <c r="AJ68" i="60"/>
  <c r="AJ77" i="60"/>
  <c r="H68" i="60"/>
  <c r="H69" i="60"/>
  <c r="AR67" i="60"/>
  <c r="AJ67" i="60"/>
  <c r="AJ73" i="60"/>
  <c r="H67" i="60"/>
  <c r="H71" i="60"/>
  <c r="AU57" i="60"/>
  <c r="AT57" i="60"/>
  <c r="AU56" i="60"/>
  <c r="AT56" i="60"/>
  <c r="AU55" i="60"/>
  <c r="AT55" i="60"/>
  <c r="AU54" i="60"/>
  <c r="AT54" i="60"/>
  <c r="AU53" i="60"/>
  <c r="AT53" i="60"/>
  <c r="AU52" i="60"/>
  <c r="AT52" i="60"/>
  <c r="AU51" i="60"/>
  <c r="AT51" i="60"/>
  <c r="AU50" i="60"/>
  <c r="AT50" i="60"/>
  <c r="AU49" i="60"/>
  <c r="AT49" i="60"/>
  <c r="AU48" i="60"/>
  <c r="AT48" i="60"/>
  <c r="AU47" i="60"/>
  <c r="AT47" i="60"/>
  <c r="AU46" i="60"/>
  <c r="AT46" i="60"/>
  <c r="AU45" i="60"/>
  <c r="AT45" i="60"/>
  <c r="AU44" i="60"/>
  <c r="AT44" i="60"/>
  <c r="AU43" i="60"/>
  <c r="AT43" i="60"/>
  <c r="AU42" i="60"/>
  <c r="AT42" i="60"/>
  <c r="AU41" i="60"/>
  <c r="AT41" i="60"/>
  <c r="AU40" i="60"/>
  <c r="AT40" i="60"/>
  <c r="AU39" i="60"/>
  <c r="AT39" i="60"/>
  <c r="AU38" i="60"/>
  <c r="AT38" i="60"/>
  <c r="AU37" i="60"/>
  <c r="AT37" i="60"/>
  <c r="AU36" i="60"/>
  <c r="AT36" i="60"/>
  <c r="AU35" i="60"/>
  <c r="AT35" i="60"/>
  <c r="AU34" i="60"/>
  <c r="AT34" i="60"/>
  <c r="AU33" i="60"/>
  <c r="AT33" i="60"/>
  <c r="AU32" i="60"/>
  <c r="AT32" i="60"/>
  <c r="AU31" i="60"/>
  <c r="AT31" i="60"/>
  <c r="AU30" i="60"/>
  <c r="AT30" i="60"/>
  <c r="AU29" i="60"/>
  <c r="AT29" i="60"/>
  <c r="AU28" i="60"/>
  <c r="AT28" i="60"/>
  <c r="AU27" i="60"/>
  <c r="AT27" i="60"/>
  <c r="AU26" i="60"/>
  <c r="AT26" i="60"/>
  <c r="AU25" i="60"/>
  <c r="AT25" i="60"/>
  <c r="AU24" i="60"/>
  <c r="AT24" i="60"/>
  <c r="AU23" i="60"/>
  <c r="AT23" i="60"/>
  <c r="AU22" i="60"/>
  <c r="AT22" i="60"/>
  <c r="AU21" i="60"/>
  <c r="AT21" i="60"/>
  <c r="AU20" i="60"/>
  <c r="AT20" i="60"/>
  <c r="AE23" i="65"/>
  <c r="AE26" i="65"/>
  <c r="AE27" i="65"/>
  <c r="AC5" i="64"/>
  <c r="AB3" i="64"/>
  <c r="B26" i="63"/>
  <c r="B25" i="63"/>
  <c r="B23" i="63"/>
  <c r="B19" i="63"/>
  <c r="AU70" i="60"/>
  <c r="AU77" i="60"/>
  <c r="AU69" i="60"/>
  <c r="H73" i="60"/>
  <c r="H70" i="60"/>
  <c r="H76" i="60"/>
  <c r="AJ69" i="60"/>
  <c r="AJ70" i="60"/>
  <c r="AJ71" i="60"/>
  <c r="AJ72" i="60"/>
  <c r="AJ76" i="60"/>
  <c r="C24" i="59"/>
  <c r="C26" i="59"/>
  <c r="B24" i="59"/>
  <c r="B26" i="59"/>
  <c r="C23" i="59"/>
  <c r="AB19" i="64"/>
  <c r="AB21" i="64"/>
  <c r="AB16" i="64"/>
  <c r="AT77" i="60"/>
  <c r="AT76" i="60"/>
  <c r="AT69" i="60"/>
  <c r="AT73" i="60"/>
  <c r="AT72" i="60"/>
  <c r="AT71" i="60"/>
  <c r="AT70" i="60"/>
  <c r="AW8" i="57"/>
  <c r="AU8" i="57"/>
  <c r="Y8" i="57"/>
  <c r="X8" i="57"/>
  <c r="Z8" i="57"/>
  <c r="O8" i="57"/>
  <c r="N8" i="57"/>
  <c r="AW7" i="57"/>
  <c r="AU7" i="57"/>
  <c r="Y7" i="57"/>
  <c r="X7" i="57"/>
  <c r="Z7" i="57"/>
  <c r="O7" i="57"/>
  <c r="N7" i="57"/>
  <c r="AW6" i="57"/>
  <c r="AU6" i="57"/>
  <c r="Y6" i="57"/>
  <c r="AA6" i="57"/>
  <c r="X6" i="57"/>
  <c r="Z6" i="57"/>
  <c r="O6" i="57"/>
  <c r="N6" i="57"/>
  <c r="AW5" i="57"/>
  <c r="AU5" i="57"/>
  <c r="Y5" i="57"/>
  <c r="AA5" i="57"/>
  <c r="X5" i="57"/>
  <c r="O5" i="57"/>
  <c r="N5" i="57"/>
  <c r="AW4" i="57"/>
  <c r="AU4" i="57"/>
  <c r="Y4" i="57"/>
  <c r="AA4" i="57"/>
  <c r="X4" i="57"/>
  <c r="Z4" i="57"/>
  <c r="O4" i="57"/>
  <c r="N4" i="57"/>
  <c r="AW3" i="57"/>
  <c r="AU3" i="57"/>
  <c r="Y3" i="57"/>
  <c r="AA3" i="57"/>
  <c r="X3" i="57"/>
  <c r="Z3" i="57"/>
  <c r="O3" i="57"/>
  <c r="N3" i="57"/>
  <c r="AW2" i="57"/>
  <c r="AU2" i="57"/>
  <c r="Y2" i="57"/>
  <c r="AA2" i="57"/>
  <c r="X2" i="57"/>
  <c r="O2" i="57"/>
  <c r="N2" i="57"/>
  <c r="AB20" i="64"/>
  <c r="AB23" i="64"/>
  <c r="AB22" i="64"/>
  <c r="P8" i="57"/>
  <c r="S8" i="57"/>
  <c r="U8" i="57"/>
  <c r="AG8" i="57"/>
  <c r="AB8" i="57"/>
  <c r="AV8" i="57"/>
  <c r="P5" i="57"/>
  <c r="AC5" i="57"/>
  <c r="AX5" i="57"/>
  <c r="P2" i="57"/>
  <c r="S2" i="57"/>
  <c r="U2" i="57"/>
  <c r="AG2" i="57"/>
  <c r="P3" i="57"/>
  <c r="R3" i="57"/>
  <c r="T3" i="57"/>
  <c r="AF3" i="57"/>
  <c r="P4" i="57"/>
  <c r="R4" i="57"/>
  <c r="T4" i="57"/>
  <c r="AF4" i="57"/>
  <c r="S4" i="57"/>
  <c r="U4" i="57"/>
  <c r="AG4" i="57"/>
  <c r="P6" i="57"/>
  <c r="Z5" i="57"/>
  <c r="AA7" i="57"/>
  <c r="R8" i="57"/>
  <c r="T8" i="57"/>
  <c r="AF8" i="57"/>
  <c r="Z2" i="57"/>
  <c r="P7" i="57"/>
  <c r="AC7" i="57"/>
  <c r="AX7" i="57"/>
  <c r="AC8" i="57"/>
  <c r="AX8" i="57"/>
  <c r="AA8" i="57"/>
  <c r="S5" i="57"/>
  <c r="U5" i="57"/>
  <c r="AG5" i="57"/>
  <c r="AB4" i="57"/>
  <c r="AV4" i="57"/>
  <c r="AC2" i="57"/>
  <c r="R2" i="57"/>
  <c r="T2" i="57"/>
  <c r="AF2" i="57"/>
  <c r="AC4" i="57"/>
  <c r="AX4" i="57"/>
  <c r="AB3" i="57"/>
  <c r="AV3" i="57"/>
  <c r="AB2" i="57"/>
  <c r="S3" i="57"/>
  <c r="U3" i="57"/>
  <c r="AG3" i="57"/>
  <c r="AC3" i="57"/>
  <c r="AX3" i="57"/>
  <c r="R5" i="57"/>
  <c r="T5" i="57"/>
  <c r="AF5" i="57"/>
  <c r="AB5" i="57"/>
  <c r="AV5" i="57"/>
  <c r="S7" i="57"/>
  <c r="U7" i="57"/>
  <c r="AG7" i="57"/>
  <c r="R7" i="57"/>
  <c r="T7" i="57"/>
  <c r="AF7" i="57"/>
  <c r="AB7" i="57"/>
  <c r="AV7" i="57"/>
  <c r="AB6" i="57"/>
  <c r="AV6" i="57"/>
  <c r="S6" i="57"/>
  <c r="U6" i="57"/>
  <c r="AG6" i="57"/>
  <c r="R6" i="57"/>
  <c r="T6" i="57"/>
  <c r="AF6" i="57"/>
  <c r="AC6" i="57"/>
  <c r="AX6" i="57"/>
  <c r="AV2" i="57"/>
  <c r="AB19" i="57"/>
  <c r="AB20" i="57"/>
  <c r="AB13" i="57"/>
  <c r="AB12" i="57"/>
  <c r="AX2" i="57"/>
  <c r="AC12" i="57"/>
  <c r="AC13" i="57"/>
  <c r="AC19" i="57"/>
  <c r="AC20" i="57"/>
  <c r="J52" i="56"/>
  <c r="J54" i="56"/>
  <c r="I52" i="56"/>
  <c r="I54" i="56"/>
  <c r="H52" i="56"/>
  <c r="H54" i="56"/>
  <c r="J51" i="56"/>
  <c r="I51" i="56"/>
  <c r="H51" i="56"/>
  <c r="Z49" i="56"/>
  <c r="Y49" i="56"/>
  <c r="N49" i="56"/>
  <c r="M49" i="56"/>
  <c r="Z48" i="56"/>
  <c r="Y48" i="56"/>
  <c r="N48" i="56"/>
  <c r="M48" i="56"/>
  <c r="Z47" i="56"/>
  <c r="Y47" i="56"/>
  <c r="N47" i="56"/>
  <c r="M47" i="56"/>
  <c r="Z46" i="56"/>
  <c r="Y46" i="56"/>
  <c r="N46" i="56"/>
  <c r="M46" i="56"/>
  <c r="Z45" i="56"/>
  <c r="Y45" i="56"/>
  <c r="N45" i="56"/>
  <c r="M45" i="56"/>
  <c r="Z44" i="56"/>
  <c r="Y44" i="56"/>
  <c r="N44" i="56"/>
  <c r="M44" i="56"/>
  <c r="Z43" i="56"/>
  <c r="Y43" i="56"/>
  <c r="N43" i="56"/>
  <c r="M43" i="56"/>
  <c r="J33" i="56"/>
  <c r="I33" i="56"/>
  <c r="H33" i="56"/>
  <c r="J32" i="56"/>
  <c r="I32" i="56"/>
  <c r="H32" i="56"/>
  <c r="Z30" i="56"/>
  <c r="Y30" i="56"/>
  <c r="N30" i="56"/>
  <c r="M30" i="56"/>
  <c r="Z29" i="56"/>
  <c r="Y29" i="56"/>
  <c r="N29" i="56"/>
  <c r="M29" i="56"/>
  <c r="Z28" i="56"/>
  <c r="Y28" i="56"/>
  <c r="N28" i="56"/>
  <c r="M28" i="56"/>
  <c r="Z27" i="56"/>
  <c r="Y27" i="56"/>
  <c r="N27" i="56"/>
  <c r="M27" i="56"/>
  <c r="Z26" i="56"/>
  <c r="Y26" i="56"/>
  <c r="N26" i="56"/>
  <c r="M26" i="56"/>
  <c r="Z25" i="56"/>
  <c r="Y25" i="56"/>
  <c r="N25" i="56"/>
  <c r="M25" i="56"/>
  <c r="Z24" i="56"/>
  <c r="Y24" i="56"/>
  <c r="N24" i="56"/>
  <c r="M24" i="56"/>
  <c r="J12" i="56"/>
  <c r="I12" i="56"/>
  <c r="H12" i="56"/>
  <c r="J11" i="56"/>
  <c r="I11" i="56"/>
  <c r="H11" i="56"/>
  <c r="Z9" i="56"/>
  <c r="Y9" i="56"/>
  <c r="M9" i="56"/>
  <c r="P9" i="56"/>
  <c r="Z8" i="56"/>
  <c r="Y8" i="56"/>
  <c r="M8" i="56"/>
  <c r="O8" i="56"/>
  <c r="Z7" i="56"/>
  <c r="Y7" i="56"/>
  <c r="M7" i="56"/>
  <c r="O7" i="56"/>
  <c r="Z6" i="56"/>
  <c r="Y6" i="56"/>
  <c r="M6" i="56"/>
  <c r="P6" i="56"/>
  <c r="Z5" i="56"/>
  <c r="Y5" i="56"/>
  <c r="M5" i="56"/>
  <c r="P5" i="56"/>
  <c r="Z4" i="56"/>
  <c r="Y4" i="56"/>
  <c r="M4" i="56"/>
  <c r="P4" i="56"/>
  <c r="Z3" i="56"/>
  <c r="Y3" i="56"/>
  <c r="M3" i="56"/>
  <c r="P3" i="56"/>
  <c r="AB15" i="57"/>
  <c r="AB16" i="57"/>
  <c r="AB17" i="57"/>
  <c r="AB18" i="57"/>
  <c r="Z55" i="56"/>
  <c r="Z56" i="56"/>
  <c r="Z52" i="56"/>
  <c r="Z53" i="56"/>
  <c r="AC14" i="57"/>
  <c r="AC21" i="57"/>
  <c r="AC22" i="57"/>
  <c r="AB22" i="57"/>
  <c r="AB14" i="57"/>
  <c r="AB21" i="57"/>
  <c r="Y55" i="56"/>
  <c r="Y56" i="56"/>
  <c r="Y52" i="56"/>
  <c r="Y53" i="56"/>
  <c r="Y34" i="56"/>
  <c r="Y36" i="56"/>
  <c r="Y37" i="56"/>
  <c r="Y33" i="56"/>
  <c r="AC16" i="57"/>
  <c r="AC18" i="57"/>
  <c r="AC17" i="57"/>
  <c r="AC15" i="57"/>
  <c r="Z34" i="56"/>
  <c r="Z36" i="56"/>
  <c r="Z37" i="56"/>
  <c r="Z33" i="56"/>
  <c r="Z35" i="56"/>
  <c r="P44" i="56"/>
  <c r="P46" i="56"/>
  <c r="Z12" i="56"/>
  <c r="I13" i="56"/>
  <c r="Y15" i="56"/>
  <c r="Y16" i="56"/>
  <c r="O48" i="56"/>
  <c r="R48" i="56"/>
  <c r="O24" i="56"/>
  <c r="O26" i="56"/>
  <c r="O30" i="56"/>
  <c r="J53" i="56"/>
  <c r="J13" i="56"/>
  <c r="O5" i="56"/>
  <c r="Q5" i="56"/>
  <c r="W5" i="56"/>
  <c r="O43" i="56"/>
  <c r="R43" i="56"/>
  <c r="O29" i="56"/>
  <c r="P45" i="56"/>
  <c r="P49" i="56"/>
  <c r="O3" i="56"/>
  <c r="O28" i="56"/>
  <c r="O44" i="56"/>
  <c r="Q44" i="56"/>
  <c r="P8" i="56"/>
  <c r="O25" i="56"/>
  <c r="O27" i="56"/>
  <c r="P47" i="56"/>
  <c r="I34" i="56"/>
  <c r="H53" i="56"/>
  <c r="H13" i="56"/>
  <c r="J34" i="56"/>
  <c r="P48" i="56"/>
  <c r="I53" i="56"/>
  <c r="R8" i="56"/>
  <c r="Q8" i="56"/>
  <c r="Q7" i="56"/>
  <c r="R7" i="56"/>
  <c r="Q43" i="56"/>
  <c r="O47" i="56"/>
  <c r="P43" i="56"/>
  <c r="O4" i="56"/>
  <c r="P7" i="56"/>
  <c r="O9" i="56"/>
  <c r="Z13" i="56"/>
  <c r="O6" i="56"/>
  <c r="H34" i="56"/>
  <c r="O45" i="56"/>
  <c r="O49" i="56"/>
  <c r="Y13" i="56"/>
  <c r="Y12" i="56"/>
  <c r="Z15" i="56"/>
  <c r="Z16" i="56"/>
  <c r="O46" i="56"/>
  <c r="H75" i="55"/>
  <c r="H76" i="55"/>
  <c r="H77" i="55"/>
  <c r="AN76" i="55"/>
  <c r="K76" i="55"/>
  <c r="AN75" i="55"/>
  <c r="K75" i="55"/>
  <c r="K77" i="55"/>
  <c r="Y70" i="55"/>
  <c r="Y69" i="55"/>
  <c r="AA69" i="55"/>
  <c r="Z69" i="55"/>
  <c r="Y68" i="55"/>
  <c r="Y67" i="55"/>
  <c r="AA67" i="55"/>
  <c r="Z67" i="55"/>
  <c r="Y66" i="55"/>
  <c r="Y65" i="55"/>
  <c r="AA65" i="55"/>
  <c r="Z65" i="55"/>
  <c r="Y64" i="55"/>
  <c r="Z63" i="55"/>
  <c r="Y63" i="55"/>
  <c r="Y62" i="55"/>
  <c r="Z62" i="55"/>
  <c r="Y61" i="55"/>
  <c r="AA61" i="55"/>
  <c r="Z61" i="55"/>
  <c r="Y60" i="55"/>
  <c r="Z60" i="55"/>
  <c r="Y59" i="55"/>
  <c r="AA59" i="55"/>
  <c r="Z59" i="55"/>
  <c r="Y58" i="55"/>
  <c r="Z58" i="55"/>
  <c r="Y57" i="55"/>
  <c r="AA57" i="55"/>
  <c r="Z57" i="55"/>
  <c r="Y56" i="55"/>
  <c r="Z56" i="55"/>
  <c r="Y55" i="55"/>
  <c r="AA55" i="55"/>
  <c r="Z55" i="55"/>
  <c r="Y54" i="55"/>
  <c r="Z54" i="55"/>
  <c r="Y53" i="55"/>
  <c r="AA53" i="55"/>
  <c r="Z53" i="55"/>
  <c r="Y52" i="55"/>
  <c r="Z52" i="55"/>
  <c r="Y51" i="55"/>
  <c r="AA51" i="55"/>
  <c r="Y50" i="55"/>
  <c r="Z50" i="55"/>
  <c r="Y49" i="55"/>
  <c r="AA49" i="55"/>
  <c r="Z49" i="55"/>
  <c r="Y48" i="55"/>
  <c r="Z48" i="55"/>
  <c r="Y47" i="55"/>
  <c r="AA47" i="55"/>
  <c r="Z47" i="55"/>
  <c r="Y46" i="55"/>
  <c r="Z46" i="55"/>
  <c r="Y45" i="55"/>
  <c r="AA45" i="55"/>
  <c r="Z45" i="55"/>
  <c r="Y44" i="55"/>
  <c r="Z44" i="55"/>
  <c r="Y43" i="55"/>
  <c r="AA43" i="55"/>
  <c r="Y42" i="55"/>
  <c r="Z42" i="55"/>
  <c r="Z41" i="55"/>
  <c r="Y41" i="55"/>
  <c r="AA41" i="55"/>
  <c r="Y40" i="55"/>
  <c r="Z40" i="55"/>
  <c r="Y39" i="55"/>
  <c r="AA39" i="55"/>
  <c r="Z39" i="55"/>
  <c r="Y38" i="55"/>
  <c r="Z38" i="55"/>
  <c r="Z37" i="55"/>
  <c r="Y37" i="55"/>
  <c r="AA37" i="55"/>
  <c r="Y36" i="55"/>
  <c r="Z36" i="55"/>
  <c r="Y35" i="55"/>
  <c r="AA35" i="55"/>
  <c r="AC35" i="55"/>
  <c r="Y34" i="55"/>
  <c r="Z34" i="55"/>
  <c r="Y33" i="55"/>
  <c r="AA33" i="55"/>
  <c r="Z33" i="55"/>
  <c r="Y32" i="55"/>
  <c r="Q32" i="55"/>
  <c r="Y31" i="55"/>
  <c r="AA31" i="55"/>
  <c r="Q31" i="55"/>
  <c r="Y30" i="55"/>
  <c r="AA30" i="55"/>
  <c r="Z30" i="55"/>
  <c r="Z29" i="55"/>
  <c r="Y29" i="55"/>
  <c r="AA29" i="55"/>
  <c r="Y28" i="55"/>
  <c r="AA28" i="55"/>
  <c r="Z28" i="55"/>
  <c r="Y27" i="55"/>
  <c r="Z27" i="55"/>
  <c r="Y26" i="55"/>
  <c r="AA26" i="55"/>
  <c r="Z26" i="55"/>
  <c r="Y25" i="55"/>
  <c r="Z24" i="55"/>
  <c r="Y24" i="55"/>
  <c r="AA24" i="55"/>
  <c r="Y23" i="55"/>
  <c r="Z23" i="55"/>
  <c r="Y22" i="55"/>
  <c r="AA22" i="55"/>
  <c r="Z22" i="55"/>
  <c r="Z21" i="55"/>
  <c r="Y21" i="55"/>
  <c r="AA21" i="55"/>
  <c r="Y20" i="55"/>
  <c r="AA20" i="55"/>
  <c r="Z20" i="55"/>
  <c r="Z19" i="55"/>
  <c r="Y19" i="55"/>
  <c r="AA19" i="55"/>
  <c r="Y18" i="55"/>
  <c r="AA18" i="55"/>
  <c r="Z18" i="55"/>
  <c r="AC18" i="55"/>
  <c r="Y17" i="55"/>
  <c r="Y16" i="55"/>
  <c r="AA16" i="55"/>
  <c r="Z16" i="55"/>
  <c r="AC16" i="55"/>
  <c r="Y15" i="55"/>
  <c r="AC15" i="55"/>
  <c r="Y14" i="55"/>
  <c r="AC14" i="55"/>
  <c r="Z14" i="55"/>
  <c r="Y13" i="55"/>
  <c r="AC13" i="55"/>
  <c r="Y12" i="55"/>
  <c r="AA12" i="55"/>
  <c r="Z12" i="55"/>
  <c r="AC12" i="55"/>
  <c r="Y11" i="55"/>
  <c r="AA11" i="55"/>
  <c r="Z10" i="55"/>
  <c r="Y10" i="55"/>
  <c r="Z9" i="55"/>
  <c r="Y9" i="55"/>
  <c r="AA9" i="55"/>
  <c r="Z8" i="55"/>
  <c r="Y8" i="55"/>
  <c r="AA8" i="55"/>
  <c r="Y7" i="55"/>
  <c r="AA7" i="55"/>
  <c r="Z7" i="55"/>
  <c r="Y6" i="55"/>
  <c r="AA6" i="55"/>
  <c r="Z6" i="55"/>
  <c r="Y5" i="55"/>
  <c r="AA5" i="55"/>
  <c r="Z5" i="55"/>
  <c r="Y4" i="55"/>
  <c r="AA4" i="55"/>
  <c r="Z4" i="55"/>
  <c r="Y3" i="55"/>
  <c r="Z3" i="55"/>
  <c r="Z2" i="55"/>
  <c r="Y2" i="55"/>
  <c r="AC5" i="55"/>
  <c r="AA13" i="55"/>
  <c r="AC29" i="55"/>
  <c r="AC32" i="55"/>
  <c r="AC49" i="55"/>
  <c r="AC51" i="55"/>
  <c r="AC57" i="55"/>
  <c r="AC59" i="55"/>
  <c r="AC61" i="55"/>
  <c r="AC17" i="55"/>
  <c r="Z25" i="55"/>
  <c r="AC31" i="55"/>
  <c r="Q33" i="55"/>
  <c r="AC47" i="55"/>
  <c r="AC55" i="55"/>
  <c r="AA63" i="55"/>
  <c r="M78" i="55"/>
  <c r="Y17" i="56"/>
  <c r="Y18" i="56"/>
  <c r="Z38" i="56"/>
  <c r="Z39" i="56"/>
  <c r="Y58" i="56"/>
  <c r="Y57" i="56"/>
  <c r="Y54" i="56"/>
  <c r="Q34" i="55"/>
  <c r="K78" i="55"/>
  <c r="Z17" i="56"/>
  <c r="Z18" i="56"/>
  <c r="Z58" i="56"/>
  <c r="Z54" i="56"/>
  <c r="Z57" i="56"/>
  <c r="AC27" i="55"/>
  <c r="AA15" i="55"/>
  <c r="AC25" i="55"/>
  <c r="AC39" i="55"/>
  <c r="AC43" i="55"/>
  <c r="Y39" i="56"/>
  <c r="Y35" i="56"/>
  <c r="Y38" i="56"/>
  <c r="Z14" i="56"/>
  <c r="Q48" i="56"/>
  <c r="W48" i="56"/>
  <c r="R5" i="56"/>
  <c r="V5" i="56"/>
  <c r="S5" i="56"/>
  <c r="R44" i="56"/>
  <c r="X44" i="56"/>
  <c r="U5" i="56"/>
  <c r="Y14" i="56"/>
  <c r="R3" i="56"/>
  <c r="Q3" i="56"/>
  <c r="R49" i="56"/>
  <c r="Q49" i="56"/>
  <c r="T44" i="56"/>
  <c r="R45" i="56"/>
  <c r="Q45" i="56"/>
  <c r="U43" i="56"/>
  <c r="S43" i="56"/>
  <c r="W43" i="56"/>
  <c r="W44" i="56"/>
  <c r="S44" i="56"/>
  <c r="U44" i="56"/>
  <c r="R9" i="56"/>
  <c r="Q9" i="56"/>
  <c r="X43" i="56"/>
  <c r="T43" i="56"/>
  <c r="V43" i="56"/>
  <c r="V7" i="56"/>
  <c r="T7" i="56"/>
  <c r="X7" i="56"/>
  <c r="Q6" i="56"/>
  <c r="R6" i="56"/>
  <c r="X48" i="56"/>
  <c r="T48" i="56"/>
  <c r="V48" i="56"/>
  <c r="S7" i="56"/>
  <c r="W7" i="56"/>
  <c r="U7" i="56"/>
  <c r="R4" i="56"/>
  <c r="Q4" i="56"/>
  <c r="U48" i="56"/>
  <c r="R46" i="56"/>
  <c r="Q46" i="56"/>
  <c r="W8" i="56"/>
  <c r="U8" i="56"/>
  <c r="S8" i="56"/>
  <c r="R47" i="56"/>
  <c r="Q47" i="56"/>
  <c r="X8" i="56"/>
  <c r="T8" i="56"/>
  <c r="V8" i="56"/>
  <c r="AC24" i="55"/>
  <c r="AC20" i="55"/>
  <c r="AC26" i="55"/>
  <c r="AC3" i="55"/>
  <c r="AC6" i="55"/>
  <c r="AC7" i="55"/>
  <c r="AC22" i="55"/>
  <c r="AC28" i="55"/>
  <c r="Y76" i="55"/>
  <c r="Y77" i="55"/>
  <c r="Y75" i="55"/>
  <c r="Y78" i="55"/>
  <c r="AC2" i="55"/>
  <c r="AA3" i="55"/>
  <c r="AC9" i="55"/>
  <c r="AA10" i="55"/>
  <c r="Z13" i="55"/>
  <c r="Z17" i="55"/>
  <c r="AC23" i="55"/>
  <c r="AA27" i="55"/>
  <c r="Q29" i="55"/>
  <c r="AC38" i="55"/>
  <c r="AA38" i="55"/>
  <c r="AC41" i="55"/>
  <c r="AC46" i="55"/>
  <c r="AA46" i="55"/>
  <c r="Z11" i="55"/>
  <c r="AA17" i="55"/>
  <c r="Z32" i="55"/>
  <c r="AC34" i="55"/>
  <c r="AC68" i="55"/>
  <c r="AA68" i="55"/>
  <c r="AA2" i="55"/>
  <c r="AC4" i="55"/>
  <c r="AA14" i="55"/>
  <c r="Q30" i="55"/>
  <c r="AC30" i="55"/>
  <c r="AC54" i="55"/>
  <c r="AA54" i="55"/>
  <c r="AC11" i="55"/>
  <c r="AC19" i="55"/>
  <c r="AA23" i="55"/>
  <c r="AA32" i="55"/>
  <c r="AC40" i="55"/>
  <c r="AA40" i="55"/>
  <c r="AC48" i="55"/>
  <c r="AA48" i="55"/>
  <c r="AC56" i="55"/>
  <c r="AA56" i="55"/>
  <c r="AC64" i="55"/>
  <c r="AA64" i="55"/>
  <c r="AC36" i="55"/>
  <c r="AA36" i="55"/>
  <c r="AC58" i="55"/>
  <c r="AA58" i="55"/>
  <c r="AC60" i="55"/>
  <c r="AA60" i="55"/>
  <c r="AC62" i="55"/>
  <c r="AA62" i="55"/>
  <c r="Z31" i="55"/>
  <c r="AA34" i="55"/>
  <c r="AC42" i="55"/>
  <c r="AA42" i="55"/>
  <c r="AC50" i="55"/>
  <c r="AA50" i="55"/>
  <c r="AC70" i="55"/>
  <c r="AA70" i="55"/>
  <c r="X76" i="55"/>
  <c r="X77" i="55"/>
  <c r="X75" i="55"/>
  <c r="X78" i="55"/>
  <c r="Z15" i="55"/>
  <c r="AC21" i="55"/>
  <c r="AA25" i="55"/>
  <c r="Z35" i="55"/>
  <c r="Z43" i="55"/>
  <c r="Z51" i="55"/>
  <c r="L78" i="55"/>
  <c r="H78" i="55"/>
  <c r="L77" i="55"/>
  <c r="AC52" i="55"/>
  <c r="AA52" i="55"/>
  <c r="AC66" i="55"/>
  <c r="AA66" i="55"/>
  <c r="AC44" i="55"/>
  <c r="AA44" i="55"/>
  <c r="Z64" i="55"/>
  <c r="Z66" i="55"/>
  <c r="Z68" i="55"/>
  <c r="Z70" i="55"/>
  <c r="M77" i="55"/>
  <c r="AC8" i="55"/>
  <c r="AC10" i="55"/>
  <c r="AC69" i="55"/>
  <c r="AC33" i="55"/>
  <c r="AC63" i="55"/>
  <c r="S48" i="56"/>
  <c r="V44" i="56"/>
  <c r="X5" i="56"/>
  <c r="T5" i="56"/>
  <c r="W3" i="56"/>
  <c r="S3" i="56"/>
  <c r="U3" i="56"/>
  <c r="X3" i="56"/>
  <c r="V3" i="56"/>
  <c r="T3" i="56"/>
  <c r="U49" i="56"/>
  <c r="S49" i="56"/>
  <c r="W49" i="56"/>
  <c r="X4" i="56"/>
  <c r="T4" i="56"/>
  <c r="V4" i="56"/>
  <c r="U47" i="56"/>
  <c r="W47" i="56"/>
  <c r="S47" i="56"/>
  <c r="V47" i="56"/>
  <c r="T47" i="56"/>
  <c r="X47" i="56"/>
  <c r="S46" i="56"/>
  <c r="W46" i="56"/>
  <c r="U46" i="56"/>
  <c r="S45" i="56"/>
  <c r="U45" i="56"/>
  <c r="W45" i="56"/>
  <c r="T46" i="56"/>
  <c r="X46" i="56"/>
  <c r="V46" i="56"/>
  <c r="X6" i="56"/>
  <c r="V6" i="56"/>
  <c r="T6" i="56"/>
  <c r="W9" i="56"/>
  <c r="U9" i="56"/>
  <c r="S9" i="56"/>
  <c r="S6" i="56"/>
  <c r="U6" i="56"/>
  <c r="W6" i="56"/>
  <c r="T9" i="56"/>
  <c r="X9" i="56"/>
  <c r="V9" i="56"/>
  <c r="U4" i="56"/>
  <c r="S4" i="56"/>
  <c r="W4" i="56"/>
  <c r="T45" i="56"/>
  <c r="X45" i="56"/>
  <c r="V45" i="56"/>
  <c r="V49" i="56"/>
  <c r="X49" i="56"/>
  <c r="T49" i="56"/>
  <c r="X79" i="55"/>
  <c r="AC37" i="55"/>
  <c r="AB77" i="55"/>
  <c r="AC67" i="55"/>
  <c r="Z77" i="55"/>
  <c r="AC65" i="55"/>
  <c r="AC53" i="55"/>
  <c r="Z75" i="55"/>
  <c r="Y79" i="55"/>
  <c r="AA77" i="55"/>
  <c r="AA75" i="55"/>
  <c r="AA78" i="55"/>
  <c r="AA76" i="55"/>
  <c r="AC45" i="55"/>
  <c r="Z76" i="55"/>
  <c r="Z78" i="55"/>
  <c r="Z79" i="55"/>
  <c r="AC80" i="55"/>
  <c r="AC81" i="55"/>
  <c r="AC78" i="55"/>
  <c r="AC82" i="55"/>
  <c r="AB75" i="55"/>
  <c r="AB76" i="55"/>
  <c r="AC75" i="55"/>
  <c r="AC77" i="55"/>
  <c r="AA79" i="55"/>
  <c r="AC76" i="55"/>
  <c r="AC79" i="55"/>
  <c r="AC83" i="55"/>
  <c r="AB79" i="55"/>
  <c r="AN113" i="53"/>
  <c r="K113" i="53"/>
  <c r="H113" i="53"/>
  <c r="AN112" i="53"/>
  <c r="K112" i="53"/>
  <c r="K116" i="53"/>
  <c r="H112" i="53"/>
  <c r="H117" i="53"/>
  <c r="AE104" i="53"/>
  <c r="AD104" i="53"/>
  <c r="AC104" i="53"/>
  <c r="AB104" i="53"/>
  <c r="Y104" i="53"/>
  <c r="AA104" i="53"/>
  <c r="X104" i="53"/>
  <c r="Z104" i="53"/>
  <c r="O104" i="53"/>
  <c r="P104" i="53"/>
  <c r="N104" i="53"/>
  <c r="AE103" i="53"/>
  <c r="AD103" i="53"/>
  <c r="AC103" i="53"/>
  <c r="AB103" i="53"/>
  <c r="Y103" i="53"/>
  <c r="AA103" i="53"/>
  <c r="X103" i="53"/>
  <c r="Z103" i="53"/>
  <c r="O103" i="53"/>
  <c r="N103" i="53"/>
  <c r="P103" i="53"/>
  <c r="AE102" i="53"/>
  <c r="AD102" i="53"/>
  <c r="AC102" i="53"/>
  <c r="AB102" i="53"/>
  <c r="AA102" i="53"/>
  <c r="Y102" i="53"/>
  <c r="X102" i="53"/>
  <c r="Z102" i="53"/>
  <c r="O102" i="53"/>
  <c r="P102" i="53"/>
  <c r="N102" i="53"/>
  <c r="AE101" i="53"/>
  <c r="AD101" i="53"/>
  <c r="AC101" i="53"/>
  <c r="AB101" i="53"/>
  <c r="Y101" i="53"/>
  <c r="AA101" i="53"/>
  <c r="X101" i="53"/>
  <c r="Z101" i="53"/>
  <c r="O101" i="53"/>
  <c r="P101" i="53"/>
  <c r="N101" i="53"/>
  <c r="AE100" i="53"/>
  <c r="AD100" i="53"/>
  <c r="AC100" i="53"/>
  <c r="AB100" i="53"/>
  <c r="Y100" i="53"/>
  <c r="AA100" i="53"/>
  <c r="X100" i="53"/>
  <c r="Z100" i="53"/>
  <c r="O100" i="53"/>
  <c r="P100" i="53"/>
  <c r="N100" i="53"/>
  <c r="AE99" i="53"/>
  <c r="AD99" i="53"/>
  <c r="AC99" i="53"/>
  <c r="AB99" i="53"/>
  <c r="Y99" i="53"/>
  <c r="AA99" i="53"/>
  <c r="X99" i="53"/>
  <c r="Z99" i="53"/>
  <c r="O99" i="53"/>
  <c r="P99" i="53"/>
  <c r="N99" i="53"/>
  <c r="AE98" i="53"/>
  <c r="AD98" i="53"/>
  <c r="AC98" i="53"/>
  <c r="AB98" i="53"/>
  <c r="Z98" i="53"/>
  <c r="Y98" i="53"/>
  <c r="AA98" i="53"/>
  <c r="X98" i="53"/>
  <c r="O98" i="53"/>
  <c r="P98" i="53"/>
  <c r="N98" i="53"/>
  <c r="AE97" i="53"/>
  <c r="AD97" i="53"/>
  <c r="AC97" i="53"/>
  <c r="AB97" i="53"/>
  <c r="Y97" i="53"/>
  <c r="AA97" i="53"/>
  <c r="X97" i="53"/>
  <c r="Z97" i="53"/>
  <c r="O97" i="53"/>
  <c r="N97" i="53"/>
  <c r="P97" i="53"/>
  <c r="AE96" i="53"/>
  <c r="AD96" i="53"/>
  <c r="AC96" i="53"/>
  <c r="AB96" i="53"/>
  <c r="Y96" i="53"/>
  <c r="AA96" i="53"/>
  <c r="X96" i="53"/>
  <c r="Z96" i="53"/>
  <c r="O96" i="53"/>
  <c r="N96" i="53"/>
  <c r="P96" i="53"/>
  <c r="AE95" i="53"/>
  <c r="AD95" i="53"/>
  <c r="AC95" i="53"/>
  <c r="AB95" i="53"/>
  <c r="Y95" i="53"/>
  <c r="AA95" i="53"/>
  <c r="X95" i="53"/>
  <c r="Z95" i="53"/>
  <c r="O95" i="53"/>
  <c r="P95" i="53"/>
  <c r="N95" i="53"/>
  <c r="AE94" i="53"/>
  <c r="AD94" i="53"/>
  <c r="AC94" i="53"/>
  <c r="AB94" i="53"/>
  <c r="Y94" i="53"/>
  <c r="AA94" i="53"/>
  <c r="X94" i="53"/>
  <c r="Z94" i="53"/>
  <c r="O94" i="53"/>
  <c r="P94" i="53"/>
  <c r="N94" i="53"/>
  <c r="AE93" i="53"/>
  <c r="AD93" i="53"/>
  <c r="AC93" i="53"/>
  <c r="AB93" i="53"/>
  <c r="Y93" i="53"/>
  <c r="AA93" i="53"/>
  <c r="X93" i="53"/>
  <c r="Z93" i="53"/>
  <c r="O93" i="53"/>
  <c r="P93" i="53"/>
  <c r="N93" i="53"/>
  <c r="AE92" i="53"/>
  <c r="AD92" i="53"/>
  <c r="AC92" i="53"/>
  <c r="AB92" i="53"/>
  <c r="Y92" i="53"/>
  <c r="AA92" i="53"/>
  <c r="X92" i="53"/>
  <c r="Z92" i="53"/>
  <c r="O92" i="53"/>
  <c r="P92" i="53"/>
  <c r="N92" i="53"/>
  <c r="AE91" i="53"/>
  <c r="AD91" i="53"/>
  <c r="AC91" i="53"/>
  <c r="AB91" i="53"/>
  <c r="Y91" i="53"/>
  <c r="AA91" i="53"/>
  <c r="X91" i="53"/>
  <c r="Z91" i="53"/>
  <c r="O91" i="53"/>
  <c r="P91" i="53"/>
  <c r="N91" i="53"/>
  <c r="AE90" i="53"/>
  <c r="AD90" i="53"/>
  <c r="AC90" i="53"/>
  <c r="AB90" i="53"/>
  <c r="Y90" i="53"/>
  <c r="AA90" i="53"/>
  <c r="X90" i="53"/>
  <c r="Z90" i="53"/>
  <c r="P90" i="53"/>
  <c r="O90" i="53"/>
  <c r="N90" i="53"/>
  <c r="AE89" i="53"/>
  <c r="AD89" i="53"/>
  <c r="AC89" i="53"/>
  <c r="AB89" i="53"/>
  <c r="Z89" i="53"/>
  <c r="Y89" i="53"/>
  <c r="AA89" i="53"/>
  <c r="X89" i="53"/>
  <c r="O89" i="53"/>
  <c r="N89" i="53"/>
  <c r="P89" i="53"/>
  <c r="AE88" i="53"/>
  <c r="AD88" i="53"/>
  <c r="AC88" i="53"/>
  <c r="AB88" i="53"/>
  <c r="Y88" i="53"/>
  <c r="AA88" i="53"/>
  <c r="X88" i="53"/>
  <c r="Z88" i="53"/>
  <c r="O88" i="53"/>
  <c r="N88" i="53"/>
  <c r="P88" i="53"/>
  <c r="AE87" i="53"/>
  <c r="AD87" i="53"/>
  <c r="AC87" i="53"/>
  <c r="AB87" i="53"/>
  <c r="AA87" i="53"/>
  <c r="Y87" i="53"/>
  <c r="X87" i="53"/>
  <c r="Z87" i="53"/>
  <c r="O87" i="53"/>
  <c r="P87" i="53"/>
  <c r="N87" i="53"/>
  <c r="AE86" i="53"/>
  <c r="AD86" i="53"/>
  <c r="AC86" i="53"/>
  <c r="AB86" i="53"/>
  <c r="Z86" i="53"/>
  <c r="Y86" i="53"/>
  <c r="AA86" i="53"/>
  <c r="X86" i="53"/>
  <c r="O86" i="53"/>
  <c r="N86" i="53"/>
  <c r="AE85" i="53"/>
  <c r="AD85" i="53"/>
  <c r="AC85" i="53"/>
  <c r="AB85" i="53"/>
  <c r="Y85" i="53"/>
  <c r="AA85" i="53"/>
  <c r="X85" i="53"/>
  <c r="Z85" i="53"/>
  <c r="O85" i="53"/>
  <c r="N85" i="53"/>
  <c r="AE84" i="53"/>
  <c r="AD84" i="53"/>
  <c r="AC84" i="53"/>
  <c r="AB84" i="53"/>
  <c r="Y84" i="53"/>
  <c r="AA84" i="53"/>
  <c r="X84" i="53"/>
  <c r="Z84" i="53"/>
  <c r="O84" i="53"/>
  <c r="N84" i="53"/>
  <c r="AE83" i="53"/>
  <c r="AD83" i="53"/>
  <c r="AC83" i="53"/>
  <c r="AB83" i="53"/>
  <c r="AA83" i="53"/>
  <c r="Y83" i="53"/>
  <c r="X83" i="53"/>
  <c r="Z83" i="53"/>
  <c r="O83" i="53"/>
  <c r="P83" i="53"/>
  <c r="N83" i="53"/>
  <c r="AE82" i="53"/>
  <c r="AD82" i="53"/>
  <c r="AC82" i="53"/>
  <c r="AB82" i="53"/>
  <c r="Y82" i="53"/>
  <c r="AA82" i="53"/>
  <c r="X82" i="53"/>
  <c r="Z82" i="53"/>
  <c r="O82" i="53"/>
  <c r="N82" i="53"/>
  <c r="P82" i="53"/>
  <c r="AE81" i="53"/>
  <c r="AD81" i="53"/>
  <c r="AC81" i="53"/>
  <c r="AB81" i="53"/>
  <c r="Z81" i="53"/>
  <c r="Y81" i="53"/>
  <c r="AA81" i="53"/>
  <c r="X81" i="53"/>
  <c r="O81" i="53"/>
  <c r="N81" i="53"/>
  <c r="P81" i="53"/>
  <c r="AE80" i="53"/>
  <c r="AD80" i="53"/>
  <c r="AC80" i="53"/>
  <c r="AB80" i="53"/>
  <c r="Y80" i="53"/>
  <c r="AA80" i="53"/>
  <c r="X80" i="53"/>
  <c r="Z80" i="53"/>
  <c r="O80" i="53"/>
  <c r="N80" i="53"/>
  <c r="P80" i="53"/>
  <c r="AE79" i="53"/>
  <c r="AD79" i="53"/>
  <c r="AC79" i="53"/>
  <c r="AB79" i="53"/>
  <c r="AA79" i="53"/>
  <c r="Y79" i="53"/>
  <c r="X79" i="53"/>
  <c r="Z79" i="53"/>
  <c r="P79" i="53"/>
  <c r="O79" i="53"/>
  <c r="N79" i="53"/>
  <c r="AE78" i="53"/>
  <c r="AD78" i="53"/>
  <c r="AC78" i="53"/>
  <c r="AB78" i="53"/>
  <c r="AA78" i="53"/>
  <c r="Z78" i="53"/>
  <c r="Y78" i="53"/>
  <c r="X78" i="53"/>
  <c r="O78" i="53"/>
  <c r="N78" i="53"/>
  <c r="AE77" i="53"/>
  <c r="AD77" i="53"/>
  <c r="AC77" i="53"/>
  <c r="AB77" i="53"/>
  <c r="Y77" i="53"/>
  <c r="AA77" i="53"/>
  <c r="X77" i="53"/>
  <c r="Z77" i="53"/>
  <c r="O77" i="53"/>
  <c r="N77" i="53"/>
  <c r="AE76" i="53"/>
  <c r="AD76" i="53"/>
  <c r="AC76" i="53"/>
  <c r="AB76" i="53"/>
  <c r="Y76" i="53"/>
  <c r="AA76" i="53"/>
  <c r="X76" i="53"/>
  <c r="Z76" i="53"/>
  <c r="O76" i="53"/>
  <c r="N76" i="53"/>
  <c r="AE75" i="53"/>
  <c r="AD75" i="53"/>
  <c r="AC75" i="53"/>
  <c r="AB75" i="53"/>
  <c r="AA75" i="53"/>
  <c r="Y75" i="53"/>
  <c r="X75" i="53"/>
  <c r="Z75" i="53"/>
  <c r="P75" i="53"/>
  <c r="O75" i="53"/>
  <c r="N75" i="53"/>
  <c r="AE74" i="53"/>
  <c r="AD74" i="53"/>
  <c r="AC74" i="53"/>
  <c r="AB74" i="53"/>
  <c r="Z74" i="53"/>
  <c r="Y74" i="53"/>
  <c r="AA74" i="53"/>
  <c r="X74" i="53"/>
  <c r="O74" i="53"/>
  <c r="P74" i="53"/>
  <c r="N74" i="53"/>
  <c r="AE73" i="53"/>
  <c r="AD73" i="53"/>
  <c r="AC73" i="53"/>
  <c r="AB73" i="53"/>
  <c r="Y73" i="53"/>
  <c r="AA73" i="53"/>
  <c r="X73" i="53"/>
  <c r="Z73" i="53"/>
  <c r="O73" i="53"/>
  <c r="N73" i="53"/>
  <c r="AE72" i="53"/>
  <c r="AD72" i="53"/>
  <c r="AC72" i="53"/>
  <c r="AB72" i="53"/>
  <c r="Y72" i="53"/>
  <c r="AA72" i="53"/>
  <c r="X72" i="53"/>
  <c r="Z72" i="53"/>
  <c r="O72" i="53"/>
  <c r="N72" i="53"/>
  <c r="AE71" i="53"/>
  <c r="AD71" i="53"/>
  <c r="AC71" i="53"/>
  <c r="AB71" i="53"/>
  <c r="Y71" i="53"/>
  <c r="AA71" i="53"/>
  <c r="X71" i="53"/>
  <c r="Z71" i="53"/>
  <c r="O71" i="53"/>
  <c r="N71" i="53"/>
  <c r="P71" i="53"/>
  <c r="AE70" i="53"/>
  <c r="AD70" i="53"/>
  <c r="AC70" i="53"/>
  <c r="AB70" i="53"/>
  <c r="AA70" i="53"/>
  <c r="Y70" i="53"/>
  <c r="X70" i="53"/>
  <c r="Z70" i="53"/>
  <c r="O70" i="53"/>
  <c r="P70" i="53"/>
  <c r="N70" i="53"/>
  <c r="AE69" i="53"/>
  <c r="AD69" i="53"/>
  <c r="AC69" i="53"/>
  <c r="AB69" i="53"/>
  <c r="Y69" i="53"/>
  <c r="AA69" i="53"/>
  <c r="X69" i="53"/>
  <c r="Z69" i="53"/>
  <c r="O69" i="53"/>
  <c r="P69" i="53"/>
  <c r="N69" i="53"/>
  <c r="AE68" i="53"/>
  <c r="AD68" i="53"/>
  <c r="AC68" i="53"/>
  <c r="AB68" i="53"/>
  <c r="Y68" i="53"/>
  <c r="AA68" i="53"/>
  <c r="X68" i="53"/>
  <c r="Z68" i="53"/>
  <c r="O68" i="53"/>
  <c r="P68" i="53"/>
  <c r="N68" i="53"/>
  <c r="AE67" i="53"/>
  <c r="AD67" i="53"/>
  <c r="AC67" i="53"/>
  <c r="AB67" i="53"/>
  <c r="Y67" i="53"/>
  <c r="AA67" i="53"/>
  <c r="X67" i="53"/>
  <c r="Z67" i="53"/>
  <c r="O67" i="53"/>
  <c r="N67" i="53"/>
  <c r="P67" i="53"/>
  <c r="AE66" i="53"/>
  <c r="AD66" i="53"/>
  <c r="AC66" i="53"/>
  <c r="AB66" i="53"/>
  <c r="Z66" i="53"/>
  <c r="Y66" i="53"/>
  <c r="AA66" i="53"/>
  <c r="X66" i="53"/>
  <c r="O66" i="53"/>
  <c r="P66" i="53"/>
  <c r="N66" i="53"/>
  <c r="AE65" i="53"/>
  <c r="AD65" i="53"/>
  <c r="AC65" i="53"/>
  <c r="AB65" i="53"/>
  <c r="Y65" i="53"/>
  <c r="AA65" i="53"/>
  <c r="X65" i="53"/>
  <c r="Z65" i="53"/>
  <c r="O65" i="53"/>
  <c r="N65" i="53"/>
  <c r="AE64" i="53"/>
  <c r="AD64" i="53"/>
  <c r="AC64" i="53"/>
  <c r="AB64" i="53"/>
  <c r="Y64" i="53"/>
  <c r="AA64" i="53"/>
  <c r="X64" i="53"/>
  <c r="Z64" i="53"/>
  <c r="O64" i="53"/>
  <c r="N64" i="53"/>
  <c r="AE63" i="53"/>
  <c r="AD63" i="53"/>
  <c r="AC63" i="53"/>
  <c r="AB63" i="53"/>
  <c r="Y63" i="53"/>
  <c r="AA63" i="53"/>
  <c r="X63" i="53"/>
  <c r="Z63" i="53"/>
  <c r="O63" i="53"/>
  <c r="P63" i="53"/>
  <c r="N63" i="53"/>
  <c r="AE62" i="53"/>
  <c r="AD62" i="53"/>
  <c r="AC62" i="53"/>
  <c r="AB62" i="53"/>
  <c r="Y62" i="53"/>
  <c r="AA62" i="53"/>
  <c r="X62" i="53"/>
  <c r="Z62" i="53"/>
  <c r="O62" i="53"/>
  <c r="P62" i="53"/>
  <c r="N62" i="53"/>
  <c r="AE61" i="53"/>
  <c r="AD61" i="53"/>
  <c r="AC61" i="53"/>
  <c r="AB61" i="53"/>
  <c r="Y61" i="53"/>
  <c r="AA61" i="53"/>
  <c r="X61" i="53"/>
  <c r="Z61" i="53"/>
  <c r="O61" i="53"/>
  <c r="P61" i="53"/>
  <c r="N61" i="53"/>
  <c r="AE60" i="53"/>
  <c r="AD60" i="53"/>
  <c r="AC60" i="53"/>
  <c r="AB60" i="53"/>
  <c r="Y60" i="53"/>
  <c r="AA60" i="53"/>
  <c r="X60" i="53"/>
  <c r="Z60" i="53"/>
  <c r="O60" i="53"/>
  <c r="P60" i="53"/>
  <c r="N60" i="53"/>
  <c r="AE59" i="53"/>
  <c r="AD59" i="53"/>
  <c r="AC59" i="53"/>
  <c r="AB59" i="53"/>
  <c r="Y59" i="53"/>
  <c r="AA59" i="53"/>
  <c r="X59" i="53"/>
  <c r="Z59" i="53"/>
  <c r="O59" i="53"/>
  <c r="P59" i="53"/>
  <c r="N59" i="53"/>
  <c r="AE58" i="53"/>
  <c r="AD58" i="53"/>
  <c r="AC58" i="53"/>
  <c r="AB58" i="53"/>
  <c r="Y58" i="53"/>
  <c r="AA58" i="53"/>
  <c r="X58" i="53"/>
  <c r="Z58" i="53"/>
  <c r="P58" i="53"/>
  <c r="O58" i="53"/>
  <c r="N58" i="53"/>
  <c r="AE57" i="53"/>
  <c r="AD57" i="53"/>
  <c r="AC57" i="53"/>
  <c r="AB57" i="53"/>
  <c r="Z57" i="53"/>
  <c r="Y57" i="53"/>
  <c r="AA57" i="53"/>
  <c r="X57" i="53"/>
  <c r="O57" i="53"/>
  <c r="N57" i="53"/>
  <c r="P57" i="53"/>
  <c r="AE56" i="53"/>
  <c r="AD56" i="53"/>
  <c r="AC56" i="53"/>
  <c r="AB56" i="53"/>
  <c r="Y56" i="53"/>
  <c r="AA56" i="53"/>
  <c r="X56" i="53"/>
  <c r="Z56" i="53"/>
  <c r="O56" i="53"/>
  <c r="N56" i="53"/>
  <c r="P56" i="53"/>
  <c r="AE55" i="53"/>
  <c r="AD55" i="53"/>
  <c r="AC55" i="53"/>
  <c r="AB55" i="53"/>
  <c r="AA55" i="53"/>
  <c r="Y55" i="53"/>
  <c r="X55" i="53"/>
  <c r="Z55" i="53"/>
  <c r="O55" i="53"/>
  <c r="P55" i="53"/>
  <c r="N55" i="53"/>
  <c r="AE54" i="53"/>
  <c r="AD54" i="53"/>
  <c r="AC54" i="53"/>
  <c r="AB54" i="53"/>
  <c r="Z54" i="53"/>
  <c r="Y54" i="53"/>
  <c r="AA54" i="53"/>
  <c r="X54" i="53"/>
  <c r="O54" i="53"/>
  <c r="N54" i="53"/>
  <c r="AE53" i="53"/>
  <c r="AD53" i="53"/>
  <c r="AC53" i="53"/>
  <c r="AB53" i="53"/>
  <c r="Y53" i="53"/>
  <c r="AA53" i="53"/>
  <c r="X53" i="53"/>
  <c r="Z53" i="53"/>
  <c r="O53" i="53"/>
  <c r="N53" i="53"/>
  <c r="AE52" i="53"/>
  <c r="AD52" i="53"/>
  <c r="AC52" i="53"/>
  <c r="AB52" i="53"/>
  <c r="Y52" i="53"/>
  <c r="AA52" i="53"/>
  <c r="X52" i="53"/>
  <c r="Z52" i="53"/>
  <c r="O52" i="53"/>
  <c r="N52" i="53"/>
  <c r="AE51" i="53"/>
  <c r="AD51" i="53"/>
  <c r="AC51" i="53"/>
  <c r="AB51" i="53"/>
  <c r="AA51" i="53"/>
  <c r="Y51" i="53"/>
  <c r="X51" i="53"/>
  <c r="Z51" i="53"/>
  <c r="P51" i="53"/>
  <c r="O51" i="53"/>
  <c r="N51" i="53"/>
  <c r="AE50" i="53"/>
  <c r="AD50" i="53"/>
  <c r="AC50" i="53"/>
  <c r="AB50" i="53"/>
  <c r="Y50" i="53"/>
  <c r="AA50" i="53"/>
  <c r="X50" i="53"/>
  <c r="Z50" i="53"/>
  <c r="O50" i="53"/>
  <c r="P50" i="53"/>
  <c r="N50" i="53"/>
  <c r="AE49" i="53"/>
  <c r="AD49" i="53"/>
  <c r="AC49" i="53"/>
  <c r="AB49" i="53"/>
  <c r="Y49" i="53"/>
  <c r="AA49" i="53"/>
  <c r="X49" i="53"/>
  <c r="Z49" i="53"/>
  <c r="O49" i="53"/>
  <c r="N49" i="53"/>
  <c r="AE48" i="53"/>
  <c r="AD48" i="53"/>
  <c r="AC48" i="53"/>
  <c r="AB48" i="53"/>
  <c r="Y48" i="53"/>
  <c r="AA48" i="53"/>
  <c r="X48" i="53"/>
  <c r="Z48" i="53"/>
  <c r="O48" i="53"/>
  <c r="N48" i="53"/>
  <c r="AE47" i="53"/>
  <c r="AD47" i="53"/>
  <c r="AC47" i="53"/>
  <c r="AB47" i="53"/>
  <c r="Y47" i="53"/>
  <c r="AA47" i="53"/>
  <c r="X47" i="53"/>
  <c r="Z47" i="53"/>
  <c r="O47" i="53"/>
  <c r="N47" i="53"/>
  <c r="P47" i="53"/>
  <c r="AE46" i="53"/>
  <c r="AD46" i="53"/>
  <c r="AC46" i="53"/>
  <c r="AB46" i="53"/>
  <c r="AA46" i="53"/>
  <c r="Y46" i="53"/>
  <c r="X46" i="53"/>
  <c r="Z46" i="53"/>
  <c r="O46" i="53"/>
  <c r="P46" i="53"/>
  <c r="N46" i="53"/>
  <c r="AE45" i="53"/>
  <c r="AD45" i="53"/>
  <c r="AC45" i="53"/>
  <c r="AB45" i="53"/>
  <c r="Y45" i="53"/>
  <c r="AA45" i="53"/>
  <c r="X45" i="53"/>
  <c r="Z45" i="53"/>
  <c r="O45" i="53"/>
  <c r="P45" i="53"/>
  <c r="N45" i="53"/>
  <c r="AE44" i="53"/>
  <c r="AD44" i="53"/>
  <c r="AC44" i="53"/>
  <c r="AB44" i="53"/>
  <c r="Y44" i="53"/>
  <c r="AA44" i="53"/>
  <c r="X44" i="53"/>
  <c r="Z44" i="53"/>
  <c r="O44" i="53"/>
  <c r="P44" i="53"/>
  <c r="N44" i="53"/>
  <c r="AE43" i="53"/>
  <c r="AD43" i="53"/>
  <c r="AC43" i="53"/>
  <c r="AB43" i="53"/>
  <c r="Z43" i="53"/>
  <c r="Y43" i="53"/>
  <c r="AA43" i="53"/>
  <c r="X43" i="53"/>
  <c r="O43" i="53"/>
  <c r="P43" i="53"/>
  <c r="N43" i="53"/>
  <c r="AE42" i="53"/>
  <c r="AD42" i="53"/>
  <c r="AC42" i="53"/>
  <c r="AB42" i="53"/>
  <c r="Y42" i="53"/>
  <c r="AA42" i="53"/>
  <c r="X42" i="53"/>
  <c r="Z42" i="53"/>
  <c r="P42" i="53"/>
  <c r="O42" i="53"/>
  <c r="N42" i="53"/>
  <c r="AD41" i="53"/>
  <c r="AB41" i="53"/>
  <c r="Z41" i="53"/>
  <c r="X41" i="53"/>
  <c r="O41" i="53"/>
  <c r="N41" i="53"/>
  <c r="AE40" i="53"/>
  <c r="AD40" i="53"/>
  <c r="AC40" i="53"/>
  <c r="AB40" i="53"/>
  <c r="Y40" i="53"/>
  <c r="AA40" i="53"/>
  <c r="X40" i="53"/>
  <c r="Z40" i="53"/>
  <c r="O40" i="53"/>
  <c r="N40" i="53"/>
  <c r="AE39" i="53"/>
  <c r="AD39" i="53"/>
  <c r="AC39" i="53"/>
  <c r="AB39" i="53"/>
  <c r="Y39" i="53"/>
  <c r="AA39" i="53"/>
  <c r="X39" i="53"/>
  <c r="Z39" i="53"/>
  <c r="O39" i="53"/>
  <c r="N39" i="53"/>
  <c r="P39" i="53"/>
  <c r="AE38" i="53"/>
  <c r="AD38" i="53"/>
  <c r="AC38" i="53"/>
  <c r="AB38" i="53"/>
  <c r="Z38" i="53"/>
  <c r="Y38" i="53"/>
  <c r="AA38" i="53"/>
  <c r="X38" i="53"/>
  <c r="O38" i="53"/>
  <c r="P38" i="53"/>
  <c r="N38" i="53"/>
  <c r="AE37" i="53"/>
  <c r="AD37" i="53"/>
  <c r="AC37" i="53"/>
  <c r="AB37" i="53"/>
  <c r="Y37" i="53"/>
  <c r="AA37" i="53"/>
  <c r="X37" i="53"/>
  <c r="Z37" i="53"/>
  <c r="O37" i="53"/>
  <c r="N37" i="53"/>
  <c r="AE36" i="53"/>
  <c r="AD36" i="53"/>
  <c r="AC36" i="53"/>
  <c r="AB36" i="53"/>
  <c r="Y36" i="53"/>
  <c r="AA36" i="53"/>
  <c r="X36" i="53"/>
  <c r="Z36" i="53"/>
  <c r="O36" i="53"/>
  <c r="N36" i="53"/>
  <c r="AE35" i="53"/>
  <c r="AD35" i="53"/>
  <c r="AC35" i="53"/>
  <c r="AB35" i="53"/>
  <c r="Y35" i="53"/>
  <c r="AA35" i="53"/>
  <c r="X35" i="53"/>
  <c r="Z35" i="53"/>
  <c r="O35" i="53"/>
  <c r="P35" i="53"/>
  <c r="N35" i="53"/>
  <c r="AE34" i="53"/>
  <c r="AD34" i="53"/>
  <c r="AC34" i="53"/>
  <c r="AB34" i="53"/>
  <c r="Y34" i="53"/>
  <c r="AA34" i="53"/>
  <c r="X34" i="53"/>
  <c r="Z34" i="53"/>
  <c r="O34" i="53"/>
  <c r="P34" i="53"/>
  <c r="N34" i="53"/>
  <c r="AE33" i="53"/>
  <c r="AD33" i="53"/>
  <c r="AC33" i="53"/>
  <c r="AB33" i="53"/>
  <c r="Y33" i="53"/>
  <c r="AA33" i="53"/>
  <c r="X33" i="53"/>
  <c r="Z33" i="53"/>
  <c r="O33" i="53"/>
  <c r="P33" i="53"/>
  <c r="N33" i="53"/>
  <c r="AE32" i="53"/>
  <c r="AD32" i="53"/>
  <c r="AC32" i="53"/>
  <c r="AB32" i="53"/>
  <c r="Y32" i="53"/>
  <c r="AA32" i="53"/>
  <c r="X32" i="53"/>
  <c r="Z32" i="53"/>
  <c r="O32" i="53"/>
  <c r="P32" i="53"/>
  <c r="N32" i="53"/>
  <c r="AE31" i="53"/>
  <c r="AD31" i="53"/>
  <c r="AC31" i="53"/>
  <c r="AB31" i="53"/>
  <c r="Y31" i="53"/>
  <c r="AA31" i="53"/>
  <c r="X31" i="53"/>
  <c r="Z31" i="53"/>
  <c r="O31" i="53"/>
  <c r="N31" i="53"/>
  <c r="AE30" i="53"/>
  <c r="AD30" i="53"/>
  <c r="AC30" i="53"/>
  <c r="AB30" i="53"/>
  <c r="Z30" i="53"/>
  <c r="Y30" i="53"/>
  <c r="AA30" i="53"/>
  <c r="X30" i="53"/>
  <c r="O30" i="53"/>
  <c r="P30" i="53"/>
  <c r="N30" i="53"/>
  <c r="AE29" i="53"/>
  <c r="AD29" i="53"/>
  <c r="AC29" i="53"/>
  <c r="AB29" i="53"/>
  <c r="Y29" i="53"/>
  <c r="AA29" i="53"/>
  <c r="X29" i="53"/>
  <c r="Z29" i="53"/>
  <c r="O29" i="53"/>
  <c r="N29" i="53"/>
  <c r="AE28" i="53"/>
  <c r="AD28" i="53"/>
  <c r="AC28" i="53"/>
  <c r="AB28" i="53"/>
  <c r="Y28" i="53"/>
  <c r="AA28" i="53"/>
  <c r="X28" i="53"/>
  <c r="Z28" i="53"/>
  <c r="O28" i="53"/>
  <c r="N28" i="53"/>
  <c r="AE27" i="53"/>
  <c r="AD27" i="53"/>
  <c r="AC27" i="53"/>
  <c r="AB27" i="53"/>
  <c r="Y27" i="53"/>
  <c r="AA27" i="53"/>
  <c r="X27" i="53"/>
  <c r="Z27" i="53"/>
  <c r="O27" i="53"/>
  <c r="P27" i="53"/>
  <c r="N27" i="53"/>
  <c r="AE26" i="53"/>
  <c r="AD26" i="53"/>
  <c r="AC26" i="53"/>
  <c r="AB26" i="53"/>
  <c r="Y26" i="53"/>
  <c r="AA26" i="53"/>
  <c r="X26" i="53"/>
  <c r="Z26" i="53"/>
  <c r="O26" i="53"/>
  <c r="P26" i="53"/>
  <c r="N26" i="53"/>
  <c r="AE25" i="53"/>
  <c r="AD25" i="53"/>
  <c r="AC25" i="53"/>
  <c r="AB25" i="53"/>
  <c r="Y25" i="53"/>
  <c r="AA25" i="53"/>
  <c r="X25" i="53"/>
  <c r="Z25" i="53"/>
  <c r="O25" i="53"/>
  <c r="P25" i="53"/>
  <c r="N25" i="53"/>
  <c r="AE24" i="53"/>
  <c r="AD24" i="53"/>
  <c r="AC24" i="53"/>
  <c r="AB24" i="53"/>
  <c r="Y24" i="53"/>
  <c r="AA24" i="53"/>
  <c r="X24" i="53"/>
  <c r="Z24" i="53"/>
  <c r="O24" i="53"/>
  <c r="N24" i="53"/>
  <c r="AE23" i="53"/>
  <c r="AD23" i="53"/>
  <c r="AC23" i="53"/>
  <c r="AB23" i="53"/>
  <c r="AA23" i="53"/>
  <c r="Y23" i="53"/>
  <c r="X23" i="53"/>
  <c r="Z23" i="53"/>
  <c r="O23" i="53"/>
  <c r="P23" i="53"/>
  <c r="N23" i="53"/>
  <c r="AE22" i="53"/>
  <c r="AD22" i="53"/>
  <c r="AC22" i="53"/>
  <c r="AB22" i="53"/>
  <c r="Y22" i="53"/>
  <c r="AA22" i="53"/>
  <c r="X22" i="53"/>
  <c r="Z22" i="53"/>
  <c r="O22" i="53"/>
  <c r="N22" i="53"/>
  <c r="P22" i="53"/>
  <c r="AE21" i="53"/>
  <c r="AD21" i="53"/>
  <c r="AC21" i="53"/>
  <c r="AB21" i="53"/>
  <c r="Z21" i="53"/>
  <c r="Y21" i="53"/>
  <c r="AA21" i="53"/>
  <c r="X21" i="53"/>
  <c r="O21" i="53"/>
  <c r="P21" i="53"/>
  <c r="AE20" i="53"/>
  <c r="AD20" i="53"/>
  <c r="AC20" i="53"/>
  <c r="AB20" i="53"/>
  <c r="Y20" i="53"/>
  <c r="AA20" i="53"/>
  <c r="X20" i="53"/>
  <c r="Z20" i="53"/>
  <c r="O20" i="53"/>
  <c r="P20" i="53"/>
  <c r="AE19" i="53"/>
  <c r="AD19" i="53"/>
  <c r="AC19" i="53"/>
  <c r="AB19" i="53"/>
  <c r="Y19" i="53"/>
  <c r="AA19" i="53"/>
  <c r="X19" i="53"/>
  <c r="Z19" i="53"/>
  <c r="O19" i="53"/>
  <c r="P19" i="53"/>
  <c r="AE18" i="53"/>
  <c r="AD18" i="53"/>
  <c r="AC18" i="53"/>
  <c r="AB18" i="53"/>
  <c r="Y18" i="53"/>
  <c r="AA18" i="53"/>
  <c r="X18" i="53"/>
  <c r="Z18" i="53"/>
  <c r="P18" i="53"/>
  <c r="O18" i="53"/>
  <c r="AE17" i="53"/>
  <c r="AD17" i="53"/>
  <c r="AC17" i="53"/>
  <c r="AB17" i="53"/>
  <c r="Y17" i="53"/>
  <c r="AA17" i="53"/>
  <c r="X17" i="53"/>
  <c r="Z17" i="53"/>
  <c r="O17" i="53"/>
  <c r="P17" i="53"/>
  <c r="AE16" i="53"/>
  <c r="AD16" i="53"/>
  <c r="AC16" i="53"/>
  <c r="AB16" i="53"/>
  <c r="AA16" i="53"/>
  <c r="Y16" i="53"/>
  <c r="X16" i="53"/>
  <c r="Z16" i="53"/>
  <c r="P16" i="53"/>
  <c r="AE15" i="53"/>
  <c r="AD15" i="53"/>
  <c r="AC15" i="53"/>
  <c r="AB15" i="53"/>
  <c r="AA15" i="53"/>
  <c r="Y15" i="53"/>
  <c r="X15" i="53"/>
  <c r="Z15" i="53"/>
  <c r="P15" i="53"/>
  <c r="AE14" i="53"/>
  <c r="AD14" i="53"/>
  <c r="AC14" i="53"/>
  <c r="AB14" i="53"/>
  <c r="Y14" i="53"/>
  <c r="AA14" i="53"/>
  <c r="X14" i="53"/>
  <c r="Z14" i="53"/>
  <c r="P14" i="53"/>
  <c r="AE13" i="53"/>
  <c r="AD13" i="53"/>
  <c r="AC13" i="53"/>
  <c r="AB13" i="53"/>
  <c r="Z13" i="53"/>
  <c r="Y13" i="53"/>
  <c r="AA13" i="53"/>
  <c r="X13" i="53"/>
  <c r="P13" i="53"/>
  <c r="AE12" i="53"/>
  <c r="AD12" i="53"/>
  <c r="AC12" i="53"/>
  <c r="AB12" i="53"/>
  <c r="AA12" i="53"/>
  <c r="Y12" i="53"/>
  <c r="X12" i="53"/>
  <c r="Z12" i="53"/>
  <c r="P12" i="53"/>
  <c r="AE11" i="53"/>
  <c r="AD11" i="53"/>
  <c r="AC11" i="53"/>
  <c r="AB11" i="53"/>
  <c r="Y11" i="53"/>
  <c r="AA11" i="53"/>
  <c r="X11" i="53"/>
  <c r="Z11" i="53"/>
  <c r="P11" i="53"/>
  <c r="AE10" i="53"/>
  <c r="AD10" i="53"/>
  <c r="AC10" i="53"/>
  <c r="AB10" i="53"/>
  <c r="Y10" i="53"/>
  <c r="AA10" i="53"/>
  <c r="X10" i="53"/>
  <c r="Z10" i="53"/>
  <c r="P10" i="53"/>
  <c r="AE9" i="53"/>
  <c r="AD9" i="53"/>
  <c r="AC9" i="53"/>
  <c r="AB9" i="53"/>
  <c r="Z9" i="53"/>
  <c r="Y9" i="53"/>
  <c r="AA9" i="53"/>
  <c r="X9" i="53"/>
  <c r="P9" i="53"/>
  <c r="AE8" i="53"/>
  <c r="AD8" i="53"/>
  <c r="AC8" i="53"/>
  <c r="AB8" i="53"/>
  <c r="AA8" i="53"/>
  <c r="Z8" i="53"/>
  <c r="Y8" i="53"/>
  <c r="X8" i="53"/>
  <c r="P8" i="53"/>
  <c r="AE7" i="53"/>
  <c r="AD7" i="53"/>
  <c r="AC7" i="53"/>
  <c r="AB7" i="53"/>
  <c r="AA7" i="53"/>
  <c r="Y7" i="53"/>
  <c r="X7" i="53"/>
  <c r="Z7" i="53"/>
  <c r="P7" i="53"/>
  <c r="AE6" i="53"/>
  <c r="AD6" i="53"/>
  <c r="AC6" i="53"/>
  <c r="AB6" i="53"/>
  <c r="Y6" i="53"/>
  <c r="AA6" i="53"/>
  <c r="X6" i="53"/>
  <c r="Z6" i="53"/>
  <c r="P6" i="53"/>
  <c r="AE5" i="53"/>
  <c r="AD5" i="53"/>
  <c r="AC5" i="53"/>
  <c r="AB5" i="53"/>
  <c r="Z5" i="53"/>
  <c r="Y5" i="53"/>
  <c r="AA5" i="53"/>
  <c r="X5" i="53"/>
  <c r="P5" i="53"/>
  <c r="AE4" i="53"/>
  <c r="AD4" i="53"/>
  <c r="AC4" i="53"/>
  <c r="AB4" i="53"/>
  <c r="AA4" i="53"/>
  <c r="Y4" i="53"/>
  <c r="X4" i="53"/>
  <c r="Z4" i="53"/>
  <c r="P4" i="53"/>
  <c r="AE3" i="53"/>
  <c r="AD3" i="53"/>
  <c r="AC3" i="53"/>
  <c r="AB3" i="53"/>
  <c r="Y3" i="53"/>
  <c r="AA3" i="53"/>
  <c r="X3" i="53"/>
  <c r="Z3" i="53"/>
  <c r="P3" i="53"/>
  <c r="AE2" i="53"/>
  <c r="AD2" i="53"/>
  <c r="AD114" i="53"/>
  <c r="AC2" i="53"/>
  <c r="AC115" i="53"/>
  <c r="AB2" i="53"/>
  <c r="Y2" i="53"/>
  <c r="Y113" i="53"/>
  <c r="X2" i="53"/>
  <c r="X113" i="53"/>
  <c r="O2" i="53"/>
  <c r="P2" i="53"/>
  <c r="AE114" i="53"/>
  <c r="AB115" i="53"/>
  <c r="P24" i="53"/>
  <c r="P28" i="53"/>
  <c r="P29" i="53"/>
  <c r="P31" i="53"/>
  <c r="P36" i="53"/>
  <c r="P37" i="53"/>
  <c r="P52" i="53"/>
  <c r="P53" i="53"/>
  <c r="P54" i="53"/>
  <c r="P64" i="53"/>
  <c r="P65" i="53"/>
  <c r="P84" i="53"/>
  <c r="P85" i="53"/>
  <c r="P86" i="53"/>
  <c r="AD117" i="53"/>
  <c r="AD118" i="53"/>
  <c r="P48" i="53"/>
  <c r="P49" i="53"/>
  <c r="P72" i="53"/>
  <c r="P73" i="53"/>
  <c r="K117" i="53"/>
  <c r="Z2" i="53"/>
  <c r="Z113" i="53"/>
  <c r="P40" i="53"/>
  <c r="P41" i="53"/>
  <c r="P76" i="53"/>
  <c r="P77" i="53"/>
  <c r="P78" i="53"/>
  <c r="AD112" i="53"/>
  <c r="X114" i="53"/>
  <c r="H115" i="53"/>
  <c r="AD115" i="53"/>
  <c r="AE112" i="53"/>
  <c r="AB113" i="53"/>
  <c r="Y114" i="53"/>
  <c r="K115" i="53"/>
  <c r="AE115" i="53"/>
  <c r="AE117" i="53"/>
  <c r="AE118" i="53"/>
  <c r="X112" i="53"/>
  <c r="AC113" i="53"/>
  <c r="Z114" i="53"/>
  <c r="X115" i="53"/>
  <c r="H116" i="53"/>
  <c r="Y112" i="53"/>
  <c r="AD113" i="53"/>
  <c r="Y115" i="53"/>
  <c r="Z112" i="53"/>
  <c r="AE113" i="53"/>
  <c r="AB114" i="53"/>
  <c r="Z115" i="53"/>
  <c r="AC114" i="53"/>
  <c r="AA2" i="53"/>
  <c r="AB112" i="53"/>
  <c r="H114" i="53"/>
  <c r="AC112" i="53"/>
  <c r="K114" i="53"/>
  <c r="AE46" i="52"/>
  <c r="AD46" i="52"/>
  <c r="AC46" i="52"/>
  <c r="AB46" i="52"/>
  <c r="AA46" i="52"/>
  <c r="Y46" i="52"/>
  <c r="X46" i="52"/>
  <c r="Z46" i="52"/>
  <c r="O46" i="52"/>
  <c r="N46" i="52"/>
  <c r="AE45" i="52"/>
  <c r="AD45" i="52"/>
  <c r="AC45" i="52"/>
  <c r="AB45" i="52"/>
  <c r="Y45" i="52"/>
  <c r="AA45" i="52"/>
  <c r="X45" i="52"/>
  <c r="Z45" i="52"/>
  <c r="O45" i="52"/>
  <c r="P45" i="52"/>
  <c r="N45" i="52"/>
  <c r="AE44" i="52"/>
  <c r="AD44" i="52"/>
  <c r="AC44" i="52"/>
  <c r="AB44" i="52"/>
  <c r="Y44" i="52"/>
  <c r="AA44" i="52"/>
  <c r="X44" i="52"/>
  <c r="Z44" i="52"/>
  <c r="O44" i="52"/>
  <c r="N44" i="52"/>
  <c r="AE43" i="52"/>
  <c r="AD43" i="52"/>
  <c r="AC43" i="52"/>
  <c r="AB43" i="52"/>
  <c r="Y43" i="52"/>
  <c r="AA43" i="52"/>
  <c r="X43" i="52"/>
  <c r="Z43" i="52"/>
  <c r="O43" i="52"/>
  <c r="N43" i="52"/>
  <c r="AE42" i="52"/>
  <c r="AD42" i="52"/>
  <c r="AC42" i="52"/>
  <c r="AB42" i="52"/>
  <c r="Y42" i="52"/>
  <c r="AA42" i="52"/>
  <c r="X42" i="52"/>
  <c r="Z42" i="52"/>
  <c r="O42" i="52"/>
  <c r="P42" i="52"/>
  <c r="N42" i="52"/>
  <c r="AE41" i="52"/>
  <c r="AD41" i="52"/>
  <c r="AC41" i="52"/>
  <c r="AB41" i="52"/>
  <c r="Y41" i="52"/>
  <c r="AA41" i="52"/>
  <c r="X41" i="52"/>
  <c r="Z41" i="52"/>
  <c r="O41" i="52"/>
  <c r="P41" i="52"/>
  <c r="N41" i="52"/>
  <c r="AE40" i="52"/>
  <c r="AD40" i="52"/>
  <c r="AC40" i="52"/>
  <c r="AB40" i="52"/>
  <c r="Y40" i="52"/>
  <c r="AA40" i="52"/>
  <c r="X40" i="52"/>
  <c r="Z40" i="52"/>
  <c r="O40" i="52"/>
  <c r="P40" i="52"/>
  <c r="N40" i="52"/>
  <c r="AE39" i="52"/>
  <c r="AD39" i="52"/>
  <c r="AC39" i="52"/>
  <c r="AB39" i="52"/>
  <c r="Y39" i="52"/>
  <c r="AA39" i="52"/>
  <c r="X39" i="52"/>
  <c r="Z39" i="52"/>
  <c r="O39" i="52"/>
  <c r="N39" i="52"/>
  <c r="P39" i="52"/>
  <c r="AE38" i="52"/>
  <c r="AE50" i="52"/>
  <c r="AE59" i="52"/>
  <c r="AD38" i="52"/>
  <c r="AC38" i="52"/>
  <c r="AB38" i="52"/>
  <c r="AA38" i="52"/>
  <c r="Y38" i="52"/>
  <c r="X38" i="52"/>
  <c r="Z38" i="52"/>
  <c r="O38" i="52"/>
  <c r="P38" i="52"/>
  <c r="N38" i="52"/>
  <c r="AE37" i="52"/>
  <c r="AD37" i="52"/>
  <c r="AC37" i="52"/>
  <c r="AB37" i="52"/>
  <c r="Y37" i="52"/>
  <c r="AA37" i="52"/>
  <c r="X37" i="52"/>
  <c r="Z37" i="52"/>
  <c r="O37" i="52"/>
  <c r="P37" i="52"/>
  <c r="N37" i="52"/>
  <c r="AD50" i="52"/>
  <c r="AE49" i="52"/>
  <c r="P43" i="52"/>
  <c r="P46" i="52"/>
  <c r="P44" i="52"/>
  <c r="AA115" i="53"/>
  <c r="AA112" i="53"/>
  <c r="AA114" i="53"/>
  <c r="AA113" i="53"/>
  <c r="AD120" i="53"/>
  <c r="AD119" i="53"/>
  <c r="AD116" i="53"/>
  <c r="AE120" i="53"/>
  <c r="AE119" i="53"/>
  <c r="AE116" i="53"/>
  <c r="AD59" i="52"/>
  <c r="AE55" i="52"/>
  <c r="AE53" i="52"/>
  <c r="AE52" i="52"/>
  <c r="AE54" i="52"/>
  <c r="AE56" i="52"/>
  <c r="AE57" i="52"/>
  <c r="AE58" i="52"/>
  <c r="AD49" i="52"/>
  <c r="AD51" i="52"/>
  <c r="AD56" i="52"/>
  <c r="AD57" i="52"/>
  <c r="AD58" i="52"/>
  <c r="AE51" i="52"/>
  <c r="AD55" i="52"/>
  <c r="AD54" i="52"/>
  <c r="AD53" i="52"/>
  <c r="AD52" i="52"/>
  <c r="AK21" i="51"/>
  <c r="I21" i="51"/>
  <c r="AK19" i="51"/>
  <c r="AK23" i="51"/>
  <c r="I19" i="51"/>
  <c r="I23" i="51"/>
  <c r="AK18" i="51"/>
  <c r="AK27" i="51"/>
  <c r="I18" i="51"/>
  <c r="I27" i="51"/>
  <c r="AA8" i="51"/>
  <c r="I20" i="51"/>
  <c r="I22" i="51"/>
  <c r="I25" i="51"/>
  <c r="I24" i="51"/>
  <c r="I26" i="51"/>
  <c r="AK20" i="51"/>
  <c r="AK22" i="51"/>
  <c r="AK25" i="51"/>
  <c r="AK24" i="51"/>
  <c r="AK26" i="51"/>
</calcChain>
</file>

<file path=xl/sharedStrings.xml><?xml version="1.0" encoding="utf-8"?>
<sst xmlns="http://schemas.openxmlformats.org/spreadsheetml/2006/main" count="11689" uniqueCount="568">
  <si>
    <t>date</t>
  </si>
  <si>
    <t>Lab Temp</t>
  </si>
  <si>
    <t>sample ID</t>
  </si>
  <si>
    <t>temp C</t>
  </si>
  <si>
    <t>total moles injected n=(PV/rT)</t>
  </si>
  <si>
    <t>Prep Number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</si>
  <si>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</si>
  <si>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</si>
  <si>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</si>
  <si>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</si>
  <si>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</si>
  <si>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</si>
  <si>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</si>
  <si>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</si>
  <si>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(ppm)</t>
  </si>
  <si>
    <t>Std. Conc.</t>
  </si>
  <si>
    <t>Cal. Point</t>
  </si>
  <si>
    <t>Unknown</t>
  </si>
  <si>
    <t>-----</t>
  </si>
  <si>
    <t>Methane by FID</t>
  </si>
  <si>
    <t xml:space="preserve">High Methane by TCD </t>
  </si>
  <si>
    <t>Carbon dioxide by TCD</t>
  </si>
  <si>
    <t>Accuracy[%]</t>
  </si>
  <si>
    <t>Deviation</t>
  </si>
  <si>
    <t>Standard(Calc.Point)</t>
  </si>
  <si>
    <t>air</t>
  </si>
  <si>
    <t>std 1</t>
  </si>
  <si>
    <t>"AIR" by TCD</t>
  </si>
  <si>
    <t>Average</t>
  </si>
  <si>
    <t>BRN16May19_01.gcd</t>
  </si>
  <si>
    <t>BRN16May19_02.gcd</t>
  </si>
  <si>
    <t>BRN16May19_03.gcd</t>
  </si>
  <si>
    <t>BRN16May19_04.gcd</t>
  </si>
  <si>
    <t>BRN16May19_05.gcd</t>
  </si>
  <si>
    <t>BRN16May19_06.gcd</t>
  </si>
  <si>
    <t>BRN16May19_07.gcd</t>
  </si>
  <si>
    <t>BRN16May19_08.gcd</t>
  </si>
  <si>
    <t>HE cal CH4</t>
  </si>
  <si>
    <t>HE cal CO2</t>
  </si>
  <si>
    <t>Known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</si>
  <si>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</si>
  <si>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</si>
  <si>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</si>
  <si>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</si>
  <si>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</si>
  <si>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</si>
  <si>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</si>
  <si>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</si>
  <si>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</si>
  <si>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</si>
  <si>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Reworked, Ranged Calibrations</t>
  </si>
  <si>
    <t>Conc.</t>
  </si>
  <si>
    <t>WITH OUTSIDE AMBIENT AIR- alternate calibrations are to the right...</t>
  </si>
  <si>
    <t>BRN26jun19_01.gcd</t>
  </si>
  <si>
    <t>Standard(No Calc.Point)</t>
  </si>
  <si>
    <t>BRN26jun19_02.gcd</t>
  </si>
  <si>
    <t>BRN26jun19_03.gcd</t>
  </si>
  <si>
    <t>BRN27jun19_01.gcd</t>
  </si>
  <si>
    <t>BRN27jun19_02.gcd</t>
  </si>
  <si>
    <t>BRN27jun19_03.gcd</t>
  </si>
  <si>
    <t>RPM28jun19_01a.gcd</t>
  </si>
  <si>
    <t>AMM02july19_01.gcd</t>
  </si>
  <si>
    <t>Lab Time</t>
  </si>
  <si>
    <t>Lab Pressure</t>
  </si>
  <si>
    <t>syringe</t>
  </si>
  <si>
    <t>volume</t>
  </si>
  <si>
    <t>CH4 PK</t>
  </si>
  <si>
    <t>"AIR" PK - N at ~0.7</t>
  </si>
  <si>
    <t>"AIR" PK - O at ~1.36</t>
  </si>
  <si>
    <t>CO2 PK</t>
  </si>
  <si>
    <t>BRN Data Quality Code (1=no problems, 2=note, 3=fatal flaws)</t>
  </si>
  <si>
    <t>BRN analysis note</t>
  </si>
  <si>
    <t>pressure atm</t>
  </si>
  <si>
    <t>total moles if 1 ml were injected</t>
  </si>
  <si>
    <t>known moles CH4 from std</t>
  </si>
  <si>
    <t>known moles CO2 from std</t>
  </si>
  <si>
    <t xml:space="preserve">known ug CH4-C from std </t>
  </si>
  <si>
    <t>known ug CO2-C from std</t>
  </si>
  <si>
    <t>known ppmv CH4 from std based on a 1 ml injection</t>
  </si>
  <si>
    <t>known ppmv CO2 from std based on a 1 ml injection</t>
  </si>
  <si>
    <t>inversely predicted ug CH4-C in injection</t>
  </si>
  <si>
    <t>inversely predicted ug CO2-C in injection</t>
  </si>
  <si>
    <t>convert to ug CH4-C/L</t>
  </si>
  <si>
    <t>convert to ug CO2-C/L</t>
  </si>
  <si>
    <t>inversely predicted CH4 in ppmv- ambient ~1.85</t>
  </si>
  <si>
    <t>inversely predicted CO2 in ppmv- ambient ~400</t>
  </si>
  <si>
    <t>injection volume adjusted inversely predicted CH4 in ppmv- ambient ~1.85</t>
  </si>
  <si>
    <t>injection volume adjusted inversely predicted CO2 in ppmv- ambient ~400</t>
  </si>
  <si>
    <t>"Known CH4-C"</t>
  </si>
  <si>
    <t>ambient air</t>
  </si>
  <si>
    <t>VICI A 1-ml</t>
  </si>
  <si>
    <t>Std</t>
  </si>
  <si>
    <t>CV</t>
  </si>
  <si>
    <t>Warning Limit</t>
  </si>
  <si>
    <t>Xbar - 2SD</t>
  </si>
  <si>
    <t>Xbar + 2SD</t>
  </si>
  <si>
    <t>Control Limit</t>
  </si>
  <si>
    <t>Xbar - 3SD</t>
  </si>
  <si>
    <t>Xbar + 3SD</t>
  </si>
  <si>
    <t>Count</t>
  </si>
  <si>
    <t xml:space="preserve">injection volume adjusted inversely predicted CH4 in ppmv- ambient ~1.85 </t>
  </si>
  <si>
    <t>CH4 ug check std error</t>
  </si>
  <si>
    <t>CO2 ug check std error</t>
  </si>
  <si>
    <t>CH4 ppm check std error</t>
  </si>
  <si>
    <t>CO2 ppm check std error</t>
  </si>
  <si>
    <t>moles CH4 in 2 mls headspace helium</t>
  </si>
  <si>
    <t>moles CO2 in 2 mls headspace helium</t>
  </si>
  <si>
    <t>RPD for CH4 reps</t>
  </si>
  <si>
    <t>RPD for CO2 reps</t>
  </si>
  <si>
    <t>Observation #</t>
  </si>
  <si>
    <t>Ambient Air</t>
  </si>
  <si>
    <t>high ambient co2</t>
  </si>
  <si>
    <t>co2 room buildup</t>
  </si>
  <si>
    <t>TCD waivering</t>
  </si>
  <si>
    <t>high_breath?</t>
  </si>
  <si>
    <t>co2 high_breath?</t>
  </si>
  <si>
    <t>hmmm?</t>
  </si>
  <si>
    <t>nd</t>
  </si>
  <si>
    <t>misintegrated CO2</t>
  </si>
  <si>
    <t>Min</t>
  </si>
  <si>
    <t>Max</t>
  </si>
  <si>
    <t>NEW 100 uL syringe was ordered 23MAR17, so probably used only on 19MAY17 so far</t>
  </si>
  <si>
    <t>RECALC in col AT</t>
  </si>
  <si>
    <t>RECALC</t>
  </si>
  <si>
    <t>Order</t>
  </si>
  <si>
    <t>Season specific ranged CAL Measured headspace CH4  in ppm from GC in ppm (BD set at 0.2)</t>
  </si>
  <si>
    <t>Season specific CAL Measured headspace CO2 in ppm from GC in ppm</t>
  </si>
  <si>
    <t>KAB03july19_01.gcd</t>
  </si>
  <si>
    <t>RPM5july19_52.gcd</t>
  </si>
  <si>
    <t>AMM09july19_01.gcd</t>
  </si>
  <si>
    <t>RPM12july19_01.gcd</t>
  </si>
  <si>
    <t>AMM16july19_01.gcd</t>
  </si>
  <si>
    <t>KAB18july19_01.gcd</t>
  </si>
  <si>
    <t>AGH19jul19_01.gcd</t>
  </si>
  <si>
    <t>AMM23July19_01.gcd</t>
  </si>
  <si>
    <t>RPM26July19_01.gcd</t>
  </si>
  <si>
    <t>KAB29july19_01.gcd</t>
  </si>
  <si>
    <t>AMM30july19_01.gcd</t>
  </si>
  <si>
    <t>KAB01aug19_01.gcd</t>
  </si>
  <si>
    <t>AGH02aug19_01.gcd</t>
  </si>
  <si>
    <t>AGH06aug19_01.gcd</t>
  </si>
  <si>
    <t>AGH09aug19_01.gcd</t>
  </si>
  <si>
    <t>AGH13aug19_01.gcd</t>
  </si>
  <si>
    <t>AGH15aug19_01.gcd</t>
  </si>
  <si>
    <t>AGH15aug19_43.gcd</t>
  </si>
  <si>
    <t>RPM20aug19_01.gcd</t>
  </si>
  <si>
    <t>KAB22aug19_01.gcd</t>
  </si>
  <si>
    <t>AGH23aug19_01.gcd</t>
  </si>
  <si>
    <t>RPM02SEP19_01.gcd</t>
  </si>
  <si>
    <t>RPM05SEP19_01.gcd</t>
  </si>
  <si>
    <t>KAB17sept19_01.gcd</t>
  </si>
  <si>
    <t>ASL23sept19_01.gcd</t>
  </si>
  <si>
    <t>RPM30Sep19_01.gcd</t>
  </si>
  <si>
    <t>RPM07Oct19_01.gcd</t>
  </si>
  <si>
    <t>KAB09oct19_01.gcd</t>
  </si>
  <si>
    <t>RPM14Oct19_01.gcd</t>
  </si>
  <si>
    <t>ASL17Oct19_1.gcd</t>
  </si>
  <si>
    <t>ASL21Oct19_1.gcd</t>
  </si>
  <si>
    <t>KAB23oct19_01.gcd</t>
  </si>
  <si>
    <t>AGH24oct19_01.gcd</t>
  </si>
  <si>
    <t>KAB12nov19_01.gcd</t>
  </si>
  <si>
    <t>RPM15nov19_01.gcd</t>
  </si>
  <si>
    <t>RPM21Nov19_01.gcd</t>
  </si>
  <si>
    <t>KAB28jan20_01.gcd</t>
  </si>
  <si>
    <t>KAB12feb20_01.gcd</t>
  </si>
  <si>
    <t>ASL03Mar20_1.gcd</t>
  </si>
  <si>
    <t>BRN09mar20_001.gcd</t>
  </si>
  <si>
    <t>BRN17mar20_001.gcd</t>
  </si>
  <si>
    <t>BRN17mar20_034.gcd</t>
  </si>
  <si>
    <t>BRN22jun20_001.gcd</t>
  </si>
  <si>
    <t>BRN22jun20_003.gcd</t>
  </si>
  <si>
    <t>BRN22jun20_004.gcd</t>
  </si>
  <si>
    <t>BRN22jun20_005.gcd</t>
  </si>
  <si>
    <t>BRN23jun20_001.gcd</t>
  </si>
  <si>
    <t>BRN24jun20_001.gcd</t>
  </si>
  <si>
    <t>BRN25jun20_001.gcd</t>
  </si>
  <si>
    <t>BRN26jun20_001.gcd</t>
  </si>
  <si>
    <t>BRN30jun20_001.gcd</t>
  </si>
  <si>
    <t>BRN03jul20_001.gcd</t>
  </si>
  <si>
    <t>BRN07jul20_001.gcd</t>
  </si>
  <si>
    <t>BRN09jul20_001.gcd</t>
  </si>
  <si>
    <t>BRN10jul20_001.gcd</t>
  </si>
  <si>
    <t>BRN20jul20_001.gcd</t>
  </si>
  <si>
    <t>BRN24jul20_001.gcd</t>
  </si>
  <si>
    <t>BRN28jul20_001.gcd</t>
  </si>
  <si>
    <t>BRN30jul20_001.gcd</t>
  </si>
  <si>
    <t>BRN31jul20_001.gcd</t>
  </si>
  <si>
    <t>BRN04aug20_001.gcd</t>
  </si>
  <si>
    <t>BRN07aug20_001.gcd</t>
  </si>
  <si>
    <t>BRN10aug20_001.gcd</t>
  </si>
  <si>
    <t>BRN11aug20_001.gcd</t>
  </si>
  <si>
    <t>BRN18aug20_001.gcd</t>
  </si>
  <si>
    <t>BRN21aug20_001.gcd</t>
  </si>
  <si>
    <t>BRN25aug20_001.gcd</t>
  </si>
  <si>
    <t>BRN02sep20_001.gcd</t>
  </si>
  <si>
    <t>BRN03sep20_001.gcd</t>
  </si>
  <si>
    <t>BRN04sep20_001.gcd</t>
  </si>
  <si>
    <t>BRN08sep20_001.gcd</t>
  </si>
  <si>
    <t>CO2 peak on hump</t>
  </si>
  <si>
    <t>BRN14sep20_001.gcd</t>
  </si>
  <si>
    <t>BRN16sep20_001.gcd</t>
  </si>
  <si>
    <t>BRN17sep20_001.gcd</t>
  </si>
  <si>
    <t>BRN18sep20_001.gcd</t>
  </si>
  <si>
    <t>BRN22sep20_001.gcd</t>
  </si>
  <si>
    <t>BRN01oct20_001.gcd</t>
  </si>
  <si>
    <t>BRN02oct20_001.gcd</t>
  </si>
  <si>
    <t>BRN06oct20_001.gcd</t>
  </si>
  <si>
    <t>BRN07oct20_001.gcd</t>
  </si>
  <si>
    <t>BRN14oct20_001.gcd</t>
  </si>
  <si>
    <t>BRN15oct20_001.gcd</t>
  </si>
  <si>
    <t>BRN20oct20_001.gcd</t>
  </si>
  <si>
    <t>BRN27oct20_001.gcd</t>
  </si>
  <si>
    <t>BRN29oct20_001.gcd</t>
  </si>
  <si>
    <t>BRN03nov20_001.gcd</t>
  </si>
  <si>
    <t>BRN05nov20_001.gcd</t>
  </si>
  <si>
    <t>BRN10nov20_001.gcd</t>
  </si>
  <si>
    <t>BRN11nov20_001.gcd</t>
  </si>
  <si>
    <t>BRN03dec20_001.gcd</t>
  </si>
  <si>
    <t>BRN03dec20_002.gcd</t>
  </si>
  <si>
    <t>air + 100</t>
  </si>
  <si>
    <t>air + 100?? just air?</t>
  </si>
  <si>
    <t>BRN08dec20_001.gcd</t>
  </si>
  <si>
    <t>BRN09dec20_001.gcd</t>
  </si>
  <si>
    <t>n</t>
  </si>
  <si>
    <t>BRN10dec20_001.gcd</t>
  </si>
  <si>
    <t>BRN09feb21_001.gcd</t>
  </si>
  <si>
    <t>BRN10feb21_001.gcd</t>
  </si>
  <si>
    <t>BRN09feb21_003.gcd</t>
  </si>
  <si>
    <t>BRN24feb21_001.gcd</t>
  </si>
  <si>
    <t>BRN01mar21_001.gcd</t>
  </si>
  <si>
    <t>BRN26feb21_001.gcd</t>
  </si>
  <si>
    <t>cal std 1</t>
  </si>
  <si>
    <t>BRN26feb21_002.gcd</t>
  </si>
  <si>
    <t>BRN26feb21_003.gcd</t>
  </si>
  <si>
    <t>BRN11mar21_001.gcd</t>
  </si>
  <si>
    <t>BRN16mar21_001.gcd</t>
  </si>
  <si>
    <t>BRN17mar21_001.gcd</t>
  </si>
  <si>
    <t>BRN23mar21_001.gcd</t>
  </si>
  <si>
    <t>T-value</t>
  </si>
  <si>
    <t>KNOWN</t>
  </si>
  <si>
    <t>~400</t>
  </si>
  <si>
    <t>pressure atm (check elevation in feet for Roanoke 1663 vs Blacksburg 2053)</t>
  </si>
  <si>
    <t xml:space="preserve">known ppmv CH4 from std </t>
  </si>
  <si>
    <t xml:space="preserve">known ppmv CO2 from std </t>
  </si>
  <si>
    <t xml:space="preserve">injection volume adjusted inversely predicted CH4 in ppmv- ambient ~1.5 </t>
  </si>
  <si>
    <t>injection volume adjusted inversely predicted CO2 in ppmv- ambient ~350</t>
  </si>
  <si>
    <t>Analysis Order</t>
  </si>
  <si>
    <t>Dilution Factor</t>
  </si>
  <si>
    <t>Ambient air</t>
  </si>
  <si>
    <t>VICI A 1000</t>
  </si>
  <si>
    <t>VICI A 1001</t>
  </si>
  <si>
    <t>VICI A 1002</t>
  </si>
  <si>
    <t>vici a 1000</t>
  </si>
  <si>
    <t>Stdev</t>
  </si>
  <si>
    <t>WITH STANDARD FOR CO2</t>
  </si>
  <si>
    <t>"AIR" PK</t>
  </si>
  <si>
    <t>moles CH4 from std</t>
  </si>
  <si>
    <t>moles CO2 from std</t>
  </si>
  <si>
    <t>ug CH4 from std (whole compound not C)</t>
  </si>
  <si>
    <t>ug CO2 from std (whole compound not C)</t>
  </si>
  <si>
    <t>ppmv CH4 based on a 1 ml injection</t>
  </si>
  <si>
    <t>ppmv CO2 based on a 1 ml injection</t>
  </si>
  <si>
    <t>ug CH4-C/L based on a 1 ml injection</t>
  </si>
  <si>
    <t>ug CO2-C/L based on a 1 ml injection</t>
  </si>
  <si>
    <t>inversely predicted ppm CH4 in 1 ml injection</t>
  </si>
  <si>
    <t>inversely predicted ppm CO2 in 1 ml injection</t>
  </si>
  <si>
    <t>Undiluted Standard</t>
  </si>
  <si>
    <t>VICI A2 25 uL</t>
  </si>
  <si>
    <t>Known Conc</t>
  </si>
  <si>
    <t>3*SD</t>
  </si>
  <si>
    <t>count</t>
  </si>
  <si>
    <t>Tvalue</t>
  </si>
  <si>
    <t>WITH AIR FOR CH4</t>
  </si>
  <si>
    <t>ambient air for CH4 MDL</t>
  </si>
  <si>
    <t>VICI A2 250 uL</t>
  </si>
  <si>
    <t>moles CH4 in 2 mls</t>
  </si>
  <si>
    <t>moles CO2 in 2 mls</t>
  </si>
  <si>
    <t>Diluted Standard</t>
  </si>
  <si>
    <t>known moles CH4 from std AND lab air</t>
  </si>
  <si>
    <t>known moles CO2 from std AND lab air</t>
  </si>
  <si>
    <t>known ug CH4-C from std AND lab air</t>
  </si>
  <si>
    <t>known ug CO2-C from std AND lab air</t>
  </si>
  <si>
    <t>inversely predicted CH4 in ppmv</t>
  </si>
  <si>
    <t>inversely predicted CO2 in ppmv</t>
  </si>
  <si>
    <t>Size of vial (uL)</t>
  </si>
  <si>
    <t>Dilution factor for the standard</t>
  </si>
  <si>
    <t>ul standard addition to 20 ml serum vial</t>
  </si>
  <si>
    <t>CH4 conc of standard added</t>
  </si>
  <si>
    <t>CO2 conc of standard added</t>
  </si>
  <si>
    <t>CH4 ppm by dilution</t>
  </si>
  <si>
    <t>from ug cal</t>
  </si>
  <si>
    <t>CO2 ppm by dilution</t>
  </si>
  <si>
    <t>std add 0</t>
  </si>
  <si>
    <t>LSD</t>
  </si>
  <si>
    <t>rolling</t>
  </si>
  <si>
    <t>method</t>
  </si>
  <si>
    <t>year 2017</t>
  </si>
  <si>
    <t>year 2016</t>
  </si>
  <si>
    <t>year 2019</t>
  </si>
  <si>
    <t>instrument</t>
  </si>
  <si>
    <t>SRI</t>
  </si>
  <si>
    <t>Shimadzu</t>
  </si>
  <si>
    <t>year 2021</t>
  </si>
  <si>
    <t>year 2020</t>
  </si>
  <si>
    <t>~1.85</t>
  </si>
  <si>
    <t>SRI GC</t>
  </si>
  <si>
    <t>sorting variable 1- collection date</t>
  </si>
  <si>
    <t>sorting variable 2- depth</t>
  </si>
  <si>
    <t>sorting variable 3- other</t>
  </si>
  <si>
    <t>sorting variable 4- rep</t>
  </si>
  <si>
    <t>preparation date</t>
  </si>
  <si>
    <t>Sample Identification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</si>
  <si>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</si>
  <si>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</si>
  <si>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</si>
  <si>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</t>
  </si>
  <si>
    <t>Measured headspace CO2 in ppm from GC in ppm</t>
  </si>
  <si>
    <t>OLD CAL Measured headspace CH4  in ppm from GC in ppm (BD set at 0.7)</t>
  </si>
  <si>
    <t>OLD CAL Measured headspace CO2 in ppm from GC in ppm</t>
  </si>
  <si>
    <t>NEW CAL Measured headspace CH4  in ppm from GC in ppm</t>
  </si>
  <si>
    <t>NEW CAL Measured headspace CO2 in ppm from GC in ppm</t>
  </si>
  <si>
    <t>Rolling CH4 new cal STD</t>
  </si>
  <si>
    <t>Rolling CO2 new cal STD</t>
  </si>
  <si>
    <t>Barometric Pressure from Weather Site (sea level in inches Hg)</t>
  </si>
  <si>
    <t>JUST VIAL #</t>
  </si>
  <si>
    <t>Data Quality Code (1=no problems, 2=note, 3=fatal flaws)</t>
  </si>
  <si>
    <t>Analyst notes</t>
  </si>
  <si>
    <t>uncorrected local pressure atm</t>
  </si>
  <si>
    <t>OLD CAL inversely predicted ug CH4-C in injection</t>
  </si>
  <si>
    <t>OLD CAL inversely predicted ug CO2-C in injection</t>
  </si>
  <si>
    <t>OLD CAL convert to ug CH4-C/L</t>
  </si>
  <si>
    <t>OLD CAL convert to ug CO2-C/L</t>
  </si>
  <si>
    <t>OLD CAL inversely predicted CH4 in ppmv- ambient ~1.5</t>
  </si>
  <si>
    <t>OLD CAL inversely predicted CO2 in ppmv- ambient ~350</t>
  </si>
  <si>
    <t>NEW CAL inversely predicted ug CH4-C in injection</t>
  </si>
  <si>
    <t>NEW CAL inversely predicted ug CO2-C in injection</t>
  </si>
  <si>
    <t>NEW CAL convert to ug CH4-C/L</t>
  </si>
  <si>
    <t>NEW CAL convert to ug CO2-C/L</t>
  </si>
  <si>
    <t>NEW CAL inversely predicted CH4 in ppmv- ambient ~1.5</t>
  </si>
  <si>
    <t>NEW CAL inversely predicted CO2 in ppmv- ambient ~350</t>
  </si>
  <si>
    <t>OTHER</t>
  </si>
  <si>
    <t>year 2018</t>
  </si>
  <si>
    <t xml:space="preserve">Just air </t>
  </si>
  <si>
    <t>BRN03feb22_001.gcd</t>
  </si>
  <si>
    <t>air 1</t>
  </si>
  <si>
    <t>BRN03feb22_002.gcd</t>
  </si>
  <si>
    <t>air 2</t>
  </si>
  <si>
    <t>BRN03feb22_003.gcd</t>
  </si>
  <si>
    <t>air 3</t>
  </si>
  <si>
    <t>BRN03feb22_004.gcd</t>
  </si>
  <si>
    <t>air 4</t>
  </si>
  <si>
    <t>BRN03feb22_005.gcd</t>
  </si>
  <si>
    <t>air 5</t>
  </si>
  <si>
    <t>BRN03feb22_006.gcd</t>
  </si>
  <si>
    <t>air 6</t>
  </si>
  <si>
    <t>BRN03feb22_007.gcd</t>
  </si>
  <si>
    <t>air 7</t>
  </si>
  <si>
    <t>BRN03feb22_008.gcd</t>
  </si>
  <si>
    <t>air 8</t>
  </si>
  <si>
    <t>Analyst code</t>
  </si>
  <si>
    <t>Note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</si>
  <si>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</si>
  <si>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</si>
  <si>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</si>
  <si>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</si>
  <si>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JUST USING 1984 STYLE</t>
  </si>
  <si>
    <t>Confidence half interval</t>
  </si>
  <si>
    <t>95% CI lower</t>
  </si>
  <si>
    <t>95% CI upper</t>
  </si>
  <si>
    <t>2022 ranged CAL Measured headspace CH4  in ppm from GC in ppm</t>
  </si>
  <si>
    <t>2022 CAL Measured headspace CO2 in ppm from GC in ppm</t>
  </si>
  <si>
    <t>point #</t>
  </si>
  <si>
    <t>What corresponds to upward runs?</t>
  </si>
  <si>
    <t>new batch of vials prepared?</t>
  </si>
  <si>
    <t>known dates for QAQC sample prep are 15dec20, 17aug21...08mar22</t>
  </si>
  <si>
    <t>seasonal? MAYBE...but small (0.03ppm)</t>
  </si>
  <si>
    <t xml:space="preserve">          see plot to left</t>
  </si>
  <si>
    <t>no drop down in signal when new batch started...</t>
  </si>
  <si>
    <t xml:space="preserve">          lit max oct min apr or july?</t>
  </si>
  <si>
    <t>8 air run with new calibration</t>
  </si>
  <si>
    <t xml:space="preserve">2 sd around mean signal = </t>
  </si>
  <si>
    <t>BRN06apr21_001.gcd</t>
  </si>
  <si>
    <t>BRN07apr21_001.gcd</t>
  </si>
  <si>
    <t>BRN07apr21_003.gcd</t>
  </si>
  <si>
    <t>BRN07apr21_004.gcd</t>
  </si>
  <si>
    <t>BRN19apr21_001.gcd</t>
  </si>
  <si>
    <t>BRN04may21_001.gcd</t>
  </si>
  <si>
    <t>BRN07may21_001.gcd</t>
  </si>
  <si>
    <t>BRN18may21_001.gcd</t>
  </si>
  <si>
    <t>BRN19may21_001.gcd</t>
  </si>
  <si>
    <t>BRN20may21_001.gcd</t>
  </si>
  <si>
    <t>BRN24may21_001.gcd</t>
  </si>
  <si>
    <t>BRN25may21_001.gcd</t>
  </si>
  <si>
    <t>BRN26may21_001.gcd</t>
  </si>
  <si>
    <t>BRN01jun21_001.gcd</t>
  </si>
  <si>
    <t>BRN03jun21_001.gcd</t>
  </si>
  <si>
    <t>BRN14jun21_001.gcd</t>
  </si>
  <si>
    <t>BRN15jun21_001.gcd</t>
  </si>
  <si>
    <t>BRN23jun21_001.gcd</t>
  </si>
  <si>
    <t>BRN28jun21_001.gcd</t>
  </si>
  <si>
    <t>BRN29jun21_001.gcd</t>
  </si>
  <si>
    <t>BRN09jun21_001.gcd</t>
  </si>
  <si>
    <t>BRN12jun21_001.gcd</t>
  </si>
  <si>
    <t>BRN14jul21_001.gcd</t>
  </si>
  <si>
    <t>BRN15jul21_001.gcd</t>
  </si>
  <si>
    <t>BRN6jul21_001.gcd</t>
  </si>
  <si>
    <t>BRN22jul21_001.gcd</t>
  </si>
  <si>
    <t>BRN27jul21_001.gcd</t>
  </si>
  <si>
    <t>BRN03aug21_001.gcd</t>
  </si>
  <si>
    <t>BRN04aug21_001.gcd</t>
  </si>
  <si>
    <t>BRN05aug21_001.gcd</t>
  </si>
  <si>
    <t>BRN06aug21_001.gcd</t>
  </si>
  <si>
    <t>BRN10aug21_001.gcd</t>
  </si>
  <si>
    <t>BRN17aug21_001.gcd</t>
  </si>
  <si>
    <t>BRN24aug21_001.gcd</t>
  </si>
  <si>
    <t>new batch of spikes</t>
  </si>
  <si>
    <t>BRN01sep21_001.gcd</t>
  </si>
  <si>
    <t>BRN07sep21_001.gcd</t>
  </si>
  <si>
    <t>BRN15sep21_001.gcd</t>
  </si>
  <si>
    <t>BRN22sep21_001.gcd</t>
  </si>
  <si>
    <t>BRN28sep21_001.gcd</t>
  </si>
  <si>
    <t>BRN05sep21_001.gcd</t>
  </si>
  <si>
    <t>BRN12oct21_001.gcd</t>
  </si>
  <si>
    <t>BRN13oct21_001.gcd</t>
  </si>
  <si>
    <t>BRN19oct21_001.gcd</t>
  </si>
  <si>
    <t>BRN26oct21_001.gcd</t>
  </si>
  <si>
    <t>BRN27oct21_001.gcd</t>
  </si>
  <si>
    <t>BRN04nov21_001.gcd</t>
  </si>
  <si>
    <t>BRN05nov21_001.gcd</t>
  </si>
  <si>
    <t>BRN08nov21_001.gcd</t>
  </si>
  <si>
    <t>BRN09nov21_001.gcd</t>
  </si>
  <si>
    <t>BRN10nov21_001.gcd</t>
  </si>
  <si>
    <t>BRN23nov21_001.gcd</t>
  </si>
  <si>
    <t>BRN30nov21_001.gcd</t>
  </si>
  <si>
    <t>BRN01dec21_001.gcd</t>
  </si>
  <si>
    <t>BRN02dec21_001.gcd</t>
  </si>
  <si>
    <t>BRN07dec21_001.gcd</t>
  </si>
  <si>
    <t>BRN08dec21_001.gcd</t>
  </si>
  <si>
    <t>BRN09dec21_001.gcd</t>
  </si>
  <si>
    <t>BRN13dec21_001.gcd</t>
  </si>
  <si>
    <t>BRN14dec21_001.gcd</t>
  </si>
  <si>
    <t>BRN15dec21_001.gcd</t>
  </si>
  <si>
    <t>BRN20dec21_001.gcd</t>
  </si>
  <si>
    <t>BRN21dec21_001.gcd</t>
  </si>
  <si>
    <t>~1.8</t>
  </si>
  <si>
    <t>bad batch of checks from 08mar22 to 24may22 excluded</t>
  </si>
  <si>
    <t>new batch</t>
  </si>
  <si>
    <t>AIR</t>
  </si>
  <si>
    <t>CH4 with negative values set to zero</t>
  </si>
  <si>
    <t>2022 near ambient CH4  in ppm from GC in ppm</t>
  </si>
  <si>
    <t>2022 near ambient CO2 in ppm from GC in ppm</t>
  </si>
  <si>
    <t>Conc. (ppt)</t>
  </si>
  <si>
    <t>BRN01jun22_001.gcd</t>
  </si>
  <si>
    <t>BRN01jun22_002.gcd</t>
  </si>
  <si>
    <t>BRN01jun22_003.gcd</t>
  </si>
  <si>
    <t>BRN01jun22_004.gcd</t>
  </si>
  <si>
    <t>BRN01jun22_005.gcd</t>
  </si>
  <si>
    <t>BRN27jan22_001.gcd</t>
  </si>
  <si>
    <t>BRN01feb22_001.gcd</t>
  </si>
  <si>
    <t>BRN03feb22_009.gcd</t>
  </si>
  <si>
    <t>std 1 a</t>
  </si>
  <si>
    <t>BRN03feb22_010.gcd</t>
  </si>
  <si>
    <t>std 1 b</t>
  </si>
  <si>
    <t>BRN07feb22_001.gcd</t>
  </si>
  <si>
    <t>BRN07feb22_002.gcd</t>
  </si>
  <si>
    <t>BRN07feb22_003.gcd</t>
  </si>
  <si>
    <t>BRN07feb22_004.gcd</t>
  </si>
  <si>
    <t>KAB24feb22_001.gcd</t>
  </si>
  <si>
    <t>BRN25feb22_001.gcd</t>
  </si>
  <si>
    <t>BRN07mar22_001.gcd</t>
  </si>
  <si>
    <t>BRN26may22_001.gcd</t>
  </si>
  <si>
    <t>air (new batch)</t>
  </si>
  <si>
    <t>BRN08jun22_001.gcd</t>
  </si>
  <si>
    <t>BRN13jun22_001.gcd</t>
  </si>
  <si>
    <t>BRN14jun22_001.gcd</t>
  </si>
  <si>
    <t>BRN16jun22_001.gcd</t>
  </si>
  <si>
    <t>BRN21jun22_001.gcd</t>
  </si>
  <si>
    <t>BRN27jun22_001.gcd</t>
  </si>
  <si>
    <t>BRN28jun22_001.gcd</t>
  </si>
  <si>
    <t>using ALL data (not restricted to 2 years)</t>
  </si>
  <si>
    <t>Do we leave the negative values in for a SD calculation??</t>
  </si>
  <si>
    <t>~440</t>
  </si>
  <si>
    <t>Restricted data various ways... Just 2022</t>
  </si>
  <si>
    <t>UNIVARIATE</t>
  </si>
  <si>
    <t>mean</t>
  </si>
  <si>
    <t>STATISTICS</t>
  </si>
  <si>
    <t>min</t>
  </si>
  <si>
    <t>max</t>
  </si>
  <si>
    <t>From GC</t>
  </si>
  <si>
    <t>1st gas</t>
  </si>
  <si>
    <t>2nd gas…</t>
  </si>
  <si>
    <t>SAME FOR BOTH GASES</t>
  </si>
  <si>
    <t>JUST CH4 CALCULATIONS</t>
  </si>
  <si>
    <t>JUST CO2 CALCULATIONS</t>
  </si>
  <si>
    <t>CH4 ppm</t>
  </si>
  <si>
    <t>CO2 ppm</t>
  </si>
  <si>
    <t>Caq</t>
  </si>
  <si>
    <t>Ptot</t>
  </si>
  <si>
    <t>T</t>
  </si>
  <si>
    <t>Vaq</t>
  </si>
  <si>
    <t>Vg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</si>
  <si>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</si>
  <si>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</si>
  <si>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</si>
  <si>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</si>
  <si>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</si>
  <si>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</si>
  <si>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</si>
  <si>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</si>
  <si>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CALCULATIONS:</t>
  </si>
  <si>
    <t>PxVg/RT</t>
  </si>
  <si>
    <t>PxairV/RT</t>
  </si>
  <si>
    <t>as mol/l*atm</t>
  </si>
  <si>
    <t>atm</t>
  </si>
  <si>
    <t>kelvin</t>
  </si>
  <si>
    <t>liters</t>
  </si>
  <si>
    <t>mol</t>
  </si>
  <si>
    <t>analysis date</t>
  </si>
  <si>
    <t>BP at sea level from current weather report like wunderground in inches Hg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</si>
  <si>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</si>
  <si>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</si>
  <si>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 for comparison to RSK calc</t>
    </r>
  </si>
  <si>
    <t>convert CH4 to volume fraction as ppm??  Corrected for water vapor</t>
  </si>
  <si>
    <t>convert CO2 to volume fraction as ppm?? Corrected for water vapor</t>
  </si>
  <si>
    <t>convert CO2 to Xppm as per Industrial Hygiene using lab temp and pressure corrected by Antoine equation for vapor pressure of water ??</t>
  </si>
  <si>
    <t>Total pressure in atm- converted from weather report</t>
  </si>
  <si>
    <t>Temperature in K</t>
  </si>
  <si>
    <t>Volume of water in L</t>
  </si>
  <si>
    <t>Headspace Volume in L</t>
  </si>
  <si>
    <t>Antoine equation for vapor pressure of water</t>
  </si>
  <si>
    <t>Partial pressure for the gas (atm)</t>
  </si>
  <si>
    <t>mols compound in gas</t>
  </si>
  <si>
    <t>mols compound in gas used to make headspace</t>
  </si>
  <si>
    <t>mol compound in water</t>
  </si>
  <si>
    <t>Total mols compound in vessel</t>
  </si>
  <si>
    <t>Partial pressure for the gas x (atm)</t>
  </si>
  <si>
    <t>Total mols in vessel</t>
  </si>
  <si>
    <t>bd=below detection</t>
  </si>
  <si>
    <t>unsure about these conversions to partial pressures as ppm because they do not agree with CO2SYS calculations</t>
  </si>
  <si>
    <t>mole fraction * total pressure</t>
  </si>
  <si>
    <t>n=(pv)/(rt)</t>
  </si>
  <si>
    <t>0 for helium or estimated from mean measured air</t>
  </si>
  <si>
    <t>estimated from Henry's</t>
  </si>
  <si>
    <t>added</t>
  </si>
  <si>
    <t>from Sanders 2015 v 4 p 4420</t>
  </si>
  <si>
    <t>from Sanders 2015  v. 4 p 4488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</si>
  <si>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</si>
  <si>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</si>
  <si>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</si>
  <si>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calculate volume fraction - starting w mol/L * volume/mol from ideal gas law</t>
  </si>
  <si>
    <t>Atmos. Chem. Phys., 15, 4399–4981, 2015</t>
  </si>
  <si>
    <t>theoretical</t>
  </si>
  <si>
    <t>reservoir</t>
  </si>
  <si>
    <t>1984 style</t>
  </si>
  <si>
    <t>2016 style</t>
  </si>
  <si>
    <t>partial year 2022</t>
  </si>
  <si>
    <t>ppmv CH4 from std based on a 1 ml injection</t>
  </si>
  <si>
    <t>ppmv CO2 from std based on a 1 ml injection</t>
  </si>
  <si>
    <t>inversely predicted CH4 in ppmv- ambient ~1.5</t>
  </si>
  <si>
    <t>inversely predicted CO2 in ppmv- ambient ~350</t>
  </si>
  <si>
    <t>Hamilton</t>
  </si>
  <si>
    <t>BD</t>
  </si>
  <si>
    <t>CO2 pk misintegrated</t>
  </si>
  <si>
    <t>ambient air edited</t>
  </si>
  <si>
    <t>rerun new technique</t>
  </si>
  <si>
    <t>Headspace equilibration Temp in C</t>
  </si>
  <si>
    <t>vici A 1000</t>
  </si>
  <si>
    <t xml:space="preserve">using ALL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</si>
</sst>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"/>
    <numFmt numFmtId="165" formatCode="0.0000"/>
    <numFmt numFmtId="166" formatCode="#,##0.0"/>
    <numFmt numFmtId="167" formatCode="0.000"/>
    <numFmt numFmtId="168" formatCode="0.0"/>
    <numFmt numFmtId="169" formatCode="#,##0.000"/>
    <numFmt numFmtId="170" formatCode="0.0000000"/>
    <numFmt numFmtId="171" formatCode="0.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14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Fill="1"/>
    <xf numFmtId="164" fontId="0" fillId="0" borderId="0" xfId="0" applyNumberFormat="1"/>
    <xf numFmtId="3" fontId="0" fillId="0" borderId="0" xfId="0" applyNumberFormat="1" applyFill="1"/>
    <xf numFmtId="166" fontId="0" fillId="0" borderId="0" xfId="0" applyNumberFormat="1"/>
    <xf numFmtId="3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 applyAlignment="1"/>
    <xf numFmtId="165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applyFill="1" applyAlignment="1">
      <alignment wrapText="1"/>
    </xf>
    <xf numFmtId="22" fontId="0" fillId="0" borderId="0" xfId="0" applyNumberFormat="1"/>
    <xf numFmtId="165" fontId="0" fillId="2" borderId="0" xfId="0" applyNumberFormat="1" applyFill="1" applyAlignment="1">
      <alignment wrapText="1"/>
    </xf>
    <xf numFmtId="166" fontId="0" fillId="2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 applyAlignment="1">
      <alignment wrapText="1"/>
    </xf>
    <xf numFmtId="1" fontId="0" fillId="0" borderId="0" xfId="0" applyNumberFormat="1"/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  <xf numFmtId="167" fontId="0" fillId="0" borderId="0" xfId="0" applyNumberFormat="1" applyFill="1"/>
    <xf numFmtId="20" fontId="0" fillId="0" borderId="0" xfId="0" applyNumberFormat="1" applyAlignment="1">
      <alignment wrapText="1"/>
    </xf>
    <xf numFmtId="168" fontId="0" fillId="0" borderId="0" xfId="0" applyNumberFormat="1"/>
    <xf numFmtId="0" fontId="3" fillId="0" borderId="0" xfId="0" applyFont="1" applyFill="1"/>
    <xf numFmtId="0" fontId="5" fillId="0" borderId="0" xfId="3" applyFont="1" applyAlignment="1">
      <alignment horizontal="left" vertical="center"/>
    </xf>
    <xf numFmtId="0" fontId="1" fillId="0" borderId="0" xfId="1" applyFont="1"/>
    <xf numFmtId="168" fontId="1" fillId="0" borderId="0" xfId="1" applyNumberFormat="1" applyFont="1" applyFill="1"/>
    <xf numFmtId="0" fontId="1" fillId="0" borderId="0" xfId="1" applyFont="1" applyFill="1"/>
    <xf numFmtId="167" fontId="5" fillId="0" borderId="0" xfId="3" applyNumberFormat="1" applyFont="1" applyFill="1" applyAlignment="1" applyProtection="1">
      <alignment vertical="top"/>
    </xf>
    <xf numFmtId="0" fontId="5" fillId="0" borderId="0" xfId="3" applyFont="1" applyAlignment="1">
      <alignment vertical="top"/>
    </xf>
    <xf numFmtId="15" fontId="0" fillId="0" borderId="0" xfId="0" applyNumberFormat="1" applyAlignment="1"/>
    <xf numFmtId="20" fontId="0" fillId="0" borderId="0" xfId="0" applyNumberFormat="1" applyAlignment="1"/>
    <xf numFmtId="2" fontId="0" fillId="0" borderId="0" xfId="0" applyNumberFormat="1" applyAlignment="1"/>
    <xf numFmtId="0" fontId="0" fillId="0" borderId="0" xfId="0" applyFill="1" applyAlignment="1"/>
    <xf numFmtId="164" fontId="0" fillId="0" borderId="0" xfId="0" applyNumberFormat="1" applyAlignment="1"/>
    <xf numFmtId="165" fontId="0" fillId="0" borderId="0" xfId="0" applyNumberFormat="1" applyAlignment="1"/>
    <xf numFmtId="3" fontId="0" fillId="0" borderId="0" xfId="0" applyNumberFormat="1" applyFill="1" applyAlignment="1"/>
    <xf numFmtId="168" fontId="0" fillId="0" borderId="0" xfId="0" applyNumberFormat="1" applyAlignment="1"/>
    <xf numFmtId="4" fontId="0" fillId="0" borderId="0" xfId="0" applyNumberFormat="1" applyAlignment="1"/>
    <xf numFmtId="0" fontId="1" fillId="0" borderId="0" xfId="1" applyFont="1" applyAlignment="1"/>
    <xf numFmtId="0" fontId="6" fillId="0" borderId="0" xfId="1" applyFont="1" applyAlignment="1"/>
    <xf numFmtId="0" fontId="1" fillId="0" borderId="0" xfId="1" applyAlignment="1"/>
    <xf numFmtId="0" fontId="6" fillId="0" borderId="0" xfId="1" applyFont="1"/>
    <xf numFmtId="165" fontId="1" fillId="0" borderId="0" xfId="1" applyNumberFormat="1" applyFont="1" applyFill="1"/>
    <xf numFmtId="0" fontId="6" fillId="0" borderId="0" xfId="1" applyFont="1" applyFill="1" applyBorder="1"/>
    <xf numFmtId="0" fontId="1" fillId="0" borderId="0" xfId="1"/>
    <xf numFmtId="164" fontId="1" fillId="0" borderId="0" xfId="1" applyNumberFormat="1" applyFont="1" applyFill="1"/>
    <xf numFmtId="3" fontId="7" fillId="0" borderId="0" xfId="1" applyNumberFormat="1" applyFont="1"/>
    <xf numFmtId="22" fontId="0" fillId="0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8" fillId="0" borderId="0" xfId="1" applyFont="1"/>
    <xf numFmtId="22" fontId="8" fillId="0" borderId="0" xfId="1" applyNumberFormat="1" applyFont="1"/>
    <xf numFmtId="3" fontId="8" fillId="0" borderId="0" xfId="1" applyNumberFormat="1" applyFont="1"/>
    <xf numFmtId="14" fontId="0" fillId="0" borderId="0" xfId="0" applyNumberFormat="1"/>
    <xf numFmtId="167" fontId="5" fillId="0" borderId="0" xfId="3" applyNumberFormat="1" applyFont="1" applyAlignment="1">
      <alignment vertical="top"/>
    </xf>
    <xf numFmtId="166" fontId="5" fillId="0" borderId="0" xfId="3" applyNumberFormat="1" applyFont="1" applyAlignment="1">
      <alignment vertical="top"/>
    </xf>
    <xf numFmtId="3" fontId="1" fillId="0" borderId="0" xfId="1" applyNumberFormat="1" applyFont="1" applyFill="1"/>
    <xf numFmtId="4" fontId="1" fillId="0" borderId="0" xfId="1" applyNumberFormat="1" applyFont="1" applyFill="1"/>
    <xf numFmtId="167" fontId="1" fillId="0" borderId="0" xfId="1" applyNumberFormat="1" applyFont="1" applyFill="1"/>
    <xf numFmtId="167" fontId="1" fillId="0" borderId="0" xfId="1" applyNumberFormat="1"/>
    <xf numFmtId="167" fontId="3" fillId="0" borderId="0" xfId="0" applyNumberFormat="1" applyFont="1" applyFill="1"/>
    <xf numFmtId="1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5" fontId="0" fillId="0" borderId="0" xfId="0" applyNumberFormat="1" applyFill="1"/>
    <xf numFmtId="15" fontId="0" fillId="0" borderId="0" xfId="0" applyNumberFormat="1" applyFill="1" applyAlignment="1">
      <alignment wrapText="1"/>
    </xf>
    <xf numFmtId="20" fontId="0" fillId="0" borderId="0" xfId="0" applyNumberFormat="1" applyFill="1" applyAlignment="1">
      <alignment wrapText="1"/>
    </xf>
    <xf numFmtId="164" fontId="0" fillId="0" borderId="0" xfId="0" applyNumberFormat="1" applyFill="1"/>
    <xf numFmtId="1" fontId="0" fillId="0" borderId="0" xfId="0" applyNumberFormat="1" applyAlignment="1"/>
    <xf numFmtId="165" fontId="0" fillId="0" borderId="0" xfId="0" applyNumberFormat="1" applyFill="1" applyAlignment="1"/>
    <xf numFmtId="166" fontId="0" fillId="0" borderId="0" xfId="0" applyNumberFormat="1" applyFill="1" applyAlignment="1"/>
    <xf numFmtId="164" fontId="3" fillId="0" borderId="0" xfId="0" applyNumberFormat="1" applyFont="1" applyFill="1" applyAlignment="1">
      <alignment vertical="center"/>
    </xf>
    <xf numFmtId="1" fontId="0" fillId="0" borderId="0" xfId="0" applyNumberFormat="1" applyFill="1"/>
    <xf numFmtId="1" fontId="5" fillId="0" borderId="0" xfId="3" applyNumberFormat="1" applyFont="1" applyAlignment="1">
      <alignment vertical="top"/>
    </xf>
    <xf numFmtId="167" fontId="1" fillId="0" borderId="0" xfId="1" applyNumberFormat="1" applyFont="1"/>
    <xf numFmtId="2" fontId="1" fillId="0" borderId="0" xfId="1" applyNumberFormat="1" applyFont="1" applyFill="1"/>
    <xf numFmtId="1" fontId="1" fillId="0" borderId="0" xfId="1" applyNumberFormat="1" applyFont="1"/>
    <xf numFmtId="1" fontId="6" fillId="0" borderId="0" xfId="1" applyNumberFormat="1" applyFont="1"/>
    <xf numFmtId="167" fontId="1" fillId="5" borderId="0" xfId="1" applyNumberFormat="1" applyFont="1" applyFill="1"/>
    <xf numFmtId="2" fontId="1" fillId="0" borderId="0" xfId="1" applyNumberFormat="1" applyFont="1"/>
    <xf numFmtId="4" fontId="0" fillId="0" borderId="0" xfId="0" applyNumberFormat="1" applyAlignment="1">
      <alignment wrapText="1"/>
    </xf>
    <xf numFmtId="169" fontId="0" fillId="0" borderId="0" xfId="0" applyNumberFormat="1" applyAlignment="1">
      <alignment wrapText="1"/>
    </xf>
    <xf numFmtId="170" fontId="0" fillId="0" borderId="0" xfId="0" applyNumberFormat="1"/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2" fontId="0" fillId="5" borderId="0" xfId="0" applyNumberFormat="1" applyFill="1" applyAlignment="1">
      <alignment wrapText="1"/>
    </xf>
    <xf numFmtId="0" fontId="0" fillId="5" borderId="0" xfId="0" applyFill="1" applyAlignment="1"/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2" fontId="9" fillId="0" borderId="0" xfId="0" applyNumberFormat="1" applyFont="1" applyAlignment="1">
      <alignment wrapText="1"/>
    </xf>
    <xf numFmtId="0" fontId="0" fillId="0" borderId="0" xfId="0"/>
    <xf numFmtId="15" fontId="0" fillId="0" borderId="0" xfId="0" applyNumberFormat="1"/>
    <xf numFmtId="1" fontId="0" fillId="2" borderId="0" xfId="0" applyNumberFormat="1" applyFill="1"/>
    <xf numFmtId="2" fontId="0" fillId="7" borderId="0" xfId="0" applyNumberFormat="1" applyFill="1"/>
    <xf numFmtId="1" fontId="0" fillId="7" borderId="0" xfId="0" applyNumberFormat="1" applyFill="1"/>
    <xf numFmtId="15" fontId="6" fillId="0" borderId="0" xfId="1" applyNumberFormat="1" applyFont="1"/>
    <xf numFmtId="16" fontId="6" fillId="0" borderId="0" xfId="1" applyNumberFormat="1" applyFont="1"/>
    <xf numFmtId="2" fontId="0" fillId="8" borderId="0" xfId="0" applyNumberFormat="1" applyFill="1"/>
    <xf numFmtId="0" fontId="6" fillId="0" borderId="0" xfId="1" applyFont="1" applyFill="1"/>
    <xf numFmtId="3" fontId="7" fillId="0" borderId="0" xfId="1" applyNumberFormat="1" applyFont="1" applyFill="1"/>
    <xf numFmtId="0" fontId="1" fillId="0" borderId="0" xfId="1" applyFill="1"/>
    <xf numFmtId="14" fontId="0" fillId="0" borderId="0" xfId="0" applyNumberFormat="1" applyFill="1"/>
    <xf numFmtId="4" fontId="0" fillId="0" borderId="0" xfId="0" applyNumberFormat="1" applyFill="1"/>
    <xf numFmtId="0" fontId="9" fillId="0" borderId="0" xfId="0" applyFont="1" applyFill="1" applyAlignment="1">
      <alignment wrapText="1"/>
    </xf>
    <xf numFmtId="2" fontId="9" fillId="9" borderId="0" xfId="0" applyNumberFormat="1" applyFont="1" applyFill="1"/>
    <xf numFmtId="1" fontId="9" fillId="9" borderId="0" xfId="0" applyNumberFormat="1" applyFont="1" applyFill="1"/>
    <xf numFmtId="2" fontId="0" fillId="9" borderId="0" xfId="0" applyNumberFormat="1" applyFont="1" applyFill="1"/>
    <xf numFmtId="1" fontId="0" fillId="9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0" fontId="0" fillId="6" borderId="0" xfId="0" applyFill="1"/>
    <xf numFmtId="0" fontId="0" fillId="10" borderId="0" xfId="0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2" fillId="0" borderId="0" xfId="2"/>
    <xf numFmtId="0" fontId="0" fillId="0" borderId="0" xfId="1" applyFont="1"/>
    <xf numFmtId="171" fontId="0" fillId="0" borderId="0" xfId="0" applyNumberFormat="1"/>
    <xf numFmtId="20" fontId="0" fillId="0" borderId="0" xfId="0" applyNumberFormat="1"/>
    <xf numFmtId="15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12" borderId="0" xfId="0" applyFont="1" applyFill="1"/>
    <xf numFmtId="15" fontId="11" fillId="12" borderId="0" xfId="0" applyNumberFormat="1" applyFont="1" applyFill="1"/>
    <xf numFmtId="0" fontId="11" fillId="6" borderId="0" xfId="0" applyFont="1" applyFill="1"/>
    <xf numFmtId="0" fontId="11" fillId="0" borderId="0" xfId="0" applyFont="1"/>
    <xf numFmtId="0" fontId="11" fillId="0" borderId="0" xfId="0" applyFont="1" applyFill="1"/>
    <xf numFmtId="171" fontId="11" fillId="0" borderId="0" xfId="0" applyNumberFormat="1" applyFont="1"/>
    <xf numFmtId="15" fontId="11" fillId="0" borderId="0" xfId="0" applyNumberFormat="1" applyFont="1"/>
    <xf numFmtId="167" fontId="0" fillId="10" borderId="0" xfId="0" applyNumberFormat="1" applyFill="1"/>
    <xf numFmtId="167" fontId="11" fillId="10" borderId="0" xfId="0" applyNumberFormat="1" applyFont="1" applyFill="1"/>
    <xf numFmtId="2" fontId="0" fillId="10" borderId="0" xfId="0" applyNumberFormat="1" applyFill="1"/>
    <xf numFmtId="2" fontId="11" fillId="10" borderId="0" xfId="0" applyNumberFormat="1" applyFont="1" applyFill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6" xfId="3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2015'!$AN$3:$AN$143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xVal>
          <c:yVal>
            <c:numRef>
              <c:f>'rolling 2015'!$H$3:$H$143</c:f>
              <c:numCache>
                <c:formatCode>General</c:formatCode>
                <c:ptCount val="141"/>
                <c:pt idx="0">
                  <c:v>3.78</c:v>
                </c:pt>
                <c:pt idx="1">
                  <c:v>3.38</c:v>
                </c:pt>
                <c:pt idx="2">
                  <c:v>3.35</c:v>
                </c:pt>
                <c:pt idx="3">
                  <c:v>4.18</c:v>
                </c:pt>
                <c:pt idx="4">
                  <c:v>4.42</c:v>
                </c:pt>
                <c:pt idx="5">
                  <c:v>4.45</c:v>
                </c:pt>
                <c:pt idx="6">
                  <c:v>4.26</c:v>
                </c:pt>
                <c:pt idx="7">
                  <c:v>4.28</c:v>
                </c:pt>
                <c:pt idx="8">
                  <c:v>4.75</c:v>
                </c:pt>
                <c:pt idx="9">
                  <c:v>4.78</c:v>
                </c:pt>
                <c:pt idx="10">
                  <c:v>4.71</c:v>
                </c:pt>
                <c:pt idx="11">
                  <c:v>4.93</c:v>
                </c:pt>
                <c:pt idx="12">
                  <c:v>4.4400000000000004</c:v>
                </c:pt>
                <c:pt idx="13">
                  <c:v>3.95</c:v>
                </c:pt>
                <c:pt idx="14">
                  <c:v>0.91</c:v>
                </c:pt>
                <c:pt idx="15">
                  <c:v>0.92</c:v>
                </c:pt>
                <c:pt idx="16">
                  <c:v>0.98</c:v>
                </c:pt>
                <c:pt idx="17">
                  <c:v>1.1000000000000001</c:v>
                </c:pt>
                <c:pt idx="18">
                  <c:v>0.62</c:v>
                </c:pt>
                <c:pt idx="19">
                  <c:v>0.51</c:v>
                </c:pt>
                <c:pt idx="20">
                  <c:v>1</c:v>
                </c:pt>
                <c:pt idx="21">
                  <c:v>5.38</c:v>
                </c:pt>
                <c:pt idx="22">
                  <c:v>5.41</c:v>
                </c:pt>
                <c:pt idx="23">
                  <c:v>5.8</c:v>
                </c:pt>
                <c:pt idx="24">
                  <c:v>5.68</c:v>
                </c:pt>
                <c:pt idx="25">
                  <c:v>7</c:v>
                </c:pt>
                <c:pt idx="26">
                  <c:v>5.9</c:v>
                </c:pt>
                <c:pt idx="27">
                  <c:v>5.45</c:v>
                </c:pt>
                <c:pt idx="28">
                  <c:v>5.94</c:v>
                </c:pt>
                <c:pt idx="29">
                  <c:v>5.58</c:v>
                </c:pt>
                <c:pt idx="30">
                  <c:v>6.28</c:v>
                </c:pt>
                <c:pt idx="31">
                  <c:v>6.19</c:v>
                </c:pt>
                <c:pt idx="32">
                  <c:v>6.57</c:v>
                </c:pt>
                <c:pt idx="33">
                  <c:v>5.7</c:v>
                </c:pt>
                <c:pt idx="34">
                  <c:v>8.9600000000000009</c:v>
                </c:pt>
                <c:pt idx="35">
                  <c:v>10.119999999999999</c:v>
                </c:pt>
                <c:pt idx="36">
                  <c:v>5.91</c:v>
                </c:pt>
                <c:pt idx="37">
                  <c:v>7.62</c:v>
                </c:pt>
                <c:pt idx="38">
                  <c:v>5.77</c:v>
                </c:pt>
                <c:pt idx="39">
                  <c:v>9.27</c:v>
                </c:pt>
                <c:pt idx="40">
                  <c:v>6.46</c:v>
                </c:pt>
                <c:pt idx="41">
                  <c:v>5.78</c:v>
                </c:pt>
                <c:pt idx="42">
                  <c:v>6.39</c:v>
                </c:pt>
                <c:pt idx="43">
                  <c:v>5.63</c:v>
                </c:pt>
                <c:pt idx="44">
                  <c:v>6.55</c:v>
                </c:pt>
                <c:pt idx="45">
                  <c:v>6.45</c:v>
                </c:pt>
                <c:pt idx="46">
                  <c:v>7.2</c:v>
                </c:pt>
                <c:pt idx="47">
                  <c:v>2.0299999999999998</c:v>
                </c:pt>
                <c:pt idx="48">
                  <c:v>5.55</c:v>
                </c:pt>
                <c:pt idx="49">
                  <c:v>8.8699999999999992</c:v>
                </c:pt>
                <c:pt idx="50">
                  <c:v>7.89</c:v>
                </c:pt>
                <c:pt idx="51">
                  <c:v>7.69</c:v>
                </c:pt>
                <c:pt idx="52">
                  <c:v>4.34</c:v>
                </c:pt>
                <c:pt idx="53">
                  <c:v>4.6100000000000003</c:v>
                </c:pt>
                <c:pt idx="54">
                  <c:v>8.44</c:v>
                </c:pt>
                <c:pt idx="55">
                  <c:v>9.51</c:v>
                </c:pt>
                <c:pt idx="56">
                  <c:v>0.52</c:v>
                </c:pt>
                <c:pt idx="57">
                  <c:v>0.55000000000000004</c:v>
                </c:pt>
                <c:pt idx="58">
                  <c:v>0.93</c:v>
                </c:pt>
                <c:pt idx="59">
                  <c:v>8.65</c:v>
                </c:pt>
                <c:pt idx="60">
                  <c:v>7.57</c:v>
                </c:pt>
                <c:pt idx="61">
                  <c:v>8.2799999999999994</c:v>
                </c:pt>
                <c:pt idx="62">
                  <c:v>6.45</c:v>
                </c:pt>
                <c:pt idx="63">
                  <c:v>6.73</c:v>
                </c:pt>
                <c:pt idx="64">
                  <c:v>7.86</c:v>
                </c:pt>
                <c:pt idx="65">
                  <c:v>5.08</c:v>
                </c:pt>
                <c:pt idx="66">
                  <c:v>8.15</c:v>
                </c:pt>
                <c:pt idx="67">
                  <c:v>7.54</c:v>
                </c:pt>
                <c:pt idx="68">
                  <c:v>7.79</c:v>
                </c:pt>
                <c:pt idx="69">
                  <c:v>6.88</c:v>
                </c:pt>
                <c:pt idx="70">
                  <c:v>8.2899999999999991</c:v>
                </c:pt>
                <c:pt idx="71">
                  <c:v>7.18</c:v>
                </c:pt>
                <c:pt idx="72">
                  <c:v>7.45</c:v>
                </c:pt>
                <c:pt idx="73">
                  <c:v>6.94</c:v>
                </c:pt>
                <c:pt idx="74">
                  <c:v>6.55</c:v>
                </c:pt>
                <c:pt idx="75">
                  <c:v>7.21</c:v>
                </c:pt>
                <c:pt idx="76">
                  <c:v>7.73</c:v>
                </c:pt>
                <c:pt idx="77">
                  <c:v>6.94</c:v>
                </c:pt>
                <c:pt idx="78">
                  <c:v>8.8699999999999992</c:v>
                </c:pt>
                <c:pt idx="79">
                  <c:v>5.93</c:v>
                </c:pt>
                <c:pt idx="80">
                  <c:v>6.82</c:v>
                </c:pt>
                <c:pt idx="81">
                  <c:v>7.53</c:v>
                </c:pt>
                <c:pt idx="82">
                  <c:v>7.63</c:v>
                </c:pt>
                <c:pt idx="83">
                  <c:v>6.84</c:v>
                </c:pt>
                <c:pt idx="84">
                  <c:v>8.1</c:v>
                </c:pt>
                <c:pt idx="85">
                  <c:v>7.79</c:v>
                </c:pt>
                <c:pt idx="86">
                  <c:v>7.95</c:v>
                </c:pt>
                <c:pt idx="87">
                  <c:v>8.4</c:v>
                </c:pt>
                <c:pt idx="88">
                  <c:v>8.17</c:v>
                </c:pt>
                <c:pt idx="89">
                  <c:v>7.82</c:v>
                </c:pt>
                <c:pt idx="90">
                  <c:v>8.6300000000000008</c:v>
                </c:pt>
                <c:pt idx="91">
                  <c:v>5.24</c:v>
                </c:pt>
                <c:pt idx="92">
                  <c:v>5.88</c:v>
                </c:pt>
                <c:pt idx="93">
                  <c:v>5.4</c:v>
                </c:pt>
                <c:pt idx="94">
                  <c:v>6.08</c:v>
                </c:pt>
                <c:pt idx="95">
                  <c:v>5.82</c:v>
                </c:pt>
                <c:pt idx="96">
                  <c:v>7.56</c:v>
                </c:pt>
                <c:pt idx="97">
                  <c:v>7.96</c:v>
                </c:pt>
                <c:pt idx="98">
                  <c:v>7.08</c:v>
                </c:pt>
                <c:pt idx="99">
                  <c:v>7.38</c:v>
                </c:pt>
                <c:pt idx="100">
                  <c:v>8.26</c:v>
                </c:pt>
                <c:pt idx="101">
                  <c:v>6.68</c:v>
                </c:pt>
                <c:pt idx="102">
                  <c:v>8.5500000000000007</c:v>
                </c:pt>
                <c:pt idx="103">
                  <c:v>10.78</c:v>
                </c:pt>
                <c:pt idx="104">
                  <c:v>7.65</c:v>
                </c:pt>
                <c:pt idx="105">
                  <c:v>7.37</c:v>
                </c:pt>
                <c:pt idx="106">
                  <c:v>7.51</c:v>
                </c:pt>
                <c:pt idx="107">
                  <c:v>5.43</c:v>
                </c:pt>
                <c:pt idx="108">
                  <c:v>6.5</c:v>
                </c:pt>
                <c:pt idx="109">
                  <c:v>7.91</c:v>
                </c:pt>
                <c:pt idx="110">
                  <c:v>9.49</c:v>
                </c:pt>
                <c:pt idx="111">
                  <c:v>6.94</c:v>
                </c:pt>
                <c:pt idx="112">
                  <c:v>6.97</c:v>
                </c:pt>
                <c:pt idx="113">
                  <c:v>6.98</c:v>
                </c:pt>
                <c:pt idx="114">
                  <c:v>6.77</c:v>
                </c:pt>
                <c:pt idx="115">
                  <c:v>7.82</c:v>
                </c:pt>
                <c:pt idx="116">
                  <c:v>5.92</c:v>
                </c:pt>
                <c:pt idx="117">
                  <c:v>5.65</c:v>
                </c:pt>
                <c:pt idx="118">
                  <c:v>6.27</c:v>
                </c:pt>
                <c:pt idx="119">
                  <c:v>6.1</c:v>
                </c:pt>
                <c:pt idx="120">
                  <c:v>7.44</c:v>
                </c:pt>
                <c:pt idx="121">
                  <c:v>7.51</c:v>
                </c:pt>
                <c:pt idx="122">
                  <c:v>7.97</c:v>
                </c:pt>
                <c:pt idx="123">
                  <c:v>8.86</c:v>
                </c:pt>
                <c:pt idx="124">
                  <c:v>6.89</c:v>
                </c:pt>
                <c:pt idx="125">
                  <c:v>5.05</c:v>
                </c:pt>
                <c:pt idx="126">
                  <c:v>8.2200000000000006</c:v>
                </c:pt>
                <c:pt idx="127">
                  <c:v>4.4400000000000004</c:v>
                </c:pt>
                <c:pt idx="128">
                  <c:v>4.4800000000000004</c:v>
                </c:pt>
                <c:pt idx="129">
                  <c:v>7.42</c:v>
                </c:pt>
                <c:pt idx="130">
                  <c:v>7.31</c:v>
                </c:pt>
                <c:pt idx="131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F-4E47-AE4F-4D7B8D50A5C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2015'!$AN$144:$AN$146</c:f>
              <c:numCache>
                <c:formatCode>General</c:formatCode>
                <c:ptCount val="3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2015'!$H$146,'rolling 2015'!$H$146)</c:f>
              <c:numCache>
                <c:formatCode>General</c:formatCode>
                <c:ptCount val="2"/>
                <c:pt idx="0">
                  <c:v>10.558597721266274</c:v>
                </c:pt>
                <c:pt idx="1">
                  <c:v>10.558597721266274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F-4E47-AE4F-4D7B8D50A5C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2015'!$AN$144:$AN$145</c:f>
              <c:numCache>
                <c:formatCode>General</c:formatCode>
                <c:ptCount val="2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2015'!$H$147,'rolling 2015'!$H$147)</c:f>
              <c:numCache>
                <c:formatCode>General</c:formatCode>
                <c:ptCount val="2"/>
                <c:pt idx="0">
                  <c:v>12.719563248566079</c:v>
                </c:pt>
                <c:pt idx="1">
                  <c:v>12.719563248566079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F-4E47-AE4F-4D7B8D50A5C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2015'!$AN$144:$AN$145</c:f>
              <c:numCache>
                <c:formatCode>General</c:formatCode>
                <c:ptCount val="2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2015'!$L$146,'rolling 2015'!$L$146)</c:f>
              <c:numCache>
                <c:formatCode>General</c:formatCode>
                <c:ptCount val="2"/>
                <c:pt idx="0">
                  <c:v>1.9147356120670587</c:v>
                </c:pt>
                <c:pt idx="1">
                  <c:v>1.9147356120670587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2F-4E47-AE4F-4D7B8D50A5C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2015'!$AN$144:$AN$145</c:f>
              <c:numCache>
                <c:formatCode>General</c:formatCode>
                <c:ptCount val="2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2015'!$L$147,'rolling 2015'!$L$147)</c:f>
              <c:numCache>
                <c:formatCode>General</c:formatCode>
                <c:ptCount val="2"/>
                <c:pt idx="0">
                  <c:v>-0.24622991523274518</c:v>
                </c:pt>
                <c:pt idx="1">
                  <c:v>-0.24622991523274518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2F-4E47-AE4F-4D7B8D50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0416"/>
        <c:axId val="92302336"/>
      </c:scatterChart>
      <c:valAx>
        <c:axId val="92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336"/>
        <c:crosses val="autoZero"/>
        <c:crossBetween val="midCat"/>
      </c:valAx>
      <c:valAx>
        <c:axId val="92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2019'!$AR$20:$AR$66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'rolling 2019'!$AJ$20:$AJ$66</c:f>
              <c:numCache>
                <c:formatCode>#,##0</c:formatCode>
                <c:ptCount val="47"/>
                <c:pt idx="0">
                  <c:v>2514</c:v>
                </c:pt>
                <c:pt idx="1">
                  <c:v>2175</c:v>
                </c:pt>
                <c:pt idx="2">
                  <c:v>1905</c:v>
                </c:pt>
                <c:pt idx="3">
                  <c:v>1897</c:v>
                </c:pt>
                <c:pt idx="4">
                  <c:v>2096</c:v>
                </c:pt>
                <c:pt idx="5">
                  <c:v>2085</c:v>
                </c:pt>
                <c:pt idx="6">
                  <c:v>2785</c:v>
                </c:pt>
                <c:pt idx="7">
                  <c:v>1313</c:v>
                </c:pt>
                <c:pt idx="8">
                  <c:v>2363</c:v>
                </c:pt>
                <c:pt idx="10">
                  <c:v>2091</c:v>
                </c:pt>
                <c:pt idx="11">
                  <c:v>1929</c:v>
                </c:pt>
                <c:pt idx="12">
                  <c:v>1817</c:v>
                </c:pt>
                <c:pt idx="13">
                  <c:v>2420</c:v>
                </c:pt>
                <c:pt idx="14">
                  <c:v>2616</c:v>
                </c:pt>
                <c:pt idx="15">
                  <c:v>2649</c:v>
                </c:pt>
                <c:pt idx="16">
                  <c:v>2916</c:v>
                </c:pt>
                <c:pt idx="17">
                  <c:v>2611</c:v>
                </c:pt>
                <c:pt idx="18">
                  <c:v>2690</c:v>
                </c:pt>
                <c:pt idx="19">
                  <c:v>2019</c:v>
                </c:pt>
                <c:pt idx="20">
                  <c:v>2534</c:v>
                </c:pt>
                <c:pt idx="21">
                  <c:v>2254</c:v>
                </c:pt>
                <c:pt idx="22">
                  <c:v>1825</c:v>
                </c:pt>
                <c:pt idx="23">
                  <c:v>2034</c:v>
                </c:pt>
                <c:pt idx="24">
                  <c:v>2215</c:v>
                </c:pt>
                <c:pt idx="25">
                  <c:v>2572</c:v>
                </c:pt>
                <c:pt idx="26">
                  <c:v>2770</c:v>
                </c:pt>
                <c:pt idx="27">
                  <c:v>2201</c:v>
                </c:pt>
                <c:pt idx="28">
                  <c:v>2374</c:v>
                </c:pt>
                <c:pt idx="29">
                  <c:v>3207</c:v>
                </c:pt>
                <c:pt idx="30">
                  <c:v>1641</c:v>
                </c:pt>
                <c:pt idx="31">
                  <c:v>2102</c:v>
                </c:pt>
                <c:pt idx="32">
                  <c:v>2078</c:v>
                </c:pt>
                <c:pt idx="33">
                  <c:v>1780</c:v>
                </c:pt>
                <c:pt idx="34">
                  <c:v>2060</c:v>
                </c:pt>
                <c:pt idx="35">
                  <c:v>1503</c:v>
                </c:pt>
                <c:pt idx="36">
                  <c:v>1725</c:v>
                </c:pt>
                <c:pt idx="37">
                  <c:v>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A-4DDF-9BFA-09D39BE711A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2019'!$AR$67:$AR$70</c:f>
              <c:numCache>
                <c:formatCode>General</c:formatCode>
                <c:ptCount val="4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2019'!$AJ$71,'rolling 2019'!$AJ$71)</c:f>
              <c:numCache>
                <c:formatCode>0.000</c:formatCode>
                <c:ptCount val="2"/>
                <c:pt idx="0">
                  <c:v>3036.7628508782464</c:v>
                </c:pt>
                <c:pt idx="1">
                  <c:v>3036.7628508782464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A-4DDF-9BFA-09D39BE711A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2019'!$AJ$73,'rolling 2019'!$AJ$73)</c:f>
              <c:numCache>
                <c:formatCode>0.000</c:formatCode>
                <c:ptCount val="2"/>
                <c:pt idx="0">
                  <c:v>3448.3875195606129</c:v>
                </c:pt>
                <c:pt idx="1">
                  <c:v>3448.3875195606129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A-4DDF-9BFA-09D39BE711A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2019'!$AJ$70,'rolling 2019'!$AJ$70)</c:f>
              <c:numCache>
                <c:formatCode>0.000</c:formatCode>
                <c:ptCount val="2"/>
                <c:pt idx="0">
                  <c:v>1390.2641761487803</c:v>
                </c:pt>
                <c:pt idx="1">
                  <c:v>1390.2641761487803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A-4DDF-9BFA-09D39BE711A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2019'!$AJ$72,'rolling 2019'!$AJ$72)</c:f>
              <c:numCache>
                <c:formatCode>0.000</c:formatCode>
                <c:ptCount val="2"/>
                <c:pt idx="0">
                  <c:v>978.63950746641376</c:v>
                </c:pt>
                <c:pt idx="1">
                  <c:v>978.63950746641376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6A-4DDF-9BFA-09D39BE7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2020'!$AS$27:$AS$91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'rolling 2020'!$H$27:$H$91</c:f>
              <c:numCache>
                <c:formatCode>#,##0</c:formatCode>
                <c:ptCount val="65"/>
                <c:pt idx="0">
                  <c:v>2101</c:v>
                </c:pt>
                <c:pt idx="1">
                  <c:v>2054</c:v>
                </c:pt>
                <c:pt idx="2">
                  <c:v>2067</c:v>
                </c:pt>
                <c:pt idx="3">
                  <c:v>1795</c:v>
                </c:pt>
                <c:pt idx="4">
                  <c:v>1922</c:v>
                </c:pt>
                <c:pt idx="5">
                  <c:v>2213</c:v>
                </c:pt>
                <c:pt idx="6">
                  <c:v>2474</c:v>
                </c:pt>
                <c:pt idx="7">
                  <c:v>2051</c:v>
                </c:pt>
                <c:pt idx="8">
                  <c:v>2269</c:v>
                </c:pt>
                <c:pt idx="9">
                  <c:v>2299</c:v>
                </c:pt>
                <c:pt idx="10">
                  <c:v>2212</c:v>
                </c:pt>
                <c:pt idx="11">
                  <c:v>2336</c:v>
                </c:pt>
                <c:pt idx="12">
                  <c:v>2469</c:v>
                </c:pt>
                <c:pt idx="13">
                  <c:v>2364</c:v>
                </c:pt>
                <c:pt idx="14">
                  <c:v>2944</c:v>
                </c:pt>
                <c:pt idx="15">
                  <c:v>2324</c:v>
                </c:pt>
                <c:pt idx="16">
                  <c:v>2388</c:v>
                </c:pt>
                <c:pt idx="17">
                  <c:v>2693</c:v>
                </c:pt>
                <c:pt idx="18">
                  <c:v>2808</c:v>
                </c:pt>
                <c:pt idx="19">
                  <c:v>2849</c:v>
                </c:pt>
                <c:pt idx="20">
                  <c:v>1957</c:v>
                </c:pt>
                <c:pt idx="21">
                  <c:v>2193</c:v>
                </c:pt>
                <c:pt idx="22">
                  <c:v>2405</c:v>
                </c:pt>
                <c:pt idx="23">
                  <c:v>2464</c:v>
                </c:pt>
                <c:pt idx="24">
                  <c:v>2178</c:v>
                </c:pt>
                <c:pt idx="25">
                  <c:v>2284</c:v>
                </c:pt>
                <c:pt idx="26">
                  <c:v>2348</c:v>
                </c:pt>
                <c:pt idx="27">
                  <c:v>2509</c:v>
                </c:pt>
                <c:pt idx="28">
                  <c:v>2218</c:v>
                </c:pt>
                <c:pt idx="29">
                  <c:v>2437</c:v>
                </c:pt>
                <c:pt idx="30">
                  <c:v>2583</c:v>
                </c:pt>
                <c:pt idx="31">
                  <c:v>2648</c:v>
                </c:pt>
                <c:pt idx="32">
                  <c:v>2283</c:v>
                </c:pt>
                <c:pt idx="33">
                  <c:v>2578</c:v>
                </c:pt>
                <c:pt idx="34">
                  <c:v>1992</c:v>
                </c:pt>
                <c:pt idx="35">
                  <c:v>2308</c:v>
                </c:pt>
                <c:pt idx="36">
                  <c:v>2315</c:v>
                </c:pt>
                <c:pt idx="37">
                  <c:v>2436</c:v>
                </c:pt>
                <c:pt idx="38">
                  <c:v>2661</c:v>
                </c:pt>
                <c:pt idx="39">
                  <c:v>2745</c:v>
                </c:pt>
                <c:pt idx="40">
                  <c:v>2370</c:v>
                </c:pt>
                <c:pt idx="41">
                  <c:v>2210</c:v>
                </c:pt>
                <c:pt idx="42">
                  <c:v>2736</c:v>
                </c:pt>
                <c:pt idx="43">
                  <c:v>2575</c:v>
                </c:pt>
                <c:pt idx="44">
                  <c:v>3290</c:v>
                </c:pt>
                <c:pt idx="45">
                  <c:v>2802</c:v>
                </c:pt>
                <c:pt idx="46">
                  <c:v>2844</c:v>
                </c:pt>
                <c:pt idx="47">
                  <c:v>2737</c:v>
                </c:pt>
                <c:pt idx="48">
                  <c:v>2984</c:v>
                </c:pt>
                <c:pt idx="49">
                  <c:v>2917</c:v>
                </c:pt>
                <c:pt idx="50">
                  <c:v>2557</c:v>
                </c:pt>
                <c:pt idx="51">
                  <c:v>3303</c:v>
                </c:pt>
                <c:pt idx="52">
                  <c:v>3182</c:v>
                </c:pt>
                <c:pt idx="53">
                  <c:v>3132</c:v>
                </c:pt>
                <c:pt idx="54">
                  <c:v>1720</c:v>
                </c:pt>
                <c:pt idx="55">
                  <c:v>1853</c:v>
                </c:pt>
                <c:pt idx="56">
                  <c:v>1980</c:v>
                </c:pt>
                <c:pt idx="57">
                  <c:v>1796</c:v>
                </c:pt>
                <c:pt idx="58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29A-84BB-09A25917EFC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2020'!$H$96,'rolling 2020'!$H$96)</c:f>
              <c:numCache>
                <c:formatCode>0.000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A-429A-84BB-09A25917EFC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2020'!$H$98,'rolling 2020'!$H$98)</c:f>
              <c:numCache>
                <c:formatCode>0.000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A-429A-84BB-09A25917EFC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2020'!$H$95,'rolling 2020'!$H$95)</c:f>
              <c:numCache>
                <c:formatCode>0.000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4A-429A-84BB-09A25917EFC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2020'!$H$97,'rolling 2020'!$H$97)</c:f>
              <c:numCache>
                <c:formatCode>0.000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4A-429A-84BB-09A25917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2020'!$AS$27:$AS$91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'rolling 2020'!$AJ$27:$AJ$91</c:f>
              <c:numCache>
                <c:formatCode>#,##0</c:formatCode>
                <c:ptCount val="65"/>
                <c:pt idx="0">
                  <c:v>1862</c:v>
                </c:pt>
                <c:pt idx="1">
                  <c:v>3107</c:v>
                </c:pt>
                <c:pt idx="2">
                  <c:v>2227</c:v>
                </c:pt>
                <c:pt idx="3">
                  <c:v>3195</c:v>
                </c:pt>
                <c:pt idx="4">
                  <c:v>2441</c:v>
                </c:pt>
                <c:pt idx="5">
                  <c:v>2680</c:v>
                </c:pt>
                <c:pt idx="6">
                  <c:v>2690</c:v>
                </c:pt>
                <c:pt idx="7">
                  <c:v>3785</c:v>
                </c:pt>
                <c:pt idx="8">
                  <c:v>1936</c:v>
                </c:pt>
                <c:pt idx="9">
                  <c:v>2219</c:v>
                </c:pt>
                <c:pt idx="10">
                  <c:v>2045</c:v>
                </c:pt>
                <c:pt idx="11">
                  <c:v>3573</c:v>
                </c:pt>
                <c:pt idx="12">
                  <c:v>2982</c:v>
                </c:pt>
                <c:pt idx="13">
                  <c:v>2285</c:v>
                </c:pt>
                <c:pt idx="14">
                  <c:v>2092</c:v>
                </c:pt>
                <c:pt idx="15">
                  <c:v>2233</c:v>
                </c:pt>
                <c:pt idx="16">
                  <c:v>1715</c:v>
                </c:pt>
                <c:pt idx="17">
                  <c:v>2284</c:v>
                </c:pt>
                <c:pt idx="18">
                  <c:v>2170</c:v>
                </c:pt>
                <c:pt idx="19">
                  <c:v>1961</c:v>
                </c:pt>
                <c:pt idx="20">
                  <c:v>2323</c:v>
                </c:pt>
                <c:pt idx="21">
                  <c:v>2461</c:v>
                </c:pt>
                <c:pt idx="22">
                  <c:v>2091</c:v>
                </c:pt>
                <c:pt idx="23">
                  <c:v>1994</c:v>
                </c:pt>
                <c:pt idx="24">
                  <c:v>1734</c:v>
                </c:pt>
                <c:pt idx="25">
                  <c:v>1893</c:v>
                </c:pt>
                <c:pt idx="26">
                  <c:v>2033</c:v>
                </c:pt>
                <c:pt idx="27">
                  <c:v>2960</c:v>
                </c:pt>
                <c:pt idx="28">
                  <c:v>1438</c:v>
                </c:pt>
                <c:pt idx="29">
                  <c:v>2143</c:v>
                </c:pt>
                <c:pt idx="30">
                  <c:v>2063</c:v>
                </c:pt>
                <c:pt idx="31">
                  <c:v>2390</c:v>
                </c:pt>
                <c:pt idx="32">
                  <c:v>1982</c:v>
                </c:pt>
                <c:pt idx="33">
                  <c:v>2456</c:v>
                </c:pt>
                <c:pt idx="34">
                  <c:v>1790</c:v>
                </c:pt>
                <c:pt idx="36">
                  <c:v>2142</c:v>
                </c:pt>
                <c:pt idx="37">
                  <c:v>2928</c:v>
                </c:pt>
                <c:pt idx="38">
                  <c:v>2405</c:v>
                </c:pt>
                <c:pt idx="39">
                  <c:v>1748</c:v>
                </c:pt>
                <c:pt idx="40">
                  <c:v>2572</c:v>
                </c:pt>
                <c:pt idx="41">
                  <c:v>1846</c:v>
                </c:pt>
                <c:pt idx="42">
                  <c:v>1700</c:v>
                </c:pt>
                <c:pt idx="43">
                  <c:v>1641</c:v>
                </c:pt>
                <c:pt idx="44">
                  <c:v>2882</c:v>
                </c:pt>
                <c:pt idx="45">
                  <c:v>1535</c:v>
                </c:pt>
                <c:pt idx="46">
                  <c:v>2216</c:v>
                </c:pt>
                <c:pt idx="47">
                  <c:v>1859</c:v>
                </c:pt>
                <c:pt idx="48">
                  <c:v>2211</c:v>
                </c:pt>
                <c:pt idx="49">
                  <c:v>1969</c:v>
                </c:pt>
                <c:pt idx="50">
                  <c:v>1699</c:v>
                </c:pt>
                <c:pt idx="51">
                  <c:v>2199</c:v>
                </c:pt>
                <c:pt idx="52">
                  <c:v>2089</c:v>
                </c:pt>
                <c:pt idx="53">
                  <c:v>2339</c:v>
                </c:pt>
                <c:pt idx="54">
                  <c:v>2091</c:v>
                </c:pt>
                <c:pt idx="55">
                  <c:v>2037</c:v>
                </c:pt>
                <c:pt idx="56">
                  <c:v>2432</c:v>
                </c:pt>
                <c:pt idx="57">
                  <c:v>2391</c:v>
                </c:pt>
                <c:pt idx="58">
                  <c:v>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7-4D08-9E63-5784A3B465B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2020'!$AS$92:$AS$95</c:f>
              <c:numCache>
                <c:formatCode>General</c:formatCode>
                <c:ptCount val="4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2020'!$AJ$96,'rolling 2020'!$AJ$96)</c:f>
              <c:numCache>
                <c:formatCode>0.000</c:formatCode>
                <c:ptCount val="2"/>
                <c:pt idx="0">
                  <c:v>3210.0639233863276</c:v>
                </c:pt>
                <c:pt idx="1">
                  <c:v>3210.0639233863276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7-4D08-9E63-5784A3B465B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2020'!$AJ$98,'rolling 2020'!$AJ$98)</c:f>
              <c:numCache>
                <c:formatCode>0.000</c:formatCode>
                <c:ptCount val="2"/>
                <c:pt idx="0">
                  <c:v>3687.2941609415607</c:v>
                </c:pt>
                <c:pt idx="1">
                  <c:v>3687.2941609415607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7-4D08-9E63-5784A3B465B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2020'!$AJ$95,'rolling 2020'!$AJ$95)</c:f>
              <c:numCache>
                <c:formatCode>0.000</c:formatCode>
                <c:ptCount val="2"/>
                <c:pt idx="0">
                  <c:v>1301.1429731653961</c:v>
                </c:pt>
                <c:pt idx="1">
                  <c:v>1301.1429731653961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7-4D08-9E63-5784A3B465B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2020'!$AS$92:$AS$93</c:f>
              <c:numCache>
                <c:formatCode>General</c:formatCode>
                <c:ptCount val="2"/>
                <c:pt idx="0">
                  <c:v>1</c:v>
                </c:pt>
                <c:pt idx="1">
                  <c:v>59</c:v>
                </c:pt>
              </c:numCache>
            </c:numRef>
          </c:xVal>
          <c:yVal>
            <c:numRef>
              <c:f>('rolling 2020'!$AJ$97,'rolling 2020'!$AJ$97)</c:f>
              <c:numCache>
                <c:formatCode>0.000</c:formatCode>
                <c:ptCount val="2"/>
                <c:pt idx="0">
                  <c:v>823.91273561016305</c:v>
                </c:pt>
                <c:pt idx="1">
                  <c:v>823.91273561016305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67-4D08-9E63-5784A3B4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2020'!$C$27:$C$91</c:f>
              <c:numCache>
                <c:formatCode>m/d/yyyy\ h:mm</c:formatCode>
                <c:ptCount val="65"/>
                <c:pt idx="0">
                  <c:v>43858.485798611109</c:v>
                </c:pt>
                <c:pt idx="1">
                  <c:v>43873.561620370368</c:v>
                </c:pt>
                <c:pt idx="2">
                  <c:v>43880.510497685187</c:v>
                </c:pt>
                <c:pt idx="3">
                  <c:v>43893.655358796299</c:v>
                </c:pt>
                <c:pt idx="4">
                  <c:v>43899.56391203704</c:v>
                </c:pt>
                <c:pt idx="5">
                  <c:v>43907.483217592591</c:v>
                </c:pt>
                <c:pt idx="6">
                  <c:v>43908.43346064815</c:v>
                </c:pt>
                <c:pt idx="7">
                  <c:v>44004.477708333332</c:v>
                </c:pt>
                <c:pt idx="8">
                  <c:v>44004.543912037036</c:v>
                </c:pt>
                <c:pt idx="9">
                  <c:v>44004.565127314818</c:v>
                </c:pt>
                <c:pt idx="10">
                  <c:v>44004.586342592593</c:v>
                </c:pt>
                <c:pt idx="11">
                  <c:v>44005.428136574075</c:v>
                </c:pt>
                <c:pt idx="12">
                  <c:v>44006.384895833333</c:v>
                </c:pt>
                <c:pt idx="13">
                  <c:v>44007.444143518522</c:v>
                </c:pt>
                <c:pt idx="14">
                  <c:v>44008.458078703705</c:v>
                </c:pt>
                <c:pt idx="15">
                  <c:v>44012.426736111112</c:v>
                </c:pt>
                <c:pt idx="16">
                  <c:v>44015.431793981479</c:v>
                </c:pt>
                <c:pt idx="17">
                  <c:v>44019.450856481482</c:v>
                </c:pt>
                <c:pt idx="18">
                  <c:v>44021.409803240742</c:v>
                </c:pt>
                <c:pt idx="19">
                  <c:v>44022.432905092595</c:v>
                </c:pt>
                <c:pt idx="20">
                  <c:v>44032.428101851852</c:v>
                </c:pt>
                <c:pt idx="21">
                  <c:v>44036.418425925927</c:v>
                </c:pt>
                <c:pt idx="22">
                  <c:v>44040.484027777777</c:v>
                </c:pt>
                <c:pt idx="23">
                  <c:v>44042.393506944441</c:v>
                </c:pt>
                <c:pt idx="24">
                  <c:v>44043.416458333333</c:v>
                </c:pt>
                <c:pt idx="25">
                  <c:v>44047.436724537038</c:v>
                </c:pt>
                <c:pt idx="26">
                  <c:v>44050.415752314817</c:v>
                </c:pt>
                <c:pt idx="27">
                  <c:v>44053.412754629629</c:v>
                </c:pt>
                <c:pt idx="28">
                  <c:v>44054.460138888891</c:v>
                </c:pt>
                <c:pt idx="29">
                  <c:v>44061.413425925923</c:v>
                </c:pt>
                <c:pt idx="30">
                  <c:v>44064.492615740739</c:v>
                </c:pt>
                <c:pt idx="31">
                  <c:v>44068.399525462963</c:v>
                </c:pt>
                <c:pt idx="32">
                  <c:v>44076.483263888891</c:v>
                </c:pt>
                <c:pt idx="33">
                  <c:v>44077.492349537039</c:v>
                </c:pt>
                <c:pt idx="34">
                  <c:v>44078.547997685186</c:v>
                </c:pt>
                <c:pt idx="35">
                  <c:v>44082.386331018519</c:v>
                </c:pt>
                <c:pt idx="36">
                  <c:v>44088.482928240737</c:v>
                </c:pt>
                <c:pt idx="37">
                  <c:v>44090.43959490741</c:v>
                </c:pt>
                <c:pt idx="38">
                  <c:v>44091.437280092592</c:v>
                </c:pt>
                <c:pt idx="39">
                  <c:v>44092.418599537035</c:v>
                </c:pt>
                <c:pt idx="40">
                  <c:v>44096.440578703703</c:v>
                </c:pt>
                <c:pt idx="41">
                  <c:v>44105.466747685183</c:v>
                </c:pt>
                <c:pt idx="42">
                  <c:v>44106.421458333331</c:v>
                </c:pt>
                <c:pt idx="43">
                  <c:v>44110.423055555555</c:v>
                </c:pt>
                <c:pt idx="44">
                  <c:v>44111.41369212963</c:v>
                </c:pt>
                <c:pt idx="45">
                  <c:v>44118.511516203704</c:v>
                </c:pt>
                <c:pt idx="46">
                  <c:v>44119.478043981479</c:v>
                </c:pt>
                <c:pt idx="47">
                  <c:v>44124.425856481481</c:v>
                </c:pt>
                <c:pt idx="48">
                  <c:v>44131.448321759257</c:v>
                </c:pt>
                <c:pt idx="49">
                  <c:v>44133.528877314813</c:v>
                </c:pt>
                <c:pt idx="50">
                  <c:v>44138.442881944444</c:v>
                </c:pt>
                <c:pt idx="51">
                  <c:v>44140.434560185182</c:v>
                </c:pt>
                <c:pt idx="52">
                  <c:v>44145.622662037036</c:v>
                </c:pt>
                <c:pt idx="53">
                  <c:v>44146.388912037037</c:v>
                </c:pt>
                <c:pt idx="54">
                  <c:v>44168.494421296295</c:v>
                </c:pt>
                <c:pt idx="55">
                  <c:v>44168.5156712963</c:v>
                </c:pt>
                <c:pt idx="56">
                  <c:v>44173.457974537036</c:v>
                </c:pt>
                <c:pt idx="57">
                  <c:v>44174.441469907404</c:v>
                </c:pt>
                <c:pt idx="58">
                  <c:v>44175.440532407411</c:v>
                </c:pt>
              </c:numCache>
            </c:numRef>
          </c:xVal>
          <c:yVal>
            <c:numRef>
              <c:f>'rolling 2020'!$H$27:$H$91</c:f>
              <c:numCache>
                <c:formatCode>#,##0</c:formatCode>
                <c:ptCount val="65"/>
                <c:pt idx="0">
                  <c:v>2101</c:v>
                </c:pt>
                <c:pt idx="1">
                  <c:v>2054</c:v>
                </c:pt>
                <c:pt idx="2">
                  <c:v>2067</c:v>
                </c:pt>
                <c:pt idx="3">
                  <c:v>1795</c:v>
                </c:pt>
                <c:pt idx="4">
                  <c:v>1922</c:v>
                </c:pt>
                <c:pt idx="5">
                  <c:v>2213</c:v>
                </c:pt>
                <c:pt idx="6">
                  <c:v>2474</c:v>
                </c:pt>
                <c:pt idx="7">
                  <c:v>2051</c:v>
                </c:pt>
                <c:pt idx="8">
                  <c:v>2269</c:v>
                </c:pt>
                <c:pt idx="9">
                  <c:v>2299</c:v>
                </c:pt>
                <c:pt idx="10">
                  <c:v>2212</c:v>
                </c:pt>
                <c:pt idx="11">
                  <c:v>2336</c:v>
                </c:pt>
                <c:pt idx="12">
                  <c:v>2469</c:v>
                </c:pt>
                <c:pt idx="13">
                  <c:v>2364</c:v>
                </c:pt>
                <c:pt idx="14">
                  <c:v>2944</c:v>
                </c:pt>
                <c:pt idx="15">
                  <c:v>2324</c:v>
                </c:pt>
                <c:pt idx="16">
                  <c:v>2388</c:v>
                </c:pt>
                <c:pt idx="17">
                  <c:v>2693</c:v>
                </c:pt>
                <c:pt idx="18">
                  <c:v>2808</c:v>
                </c:pt>
                <c:pt idx="19">
                  <c:v>2849</c:v>
                </c:pt>
                <c:pt idx="20">
                  <c:v>1957</c:v>
                </c:pt>
                <c:pt idx="21">
                  <c:v>2193</c:v>
                </c:pt>
                <c:pt idx="22">
                  <c:v>2405</c:v>
                </c:pt>
                <c:pt idx="23">
                  <c:v>2464</c:v>
                </c:pt>
                <c:pt idx="24">
                  <c:v>2178</c:v>
                </c:pt>
                <c:pt idx="25">
                  <c:v>2284</c:v>
                </c:pt>
                <c:pt idx="26">
                  <c:v>2348</c:v>
                </c:pt>
                <c:pt idx="27">
                  <c:v>2509</c:v>
                </c:pt>
                <c:pt idx="28">
                  <c:v>2218</c:v>
                </c:pt>
                <c:pt idx="29">
                  <c:v>2437</c:v>
                </c:pt>
                <c:pt idx="30">
                  <c:v>2583</c:v>
                </c:pt>
                <c:pt idx="31">
                  <c:v>2648</c:v>
                </c:pt>
                <c:pt idx="32">
                  <c:v>2283</c:v>
                </c:pt>
                <c:pt idx="33">
                  <c:v>2578</c:v>
                </c:pt>
                <c:pt idx="34">
                  <c:v>1992</c:v>
                </c:pt>
                <c:pt idx="35">
                  <c:v>2308</c:v>
                </c:pt>
                <c:pt idx="36">
                  <c:v>2315</c:v>
                </c:pt>
                <c:pt idx="37">
                  <c:v>2436</c:v>
                </c:pt>
                <c:pt idx="38">
                  <c:v>2661</c:v>
                </c:pt>
                <c:pt idx="39">
                  <c:v>2745</c:v>
                </c:pt>
                <c:pt idx="40">
                  <c:v>2370</c:v>
                </c:pt>
                <c:pt idx="41">
                  <c:v>2210</c:v>
                </c:pt>
                <c:pt idx="42">
                  <c:v>2736</c:v>
                </c:pt>
                <c:pt idx="43">
                  <c:v>2575</c:v>
                </c:pt>
                <c:pt idx="44">
                  <c:v>3290</c:v>
                </c:pt>
                <c:pt idx="45">
                  <c:v>2802</c:v>
                </c:pt>
                <c:pt idx="46">
                  <c:v>2844</c:v>
                </c:pt>
                <c:pt idx="47">
                  <c:v>2737</c:v>
                </c:pt>
                <c:pt idx="48">
                  <c:v>2984</c:v>
                </c:pt>
                <c:pt idx="49">
                  <c:v>2917</c:v>
                </c:pt>
                <c:pt idx="50">
                  <c:v>2557</c:v>
                </c:pt>
                <c:pt idx="51">
                  <c:v>3303</c:v>
                </c:pt>
                <c:pt idx="52">
                  <c:v>3182</c:v>
                </c:pt>
                <c:pt idx="53">
                  <c:v>3132</c:v>
                </c:pt>
                <c:pt idx="54">
                  <c:v>1720</c:v>
                </c:pt>
                <c:pt idx="55">
                  <c:v>1853</c:v>
                </c:pt>
                <c:pt idx="56">
                  <c:v>1980</c:v>
                </c:pt>
                <c:pt idx="57">
                  <c:v>1796</c:v>
                </c:pt>
                <c:pt idx="58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D-4407-BF23-AD2AAA2A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2021'!$AS$27:$AS$106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'rolling 2021'!$H$27:$H$106</c:f>
              <c:numCache>
                <c:formatCode>#,##0</c:formatCode>
                <c:ptCount val="80"/>
                <c:pt idx="0">
                  <c:v>2068</c:v>
                </c:pt>
                <c:pt idx="1">
                  <c:v>2784</c:v>
                </c:pt>
                <c:pt idx="2">
                  <c:v>2805</c:v>
                </c:pt>
                <c:pt idx="3">
                  <c:v>2295</c:v>
                </c:pt>
                <c:pt idx="4">
                  <c:v>2175</c:v>
                </c:pt>
                <c:pt idx="5">
                  <c:v>2400</c:v>
                </c:pt>
                <c:pt idx="6">
                  <c:v>2455</c:v>
                </c:pt>
                <c:pt idx="7">
                  <c:v>2842</c:v>
                </c:pt>
                <c:pt idx="8">
                  <c:v>2552</c:v>
                </c:pt>
                <c:pt idx="9">
                  <c:v>1400</c:v>
                </c:pt>
                <c:pt idx="10">
                  <c:v>1306</c:v>
                </c:pt>
                <c:pt idx="11">
                  <c:v>1779</c:v>
                </c:pt>
                <c:pt idx="12">
                  <c:v>1813</c:v>
                </c:pt>
                <c:pt idx="13">
                  <c:v>2383</c:v>
                </c:pt>
                <c:pt idx="14">
                  <c:v>2304</c:v>
                </c:pt>
                <c:pt idx="15">
                  <c:v>2118</c:v>
                </c:pt>
                <c:pt idx="16">
                  <c:v>1841</c:v>
                </c:pt>
                <c:pt idx="17">
                  <c:v>2352</c:v>
                </c:pt>
                <c:pt idx="18">
                  <c:v>2545</c:v>
                </c:pt>
                <c:pt idx="19">
                  <c:v>2303</c:v>
                </c:pt>
                <c:pt idx="20">
                  <c:v>2663</c:v>
                </c:pt>
                <c:pt idx="21">
                  <c:v>2187</c:v>
                </c:pt>
                <c:pt idx="22">
                  <c:v>2045</c:v>
                </c:pt>
                <c:pt idx="23">
                  <c:v>2317</c:v>
                </c:pt>
                <c:pt idx="24">
                  <c:v>2401</c:v>
                </c:pt>
                <c:pt idx="25">
                  <c:v>2321</c:v>
                </c:pt>
                <c:pt idx="26">
                  <c:v>1105</c:v>
                </c:pt>
                <c:pt idx="27">
                  <c:v>942</c:v>
                </c:pt>
                <c:pt idx="28">
                  <c:v>1131</c:v>
                </c:pt>
                <c:pt idx="29">
                  <c:v>1011</c:v>
                </c:pt>
                <c:pt idx="30">
                  <c:v>1372</c:v>
                </c:pt>
                <c:pt idx="31">
                  <c:v>1210</c:v>
                </c:pt>
                <c:pt idx="32">
                  <c:v>1340</c:v>
                </c:pt>
                <c:pt idx="33">
                  <c:v>1261</c:v>
                </c:pt>
                <c:pt idx="34">
                  <c:v>1660</c:v>
                </c:pt>
                <c:pt idx="35">
                  <c:v>1690</c:v>
                </c:pt>
                <c:pt idx="36">
                  <c:v>1592</c:v>
                </c:pt>
                <c:pt idx="37">
                  <c:v>1440</c:v>
                </c:pt>
                <c:pt idx="38">
                  <c:v>1602</c:v>
                </c:pt>
                <c:pt idx="39">
                  <c:v>1892</c:v>
                </c:pt>
                <c:pt idx="40">
                  <c:v>1865</c:v>
                </c:pt>
                <c:pt idx="41">
                  <c:v>1981</c:v>
                </c:pt>
                <c:pt idx="42">
                  <c:v>2052</c:v>
                </c:pt>
                <c:pt idx="43">
                  <c:v>2390</c:v>
                </c:pt>
                <c:pt idx="44">
                  <c:v>1958</c:v>
                </c:pt>
                <c:pt idx="45">
                  <c:v>2239</c:v>
                </c:pt>
                <c:pt idx="46">
                  <c:v>2537</c:v>
                </c:pt>
                <c:pt idx="47">
                  <c:v>2728</c:v>
                </c:pt>
                <c:pt idx="48">
                  <c:v>2772</c:v>
                </c:pt>
                <c:pt idx="49">
                  <c:v>2852</c:v>
                </c:pt>
                <c:pt idx="50">
                  <c:v>2699</c:v>
                </c:pt>
                <c:pt idx="51">
                  <c:v>2370</c:v>
                </c:pt>
                <c:pt idx="52">
                  <c:v>2538</c:v>
                </c:pt>
                <c:pt idx="53">
                  <c:v>2752</c:v>
                </c:pt>
                <c:pt idx="54">
                  <c:v>2331</c:v>
                </c:pt>
                <c:pt idx="55">
                  <c:v>2268</c:v>
                </c:pt>
                <c:pt idx="56">
                  <c:v>2432</c:v>
                </c:pt>
                <c:pt idx="57">
                  <c:v>2058</c:v>
                </c:pt>
                <c:pt idx="58">
                  <c:v>1922</c:v>
                </c:pt>
                <c:pt idx="59">
                  <c:v>1822</c:v>
                </c:pt>
                <c:pt idx="60">
                  <c:v>1765</c:v>
                </c:pt>
                <c:pt idx="61">
                  <c:v>2245</c:v>
                </c:pt>
                <c:pt idx="62">
                  <c:v>1741</c:v>
                </c:pt>
                <c:pt idx="63">
                  <c:v>2012</c:v>
                </c:pt>
                <c:pt idx="64">
                  <c:v>2615</c:v>
                </c:pt>
                <c:pt idx="65">
                  <c:v>2214</c:v>
                </c:pt>
                <c:pt idx="66">
                  <c:v>2123</c:v>
                </c:pt>
                <c:pt idx="67">
                  <c:v>1904</c:v>
                </c:pt>
                <c:pt idx="68">
                  <c:v>1682</c:v>
                </c:pt>
                <c:pt idx="69">
                  <c:v>1685</c:v>
                </c:pt>
                <c:pt idx="70">
                  <c:v>1417</c:v>
                </c:pt>
                <c:pt idx="71">
                  <c:v>1696</c:v>
                </c:pt>
                <c:pt idx="72">
                  <c:v>1823</c:v>
                </c:pt>
                <c:pt idx="73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BC4-AF0B-3CBE8E38B38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2021'!$H$111,'rolling 2021'!$H$111)</c:f>
              <c:numCache>
                <c:formatCode>0.000</c:formatCode>
                <c:ptCount val="2"/>
                <c:pt idx="0">
                  <c:v>3015.4142770403655</c:v>
                </c:pt>
                <c:pt idx="1">
                  <c:v>3015.4142770403655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C-4BC4-AF0B-3CBE8E38B38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2021'!$H$113,'rolling 2021'!$H$113)</c:f>
              <c:numCache>
                <c:formatCode>0.000</c:formatCode>
                <c:ptCount val="2"/>
                <c:pt idx="0">
                  <c:v>3504.1822263713589</c:v>
                </c:pt>
                <c:pt idx="1">
                  <c:v>3504.1822263713589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8C-4BC4-AF0B-3CBE8E38B38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2021'!$H$110,'rolling 2021'!$H$110)</c:f>
              <c:numCache>
                <c:formatCode>0.000</c:formatCode>
                <c:ptCount val="2"/>
                <c:pt idx="0">
                  <c:v>1060.3424797163912</c:v>
                </c:pt>
                <c:pt idx="1">
                  <c:v>1060.3424797163912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8C-4BC4-AF0B-3CBE8E38B38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2021'!$H$112,'rolling 2021'!$H$112)</c:f>
              <c:numCache>
                <c:formatCode>0.000</c:formatCode>
                <c:ptCount val="2"/>
                <c:pt idx="0">
                  <c:v>571.57453038539779</c:v>
                </c:pt>
                <c:pt idx="1">
                  <c:v>571.57453038539779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8C-4BC4-AF0B-3CBE8E38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2021'!$AS$27:$AS$106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'rolling 2021'!$AJ$27:$AJ$106</c:f>
              <c:numCache>
                <c:formatCode>#,##0</c:formatCode>
                <c:ptCount val="80"/>
                <c:pt idx="0">
                  <c:v>3146</c:v>
                </c:pt>
                <c:pt idx="1">
                  <c:v>2530</c:v>
                </c:pt>
                <c:pt idx="2">
                  <c:v>1750</c:v>
                </c:pt>
                <c:pt idx="3">
                  <c:v>2281</c:v>
                </c:pt>
                <c:pt idx="4">
                  <c:v>1664</c:v>
                </c:pt>
                <c:pt idx="5">
                  <c:v>2505</c:v>
                </c:pt>
                <c:pt idx="6">
                  <c:v>1928</c:v>
                </c:pt>
                <c:pt idx="7">
                  <c:v>1771</c:v>
                </c:pt>
                <c:pt idx="8">
                  <c:v>2796</c:v>
                </c:pt>
                <c:pt idx="9">
                  <c:v>2752</c:v>
                </c:pt>
                <c:pt idx="10">
                  <c:v>2782</c:v>
                </c:pt>
                <c:pt idx="11">
                  <c:v>1989</c:v>
                </c:pt>
                <c:pt idx="12">
                  <c:v>2411</c:v>
                </c:pt>
                <c:pt idx="13">
                  <c:v>2019</c:v>
                </c:pt>
                <c:pt idx="14">
                  <c:v>1894</c:v>
                </c:pt>
                <c:pt idx="15">
                  <c:v>2429</c:v>
                </c:pt>
                <c:pt idx="16">
                  <c:v>2060</c:v>
                </c:pt>
                <c:pt idx="17">
                  <c:v>2855</c:v>
                </c:pt>
                <c:pt idx="18">
                  <c:v>3193</c:v>
                </c:pt>
                <c:pt idx="19">
                  <c:v>1939</c:v>
                </c:pt>
                <c:pt idx="20">
                  <c:v>2113</c:v>
                </c:pt>
                <c:pt idx="21">
                  <c:v>1796</c:v>
                </c:pt>
                <c:pt idx="22">
                  <c:v>2300</c:v>
                </c:pt>
                <c:pt idx="23">
                  <c:v>2361</c:v>
                </c:pt>
                <c:pt idx="24">
                  <c:v>2108</c:v>
                </c:pt>
                <c:pt idx="25">
                  <c:v>1557</c:v>
                </c:pt>
                <c:pt idx="26">
                  <c:v>1757</c:v>
                </c:pt>
                <c:pt idx="27">
                  <c:v>2445</c:v>
                </c:pt>
                <c:pt idx="28">
                  <c:v>1884</c:v>
                </c:pt>
                <c:pt idx="29">
                  <c:v>1845</c:v>
                </c:pt>
                <c:pt idx="30">
                  <c:v>1848</c:v>
                </c:pt>
                <c:pt idx="31">
                  <c:v>2451</c:v>
                </c:pt>
                <c:pt idx="32">
                  <c:v>3527</c:v>
                </c:pt>
                <c:pt idx="33">
                  <c:v>2494</c:v>
                </c:pt>
                <c:pt idx="34">
                  <c:v>3719</c:v>
                </c:pt>
                <c:pt idx="35">
                  <c:v>2454</c:v>
                </c:pt>
                <c:pt idx="36">
                  <c:v>2378</c:v>
                </c:pt>
                <c:pt idx="37">
                  <c:v>2819</c:v>
                </c:pt>
                <c:pt idx="38">
                  <c:v>2658</c:v>
                </c:pt>
                <c:pt idx="39">
                  <c:v>1987</c:v>
                </c:pt>
                <c:pt idx="40">
                  <c:v>2522</c:v>
                </c:pt>
                <c:pt idx="41">
                  <c:v>3867</c:v>
                </c:pt>
                <c:pt idx="42">
                  <c:v>1963</c:v>
                </c:pt>
                <c:pt idx="43">
                  <c:v>2343</c:v>
                </c:pt>
                <c:pt idx="44">
                  <c:v>2365</c:v>
                </c:pt>
                <c:pt idx="45">
                  <c:v>2437</c:v>
                </c:pt>
                <c:pt idx="46">
                  <c:v>3832</c:v>
                </c:pt>
                <c:pt idx="47">
                  <c:v>2662</c:v>
                </c:pt>
                <c:pt idx="48">
                  <c:v>2672</c:v>
                </c:pt>
                <c:pt idx="49">
                  <c:v>2856</c:v>
                </c:pt>
                <c:pt idx="50">
                  <c:v>2736</c:v>
                </c:pt>
                <c:pt idx="51">
                  <c:v>2535</c:v>
                </c:pt>
                <c:pt idx="52">
                  <c:v>3150</c:v>
                </c:pt>
                <c:pt idx="53">
                  <c:v>2609</c:v>
                </c:pt>
                <c:pt idx="54">
                  <c:v>3300</c:v>
                </c:pt>
                <c:pt idx="55">
                  <c:v>2352</c:v>
                </c:pt>
                <c:pt idx="56">
                  <c:v>2567</c:v>
                </c:pt>
                <c:pt idx="57">
                  <c:v>2359</c:v>
                </c:pt>
                <c:pt idx="58">
                  <c:v>1523</c:v>
                </c:pt>
                <c:pt idx="59">
                  <c:v>2290</c:v>
                </c:pt>
                <c:pt idx="60">
                  <c:v>2100</c:v>
                </c:pt>
                <c:pt idx="61">
                  <c:v>1926</c:v>
                </c:pt>
                <c:pt idx="62">
                  <c:v>2208</c:v>
                </c:pt>
                <c:pt idx="63">
                  <c:v>2097</c:v>
                </c:pt>
                <c:pt idx="64">
                  <c:v>2845</c:v>
                </c:pt>
                <c:pt idx="65">
                  <c:v>2516</c:v>
                </c:pt>
                <c:pt idx="66">
                  <c:v>1968</c:v>
                </c:pt>
                <c:pt idx="67">
                  <c:v>2016</c:v>
                </c:pt>
                <c:pt idx="68">
                  <c:v>2675</c:v>
                </c:pt>
                <c:pt idx="69">
                  <c:v>2293</c:v>
                </c:pt>
                <c:pt idx="70">
                  <c:v>2453</c:v>
                </c:pt>
                <c:pt idx="71">
                  <c:v>2633</c:v>
                </c:pt>
                <c:pt idx="72">
                  <c:v>2307</c:v>
                </c:pt>
                <c:pt idx="73">
                  <c:v>2526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0C0-9FD5-EF962CE27C3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2021'!$AS$107:$AS$110</c:f>
              <c:numCache>
                <c:formatCode>General</c:formatCode>
                <c:ptCount val="4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2021'!$AJ$111,'rolling 2021'!$AJ$111)</c:f>
              <c:numCache>
                <c:formatCode>0.000</c:formatCode>
                <c:ptCount val="2"/>
                <c:pt idx="0">
                  <c:v>3424.2764191974024</c:v>
                </c:pt>
                <c:pt idx="1">
                  <c:v>3424.2764191974024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60-40C0-9FD5-EF962CE27C3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2021'!$AJ$113,'rolling 2021'!$AJ$113)</c:f>
              <c:numCache>
                <c:formatCode>0.000</c:formatCode>
                <c:ptCount val="2"/>
                <c:pt idx="0">
                  <c:v>3928.9957098771847</c:v>
                </c:pt>
                <c:pt idx="1">
                  <c:v>3928.9957098771847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60-40C0-9FD5-EF962CE27C3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2021'!$AJ$110,'rolling 2021'!$AJ$110)</c:f>
              <c:numCache>
                <c:formatCode>0.000</c:formatCode>
                <c:ptCount val="2"/>
                <c:pt idx="0">
                  <c:v>1405.3992564782734</c:v>
                </c:pt>
                <c:pt idx="1">
                  <c:v>1405.3992564782734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0-40C0-9FD5-EF962CE27C3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2021'!$AS$107:$AS$108</c:f>
              <c:numCache>
                <c:formatCode>General</c:formatCode>
                <c:ptCount val="2"/>
                <c:pt idx="0">
                  <c:v>1</c:v>
                </c:pt>
                <c:pt idx="1">
                  <c:v>74</c:v>
                </c:pt>
              </c:numCache>
            </c:numRef>
          </c:xVal>
          <c:yVal>
            <c:numRef>
              <c:f>('rolling 2021'!$AJ$112,'rolling 2021'!$AJ$112)</c:f>
              <c:numCache>
                <c:formatCode>0.000</c:formatCode>
                <c:ptCount val="2"/>
                <c:pt idx="0">
                  <c:v>900.67996579849137</c:v>
                </c:pt>
                <c:pt idx="1">
                  <c:v>900.67996579849137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0-40C0-9FD5-EF962CE2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2021'!$C$27:$C$106</c:f>
              <c:numCache>
                <c:formatCode>m/d/yyyy\ h:mm</c:formatCode>
                <c:ptCount val="80"/>
                <c:pt idx="0">
                  <c:v>44236.479155092595</c:v>
                </c:pt>
                <c:pt idx="1">
                  <c:v>44237.60083333333</c:v>
                </c:pt>
                <c:pt idx="2">
                  <c:v>44237.64335648148</c:v>
                </c:pt>
                <c:pt idx="3">
                  <c:v>44251.65152777778</c:v>
                </c:pt>
                <c:pt idx="4">
                  <c:v>44256.458356481482</c:v>
                </c:pt>
                <c:pt idx="5">
                  <c:v>44257.425081018519</c:v>
                </c:pt>
                <c:pt idx="6">
                  <c:v>44257.446319444447</c:v>
                </c:pt>
                <c:pt idx="7">
                  <c:v>44257.467557870368</c:v>
                </c:pt>
                <c:pt idx="8">
                  <c:v>44266.451840277776</c:v>
                </c:pt>
                <c:pt idx="9">
                  <c:v>44271.474594907406</c:v>
                </c:pt>
                <c:pt idx="10">
                  <c:v>44272.501458333332</c:v>
                </c:pt>
                <c:pt idx="11">
                  <c:v>44278.595486111109</c:v>
                </c:pt>
                <c:pt idx="12">
                  <c:v>44292.535810185182</c:v>
                </c:pt>
                <c:pt idx="13">
                  <c:v>44293.464386574073</c:v>
                </c:pt>
                <c:pt idx="14">
                  <c:v>44293.506956018522</c:v>
                </c:pt>
                <c:pt idx="15">
                  <c:v>44293.528240740743</c:v>
                </c:pt>
                <c:pt idx="16">
                  <c:v>44305.429097222222</c:v>
                </c:pt>
                <c:pt idx="17">
                  <c:v>44320.443414351852</c:v>
                </c:pt>
                <c:pt idx="18">
                  <c:v>44323.459027777775</c:v>
                </c:pt>
                <c:pt idx="19">
                  <c:v>44334.443414351852</c:v>
                </c:pt>
                <c:pt idx="20">
                  <c:v>44335.403101851851</c:v>
                </c:pt>
                <c:pt idx="21">
                  <c:v>44336.708981481483</c:v>
                </c:pt>
                <c:pt idx="22">
                  <c:v>44340.400763888887</c:v>
                </c:pt>
                <c:pt idx="23">
                  <c:v>44341.434062499997</c:v>
                </c:pt>
                <c:pt idx="24">
                  <c:v>44342.415543981479</c:v>
                </c:pt>
                <c:pt idx="25">
                  <c:v>44348.458194444444</c:v>
                </c:pt>
                <c:pt idx="26">
                  <c:v>44350.430763888886</c:v>
                </c:pt>
                <c:pt idx="27">
                  <c:v>44361.486192129632</c:v>
                </c:pt>
                <c:pt idx="28">
                  <c:v>44362.380115740743</c:v>
                </c:pt>
                <c:pt idx="29">
                  <c:v>44370.476168981484</c:v>
                </c:pt>
                <c:pt idx="30">
                  <c:v>44375.432523148149</c:v>
                </c:pt>
                <c:pt idx="31">
                  <c:v>44376.579953703702</c:v>
                </c:pt>
                <c:pt idx="32">
                  <c:v>44386.441377314812</c:v>
                </c:pt>
                <c:pt idx="33">
                  <c:v>44389.426828703705</c:v>
                </c:pt>
                <c:pt idx="34">
                  <c:v>44391.56659722222</c:v>
                </c:pt>
                <c:pt idx="35">
                  <c:v>44392.571597222224</c:v>
                </c:pt>
                <c:pt idx="36">
                  <c:v>44393.482928240737</c:v>
                </c:pt>
                <c:pt idx="37">
                  <c:v>44399.430960648147</c:v>
                </c:pt>
                <c:pt idx="38">
                  <c:v>44404.454675925925</c:v>
                </c:pt>
                <c:pt idx="39">
                  <c:v>44411.536504629628</c:v>
                </c:pt>
                <c:pt idx="40">
                  <c:v>44412.443009259259</c:v>
                </c:pt>
                <c:pt idx="41">
                  <c:v>44413.430879629632</c:v>
                </c:pt>
                <c:pt idx="42">
                  <c:v>44414.417905092596</c:v>
                </c:pt>
                <c:pt idx="43">
                  <c:v>44418.445983796293</c:v>
                </c:pt>
                <c:pt idx="44">
                  <c:v>44425.484016203707</c:v>
                </c:pt>
                <c:pt idx="45">
                  <c:v>44432.654768518521</c:v>
                </c:pt>
                <c:pt idx="46">
                  <c:v>44440.508067129631</c:v>
                </c:pt>
                <c:pt idx="47">
                  <c:v>44446.524814814817</c:v>
                </c:pt>
                <c:pt idx="48">
                  <c:v>44454.42224537037</c:v>
                </c:pt>
                <c:pt idx="49">
                  <c:v>44461.441782407404</c:v>
                </c:pt>
                <c:pt idx="50">
                  <c:v>44467.611909722225</c:v>
                </c:pt>
                <c:pt idx="51">
                  <c:v>44474.540543981479</c:v>
                </c:pt>
                <c:pt idx="52">
                  <c:v>44481.414814814816</c:v>
                </c:pt>
                <c:pt idx="53">
                  <c:v>44482.6172337963</c:v>
                </c:pt>
                <c:pt idx="54">
                  <c:v>44488.440300925926</c:v>
                </c:pt>
                <c:pt idx="55">
                  <c:v>44495.502974537034</c:v>
                </c:pt>
                <c:pt idx="56">
                  <c:v>44496.452384259261</c:v>
                </c:pt>
                <c:pt idx="57">
                  <c:v>44504.43577546296</c:v>
                </c:pt>
                <c:pt idx="58">
                  <c:v>44505.465243055558</c:v>
                </c:pt>
                <c:pt idx="59">
                  <c:v>44508.392534722225</c:v>
                </c:pt>
                <c:pt idx="60">
                  <c:v>44509.558634259258</c:v>
                </c:pt>
                <c:pt idx="61">
                  <c:v>44510.408750000002</c:v>
                </c:pt>
                <c:pt idx="62">
                  <c:v>44523.45416666667</c:v>
                </c:pt>
                <c:pt idx="63">
                  <c:v>44530.411874999998</c:v>
                </c:pt>
                <c:pt idx="64">
                  <c:v>44531.490162037036</c:v>
                </c:pt>
                <c:pt idx="65">
                  <c:v>44532.550416666665</c:v>
                </c:pt>
                <c:pt idx="66">
                  <c:v>44537.416134259256</c:v>
                </c:pt>
                <c:pt idx="67">
                  <c:v>44538.434629629628</c:v>
                </c:pt>
                <c:pt idx="68">
                  <c:v>44539.465960648151</c:v>
                </c:pt>
                <c:pt idx="69">
                  <c:v>44543.436793981484</c:v>
                </c:pt>
                <c:pt idx="70">
                  <c:v>44544.423796296294</c:v>
                </c:pt>
                <c:pt idx="71">
                  <c:v>44545.406817129631</c:v>
                </c:pt>
                <c:pt idx="72">
                  <c:v>44550.507071759261</c:v>
                </c:pt>
                <c:pt idx="73">
                  <c:v>44551.47861111111</c:v>
                </c:pt>
              </c:numCache>
            </c:numRef>
          </c:xVal>
          <c:yVal>
            <c:numRef>
              <c:f>'rolling 2021'!$H$27:$H$106</c:f>
              <c:numCache>
                <c:formatCode>#,##0</c:formatCode>
                <c:ptCount val="80"/>
                <c:pt idx="0">
                  <c:v>2068</c:v>
                </c:pt>
                <c:pt idx="1">
                  <c:v>2784</c:v>
                </c:pt>
                <c:pt idx="2">
                  <c:v>2805</c:v>
                </c:pt>
                <c:pt idx="3">
                  <c:v>2295</c:v>
                </c:pt>
                <c:pt idx="4">
                  <c:v>2175</c:v>
                </c:pt>
                <c:pt idx="5">
                  <c:v>2400</c:v>
                </c:pt>
                <c:pt idx="6">
                  <c:v>2455</c:v>
                </c:pt>
                <c:pt idx="7">
                  <c:v>2842</c:v>
                </c:pt>
                <c:pt idx="8">
                  <c:v>2552</c:v>
                </c:pt>
                <c:pt idx="9">
                  <c:v>1400</c:v>
                </c:pt>
                <c:pt idx="10">
                  <c:v>1306</c:v>
                </c:pt>
                <c:pt idx="11">
                  <c:v>1779</c:v>
                </c:pt>
                <c:pt idx="12">
                  <c:v>1813</c:v>
                </c:pt>
                <c:pt idx="13">
                  <c:v>2383</c:v>
                </c:pt>
                <c:pt idx="14">
                  <c:v>2304</c:v>
                </c:pt>
                <c:pt idx="15">
                  <c:v>2118</c:v>
                </c:pt>
                <c:pt idx="16">
                  <c:v>1841</c:v>
                </c:pt>
                <c:pt idx="17">
                  <c:v>2352</c:v>
                </c:pt>
                <c:pt idx="18">
                  <c:v>2545</c:v>
                </c:pt>
                <c:pt idx="19">
                  <c:v>2303</c:v>
                </c:pt>
                <c:pt idx="20">
                  <c:v>2663</c:v>
                </c:pt>
                <c:pt idx="21">
                  <c:v>2187</c:v>
                </c:pt>
                <c:pt idx="22">
                  <c:v>2045</c:v>
                </c:pt>
                <c:pt idx="23">
                  <c:v>2317</c:v>
                </c:pt>
                <c:pt idx="24">
                  <c:v>2401</c:v>
                </c:pt>
                <c:pt idx="25">
                  <c:v>2321</c:v>
                </c:pt>
                <c:pt idx="26">
                  <c:v>1105</c:v>
                </c:pt>
                <c:pt idx="27">
                  <c:v>942</c:v>
                </c:pt>
                <c:pt idx="28">
                  <c:v>1131</c:v>
                </c:pt>
                <c:pt idx="29">
                  <c:v>1011</c:v>
                </c:pt>
                <c:pt idx="30">
                  <c:v>1372</c:v>
                </c:pt>
                <c:pt idx="31">
                  <c:v>1210</c:v>
                </c:pt>
                <c:pt idx="32">
                  <c:v>1340</c:v>
                </c:pt>
                <c:pt idx="33">
                  <c:v>1261</c:v>
                </c:pt>
                <c:pt idx="34">
                  <c:v>1660</c:v>
                </c:pt>
                <c:pt idx="35">
                  <c:v>1690</c:v>
                </c:pt>
                <c:pt idx="36">
                  <c:v>1592</c:v>
                </c:pt>
                <c:pt idx="37">
                  <c:v>1440</c:v>
                </c:pt>
                <c:pt idx="38">
                  <c:v>1602</c:v>
                </c:pt>
                <c:pt idx="39">
                  <c:v>1892</c:v>
                </c:pt>
                <c:pt idx="40">
                  <c:v>1865</c:v>
                </c:pt>
                <c:pt idx="41">
                  <c:v>1981</c:v>
                </c:pt>
                <c:pt idx="42">
                  <c:v>2052</c:v>
                </c:pt>
                <c:pt idx="43">
                  <c:v>2390</c:v>
                </c:pt>
                <c:pt idx="44">
                  <c:v>1958</c:v>
                </c:pt>
                <c:pt idx="45">
                  <c:v>2239</c:v>
                </c:pt>
                <c:pt idx="46">
                  <c:v>2537</c:v>
                </c:pt>
                <c:pt idx="47">
                  <c:v>2728</c:v>
                </c:pt>
                <c:pt idx="48">
                  <c:v>2772</c:v>
                </c:pt>
                <c:pt idx="49">
                  <c:v>2852</c:v>
                </c:pt>
                <c:pt idx="50">
                  <c:v>2699</c:v>
                </c:pt>
                <c:pt idx="51">
                  <c:v>2370</c:v>
                </c:pt>
                <c:pt idx="52">
                  <c:v>2538</c:v>
                </c:pt>
                <c:pt idx="53">
                  <c:v>2752</c:v>
                </c:pt>
                <c:pt idx="54">
                  <c:v>2331</c:v>
                </c:pt>
                <c:pt idx="55">
                  <c:v>2268</c:v>
                </c:pt>
                <c:pt idx="56">
                  <c:v>2432</c:v>
                </c:pt>
                <c:pt idx="57">
                  <c:v>2058</c:v>
                </c:pt>
                <c:pt idx="58">
                  <c:v>1922</c:v>
                </c:pt>
                <c:pt idx="59">
                  <c:v>1822</c:v>
                </c:pt>
                <c:pt idx="60">
                  <c:v>1765</c:v>
                </c:pt>
                <c:pt idx="61">
                  <c:v>2245</c:v>
                </c:pt>
                <c:pt idx="62">
                  <c:v>1741</c:v>
                </c:pt>
                <c:pt idx="63">
                  <c:v>2012</c:v>
                </c:pt>
                <c:pt idx="64">
                  <c:v>2615</c:v>
                </c:pt>
                <c:pt idx="65">
                  <c:v>2214</c:v>
                </c:pt>
                <c:pt idx="66">
                  <c:v>2123</c:v>
                </c:pt>
                <c:pt idx="67">
                  <c:v>1904</c:v>
                </c:pt>
                <c:pt idx="68">
                  <c:v>1682</c:v>
                </c:pt>
                <c:pt idx="69">
                  <c:v>1685</c:v>
                </c:pt>
                <c:pt idx="70">
                  <c:v>1417</c:v>
                </c:pt>
                <c:pt idx="71">
                  <c:v>1696</c:v>
                </c:pt>
                <c:pt idx="72">
                  <c:v>1823</c:v>
                </c:pt>
                <c:pt idx="73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0-466E-9B8B-518D4DEB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 - signal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2022'!$AS$45:$AS$254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83</c:v>
                </c:pt>
              </c:numCache>
            </c:numRef>
          </c:xVal>
          <c:yVal>
            <c:numRef>
              <c:f>'rolling 2022'!$H$45:$H$254</c:f>
              <c:numCache>
                <c:formatCode>#,##0</c:formatCode>
                <c:ptCount val="210"/>
                <c:pt idx="0">
                  <c:v>1915</c:v>
                </c:pt>
                <c:pt idx="1">
                  <c:v>2022</c:v>
                </c:pt>
                <c:pt idx="2">
                  <c:v>2704</c:v>
                </c:pt>
                <c:pt idx="3">
                  <c:v>2459</c:v>
                </c:pt>
                <c:pt idx="4">
                  <c:v>2762</c:v>
                </c:pt>
                <c:pt idx="5">
                  <c:v>1561</c:v>
                </c:pt>
                <c:pt idx="6">
                  <c:v>1767</c:v>
                </c:pt>
                <c:pt idx="7">
                  <c:v>1577</c:v>
                </c:pt>
                <c:pt idx="8">
                  <c:v>1778</c:v>
                </c:pt>
                <c:pt idx="9">
                  <c:v>1617</c:v>
                </c:pt>
                <c:pt idx="10">
                  <c:v>1806</c:v>
                </c:pt>
                <c:pt idx="11">
                  <c:v>1748</c:v>
                </c:pt>
                <c:pt idx="12">
                  <c:v>1659</c:v>
                </c:pt>
                <c:pt idx="13">
                  <c:v>2906</c:v>
                </c:pt>
                <c:pt idx="14">
                  <c:v>1946</c:v>
                </c:pt>
                <c:pt idx="15">
                  <c:v>1872</c:v>
                </c:pt>
                <c:pt idx="16">
                  <c:v>1407</c:v>
                </c:pt>
                <c:pt idx="17">
                  <c:v>1867</c:v>
                </c:pt>
                <c:pt idx="18">
                  <c:v>2207</c:v>
                </c:pt>
                <c:pt idx="19">
                  <c:v>1721</c:v>
                </c:pt>
                <c:pt idx="20">
                  <c:v>1613</c:v>
                </c:pt>
                <c:pt idx="21">
                  <c:v>1955</c:v>
                </c:pt>
                <c:pt idx="22">
                  <c:v>1730</c:v>
                </c:pt>
                <c:pt idx="23">
                  <c:v>1586</c:v>
                </c:pt>
                <c:pt idx="24">
                  <c:v>2155</c:v>
                </c:pt>
                <c:pt idx="25">
                  <c:v>2169</c:v>
                </c:pt>
                <c:pt idx="26">
                  <c:v>1924</c:v>
                </c:pt>
                <c:pt idx="27">
                  <c:v>2329</c:v>
                </c:pt>
                <c:pt idx="28">
                  <c:v>1809</c:v>
                </c:pt>
                <c:pt idx="29">
                  <c:v>2430</c:v>
                </c:pt>
                <c:pt idx="30">
                  <c:v>1985</c:v>
                </c:pt>
                <c:pt idx="31">
                  <c:v>2377</c:v>
                </c:pt>
                <c:pt idx="32">
                  <c:v>2563</c:v>
                </c:pt>
                <c:pt idx="33">
                  <c:v>2002</c:v>
                </c:pt>
                <c:pt idx="34">
                  <c:v>2250</c:v>
                </c:pt>
                <c:pt idx="35">
                  <c:v>1821</c:v>
                </c:pt>
                <c:pt idx="36">
                  <c:v>2200</c:v>
                </c:pt>
                <c:pt idx="37">
                  <c:v>2528</c:v>
                </c:pt>
                <c:pt idx="38">
                  <c:v>2101</c:v>
                </c:pt>
                <c:pt idx="39">
                  <c:v>2054</c:v>
                </c:pt>
                <c:pt idx="40">
                  <c:v>2067</c:v>
                </c:pt>
                <c:pt idx="41">
                  <c:v>1795</c:v>
                </c:pt>
                <c:pt idx="42">
                  <c:v>1922</c:v>
                </c:pt>
                <c:pt idx="43">
                  <c:v>2213</c:v>
                </c:pt>
                <c:pt idx="44">
                  <c:v>2474</c:v>
                </c:pt>
                <c:pt idx="45">
                  <c:v>2051</c:v>
                </c:pt>
                <c:pt idx="46">
                  <c:v>2269</c:v>
                </c:pt>
                <c:pt idx="47">
                  <c:v>2299</c:v>
                </c:pt>
                <c:pt idx="48">
                  <c:v>2212</c:v>
                </c:pt>
                <c:pt idx="49">
                  <c:v>2336</c:v>
                </c:pt>
                <c:pt idx="50">
                  <c:v>2469</c:v>
                </c:pt>
                <c:pt idx="51">
                  <c:v>2364</c:v>
                </c:pt>
                <c:pt idx="52">
                  <c:v>2944</c:v>
                </c:pt>
                <c:pt idx="53">
                  <c:v>2324</c:v>
                </c:pt>
                <c:pt idx="54">
                  <c:v>2388</c:v>
                </c:pt>
                <c:pt idx="55">
                  <c:v>2693</c:v>
                </c:pt>
                <c:pt idx="56">
                  <c:v>2808</c:v>
                </c:pt>
                <c:pt idx="57">
                  <c:v>2849</c:v>
                </c:pt>
                <c:pt idx="58">
                  <c:v>1957</c:v>
                </c:pt>
                <c:pt idx="59">
                  <c:v>2193</c:v>
                </c:pt>
                <c:pt idx="60">
                  <c:v>2405</c:v>
                </c:pt>
                <c:pt idx="61">
                  <c:v>2464</c:v>
                </c:pt>
                <c:pt idx="62">
                  <c:v>2178</c:v>
                </c:pt>
                <c:pt idx="63">
                  <c:v>2284</c:v>
                </c:pt>
                <c:pt idx="64">
                  <c:v>2348</c:v>
                </c:pt>
                <c:pt idx="65">
                  <c:v>2509</c:v>
                </c:pt>
                <c:pt idx="66">
                  <c:v>2218</c:v>
                </c:pt>
                <c:pt idx="67">
                  <c:v>2437</c:v>
                </c:pt>
                <c:pt idx="68">
                  <c:v>2583</c:v>
                </c:pt>
                <c:pt idx="69">
                  <c:v>2648</c:v>
                </c:pt>
                <c:pt idx="70">
                  <c:v>2283</c:v>
                </c:pt>
                <c:pt idx="71">
                  <c:v>2578</c:v>
                </c:pt>
                <c:pt idx="72">
                  <c:v>1992</c:v>
                </c:pt>
                <c:pt idx="73">
                  <c:v>2308</c:v>
                </c:pt>
                <c:pt idx="74">
                  <c:v>2315</c:v>
                </c:pt>
                <c:pt idx="75">
                  <c:v>2436</c:v>
                </c:pt>
                <c:pt idx="76">
                  <c:v>2661</c:v>
                </c:pt>
                <c:pt idx="77">
                  <c:v>2745</c:v>
                </c:pt>
                <c:pt idx="78">
                  <c:v>2370</c:v>
                </c:pt>
                <c:pt idx="79">
                  <c:v>2210</c:v>
                </c:pt>
                <c:pt idx="80">
                  <c:v>2736</c:v>
                </c:pt>
                <c:pt idx="81">
                  <c:v>2575</c:v>
                </c:pt>
                <c:pt idx="82">
                  <c:v>3290</c:v>
                </c:pt>
                <c:pt idx="83">
                  <c:v>2802</c:v>
                </c:pt>
                <c:pt idx="84">
                  <c:v>2844</c:v>
                </c:pt>
                <c:pt idx="85">
                  <c:v>2737</c:v>
                </c:pt>
                <c:pt idx="86">
                  <c:v>2984</c:v>
                </c:pt>
                <c:pt idx="87">
                  <c:v>2917</c:v>
                </c:pt>
                <c:pt idx="88">
                  <c:v>2557</c:v>
                </c:pt>
                <c:pt idx="89">
                  <c:v>3303</c:v>
                </c:pt>
                <c:pt idx="90">
                  <c:v>3182</c:v>
                </c:pt>
                <c:pt idx="91">
                  <c:v>3132</c:v>
                </c:pt>
                <c:pt idx="92">
                  <c:v>1720</c:v>
                </c:pt>
                <c:pt idx="93">
                  <c:v>1853</c:v>
                </c:pt>
                <c:pt idx="94">
                  <c:v>1980</c:v>
                </c:pt>
                <c:pt idx="95">
                  <c:v>1796</c:v>
                </c:pt>
                <c:pt idx="96">
                  <c:v>2080</c:v>
                </c:pt>
                <c:pt idx="97">
                  <c:v>2068</c:v>
                </c:pt>
                <c:pt idx="98">
                  <c:v>2784</c:v>
                </c:pt>
                <c:pt idx="99">
                  <c:v>2805</c:v>
                </c:pt>
                <c:pt idx="100">
                  <c:v>2295</c:v>
                </c:pt>
                <c:pt idx="101">
                  <c:v>2175</c:v>
                </c:pt>
                <c:pt idx="102">
                  <c:v>2400</c:v>
                </c:pt>
                <c:pt idx="103">
                  <c:v>2455</c:v>
                </c:pt>
                <c:pt idx="104">
                  <c:v>2842</c:v>
                </c:pt>
                <c:pt idx="105">
                  <c:v>2552</c:v>
                </c:pt>
                <c:pt idx="106">
                  <c:v>1400</c:v>
                </c:pt>
                <c:pt idx="107">
                  <c:v>1306</c:v>
                </c:pt>
                <c:pt idx="108">
                  <c:v>1779</c:v>
                </c:pt>
                <c:pt idx="109">
                  <c:v>1813</c:v>
                </c:pt>
                <c:pt idx="110">
                  <c:v>2383</c:v>
                </c:pt>
                <c:pt idx="111">
                  <c:v>2304</c:v>
                </c:pt>
                <c:pt idx="112">
                  <c:v>2118</c:v>
                </c:pt>
                <c:pt idx="113">
                  <c:v>1841</c:v>
                </c:pt>
                <c:pt idx="114">
                  <c:v>2352</c:v>
                </c:pt>
                <c:pt idx="115">
                  <c:v>2545</c:v>
                </c:pt>
                <c:pt idx="116">
                  <c:v>2303</c:v>
                </c:pt>
                <c:pt idx="117">
                  <c:v>2663</c:v>
                </c:pt>
                <c:pt idx="118">
                  <c:v>2187</c:v>
                </c:pt>
                <c:pt idx="119">
                  <c:v>2045</c:v>
                </c:pt>
                <c:pt idx="120">
                  <c:v>2317</c:v>
                </c:pt>
                <c:pt idx="121">
                  <c:v>2401</c:v>
                </c:pt>
                <c:pt idx="122">
                  <c:v>2321</c:v>
                </c:pt>
                <c:pt idx="123">
                  <c:v>1105</c:v>
                </c:pt>
                <c:pt idx="124">
                  <c:v>942</c:v>
                </c:pt>
                <c:pt idx="125">
                  <c:v>1131</c:v>
                </c:pt>
                <c:pt idx="126">
                  <c:v>1011</c:v>
                </c:pt>
                <c:pt idx="127">
                  <c:v>1372</c:v>
                </c:pt>
                <c:pt idx="128">
                  <c:v>1210</c:v>
                </c:pt>
                <c:pt idx="129">
                  <c:v>1340</c:v>
                </c:pt>
                <c:pt idx="130">
                  <c:v>1261</c:v>
                </c:pt>
                <c:pt idx="131">
                  <c:v>1660</c:v>
                </c:pt>
                <c:pt idx="132">
                  <c:v>1690</c:v>
                </c:pt>
                <c:pt idx="133">
                  <c:v>1592</c:v>
                </c:pt>
                <c:pt idx="134">
                  <c:v>1440</c:v>
                </c:pt>
                <c:pt idx="135">
                  <c:v>1602</c:v>
                </c:pt>
                <c:pt idx="136">
                  <c:v>1892</c:v>
                </c:pt>
                <c:pt idx="137">
                  <c:v>1865</c:v>
                </c:pt>
                <c:pt idx="138">
                  <c:v>1981</c:v>
                </c:pt>
                <c:pt idx="139">
                  <c:v>2052</c:v>
                </c:pt>
                <c:pt idx="140">
                  <c:v>2390</c:v>
                </c:pt>
                <c:pt idx="141">
                  <c:v>1958</c:v>
                </c:pt>
                <c:pt idx="142">
                  <c:v>2239</c:v>
                </c:pt>
                <c:pt idx="143">
                  <c:v>2537</c:v>
                </c:pt>
                <c:pt idx="144">
                  <c:v>2728</c:v>
                </c:pt>
                <c:pt idx="145">
                  <c:v>2772</c:v>
                </c:pt>
                <c:pt idx="146">
                  <c:v>2852</c:v>
                </c:pt>
                <c:pt idx="147">
                  <c:v>2699</c:v>
                </c:pt>
                <c:pt idx="148">
                  <c:v>2370</c:v>
                </c:pt>
                <c:pt idx="149">
                  <c:v>2538</c:v>
                </c:pt>
                <c:pt idx="150">
                  <c:v>2752</c:v>
                </c:pt>
                <c:pt idx="151">
                  <c:v>2331</c:v>
                </c:pt>
                <c:pt idx="152">
                  <c:v>2268</c:v>
                </c:pt>
                <c:pt idx="153">
                  <c:v>2432</c:v>
                </c:pt>
                <c:pt idx="154">
                  <c:v>2058</c:v>
                </c:pt>
                <c:pt idx="155">
                  <c:v>1922</c:v>
                </c:pt>
                <c:pt idx="156">
                  <c:v>1822</c:v>
                </c:pt>
                <c:pt idx="157">
                  <c:v>1765</c:v>
                </c:pt>
                <c:pt idx="158">
                  <c:v>2245</c:v>
                </c:pt>
                <c:pt idx="159">
                  <c:v>1741</c:v>
                </c:pt>
                <c:pt idx="160">
                  <c:v>2012</c:v>
                </c:pt>
                <c:pt idx="161">
                  <c:v>2615</c:v>
                </c:pt>
                <c:pt idx="162">
                  <c:v>2214</c:v>
                </c:pt>
                <c:pt idx="163">
                  <c:v>2123</c:v>
                </c:pt>
                <c:pt idx="164">
                  <c:v>1904</c:v>
                </c:pt>
                <c:pt idx="165">
                  <c:v>1682</c:v>
                </c:pt>
                <c:pt idx="166">
                  <c:v>1685</c:v>
                </c:pt>
                <c:pt idx="167">
                  <c:v>1417</c:v>
                </c:pt>
                <c:pt idx="168">
                  <c:v>1696</c:v>
                </c:pt>
                <c:pt idx="169">
                  <c:v>1823</c:v>
                </c:pt>
                <c:pt idx="170">
                  <c:v>1613</c:v>
                </c:pt>
                <c:pt idx="171">
                  <c:v>1987</c:v>
                </c:pt>
                <c:pt idx="172">
                  <c:v>2538</c:v>
                </c:pt>
                <c:pt idx="173">
                  <c:v>3001</c:v>
                </c:pt>
                <c:pt idx="174">
                  <c:v>2804</c:v>
                </c:pt>
                <c:pt idx="175">
                  <c:v>2898</c:v>
                </c:pt>
                <c:pt idx="176">
                  <c:v>3284</c:v>
                </c:pt>
                <c:pt idx="177">
                  <c:v>3124</c:v>
                </c:pt>
                <c:pt idx="178">
                  <c:v>3113</c:v>
                </c:pt>
                <c:pt idx="179">
                  <c:v>3075</c:v>
                </c:pt>
                <c:pt idx="180">
                  <c:v>3088</c:v>
                </c:pt>
                <c:pt idx="181">
                  <c:v>3189</c:v>
                </c:pt>
                <c:pt idx="182">
                  <c:v>3478</c:v>
                </c:pt>
                <c:pt idx="183">
                  <c:v>2203</c:v>
                </c:pt>
                <c:pt idx="184">
                  <c:v>2493</c:v>
                </c:pt>
                <c:pt idx="185">
                  <c:v>2609</c:v>
                </c:pt>
                <c:pt idx="186">
                  <c:v>2664</c:v>
                </c:pt>
                <c:pt idx="187">
                  <c:v>1655</c:v>
                </c:pt>
                <c:pt idx="188">
                  <c:v>1851</c:v>
                </c:pt>
                <c:pt idx="189">
                  <c:v>1778</c:v>
                </c:pt>
                <c:pt idx="190">
                  <c:v>1760</c:v>
                </c:pt>
                <c:pt idx="191">
                  <c:v>1783</c:v>
                </c:pt>
                <c:pt idx="192">
                  <c:v>1707</c:v>
                </c:pt>
                <c:pt idx="193">
                  <c:v>1694</c:v>
                </c:pt>
                <c:pt idx="194">
                  <c:v>2099</c:v>
                </c:pt>
                <c:pt idx="195">
                  <c:v>1565</c:v>
                </c:pt>
                <c:pt idx="196">
                  <c:v>1507</c:v>
                </c:pt>
                <c:pt idx="197">
                  <c:v>1746</c:v>
                </c:pt>
                <c:pt idx="198">
                  <c:v>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E-4D33-AAAA-D2DDE97F8A3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2022'!$H$259,'rolling 2022'!$H$259)</c:f>
              <c:numCache>
                <c:formatCode>0.000</c:formatCode>
                <c:ptCount val="2"/>
                <c:pt idx="0">
                  <c:v>3190.6935076255295</c:v>
                </c:pt>
                <c:pt idx="1">
                  <c:v>3190.6935076255295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E-4D33-AAAA-D2DDE97F8A3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2022'!$H$261,'rolling 2022'!$H$261)</c:f>
              <c:numCache>
                <c:formatCode>0.000</c:formatCode>
                <c:ptCount val="2"/>
                <c:pt idx="0">
                  <c:v>3687.439758925731</c:v>
                </c:pt>
                <c:pt idx="1">
                  <c:v>3687.439758925731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DE-4D33-AAAA-D2DDE97F8A3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2022'!$H$258,'rolling 2022'!$H$258)</c:f>
              <c:numCache>
                <c:formatCode>0.000</c:formatCode>
                <c:ptCount val="2"/>
                <c:pt idx="0">
                  <c:v>1203.7085024247219</c:v>
                </c:pt>
                <c:pt idx="1">
                  <c:v>1203.7085024247219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DE-4D33-AAAA-D2DDE97F8A3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2022'!$H$260,'rolling 2022'!$H$260)</c:f>
              <c:numCache>
                <c:formatCode>0.000</c:formatCode>
                <c:ptCount val="2"/>
                <c:pt idx="0">
                  <c:v>706.96225112452021</c:v>
                </c:pt>
                <c:pt idx="1">
                  <c:v>706.96225112452021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DE-4D33-AAAA-D2DDE97F8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 -  signal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2022'!$AS$45:$AS$254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83</c:v>
                </c:pt>
              </c:numCache>
            </c:numRef>
          </c:xVal>
          <c:yVal>
            <c:numRef>
              <c:f>'rolling 2022'!$AJ$45:$AJ$254</c:f>
              <c:numCache>
                <c:formatCode>#,##0</c:formatCode>
                <c:ptCount val="210"/>
                <c:pt idx="0">
                  <c:v>2514</c:v>
                </c:pt>
                <c:pt idx="1">
                  <c:v>2175</c:v>
                </c:pt>
                <c:pt idx="2">
                  <c:v>1905</c:v>
                </c:pt>
                <c:pt idx="3">
                  <c:v>1897</c:v>
                </c:pt>
                <c:pt idx="4">
                  <c:v>2096</c:v>
                </c:pt>
                <c:pt idx="5">
                  <c:v>2085</c:v>
                </c:pt>
                <c:pt idx="6">
                  <c:v>2785</c:v>
                </c:pt>
                <c:pt idx="7">
                  <c:v>1313</c:v>
                </c:pt>
                <c:pt idx="8">
                  <c:v>2363</c:v>
                </c:pt>
                <c:pt idx="10">
                  <c:v>2091</c:v>
                </c:pt>
                <c:pt idx="11">
                  <c:v>1929</c:v>
                </c:pt>
                <c:pt idx="12">
                  <c:v>1817</c:v>
                </c:pt>
                <c:pt idx="13">
                  <c:v>2420</c:v>
                </c:pt>
                <c:pt idx="14">
                  <c:v>2616</c:v>
                </c:pt>
                <c:pt idx="15">
                  <c:v>2649</c:v>
                </c:pt>
                <c:pt idx="16">
                  <c:v>2916</c:v>
                </c:pt>
                <c:pt idx="17">
                  <c:v>2611</c:v>
                </c:pt>
                <c:pt idx="18">
                  <c:v>2690</c:v>
                </c:pt>
                <c:pt idx="19">
                  <c:v>2019</c:v>
                </c:pt>
                <c:pt idx="20">
                  <c:v>2534</c:v>
                </c:pt>
                <c:pt idx="21">
                  <c:v>2254</c:v>
                </c:pt>
                <c:pt idx="22">
                  <c:v>1825</c:v>
                </c:pt>
                <c:pt idx="23">
                  <c:v>2034</c:v>
                </c:pt>
                <c:pt idx="24">
                  <c:v>2215</c:v>
                </c:pt>
                <c:pt idx="25">
                  <c:v>2572</c:v>
                </c:pt>
                <c:pt idx="26">
                  <c:v>2770</c:v>
                </c:pt>
                <c:pt idx="27">
                  <c:v>2201</c:v>
                </c:pt>
                <c:pt idx="28">
                  <c:v>2374</c:v>
                </c:pt>
                <c:pt idx="29">
                  <c:v>3207</c:v>
                </c:pt>
                <c:pt idx="30">
                  <c:v>1641</c:v>
                </c:pt>
                <c:pt idx="31">
                  <c:v>2102</c:v>
                </c:pt>
                <c:pt idx="32">
                  <c:v>2078</c:v>
                </c:pt>
                <c:pt idx="33">
                  <c:v>1780</c:v>
                </c:pt>
                <c:pt idx="34">
                  <c:v>2060</c:v>
                </c:pt>
                <c:pt idx="35">
                  <c:v>1503</c:v>
                </c:pt>
                <c:pt idx="36">
                  <c:v>1725</c:v>
                </c:pt>
                <c:pt idx="37">
                  <c:v>2134</c:v>
                </c:pt>
                <c:pt idx="38">
                  <c:v>1862</c:v>
                </c:pt>
                <c:pt idx="39">
                  <c:v>3107</c:v>
                </c:pt>
                <c:pt idx="40">
                  <c:v>2227</c:v>
                </c:pt>
                <c:pt idx="41">
                  <c:v>3195</c:v>
                </c:pt>
                <c:pt idx="42">
                  <c:v>2441</c:v>
                </c:pt>
                <c:pt idx="43">
                  <c:v>2680</c:v>
                </c:pt>
                <c:pt idx="44">
                  <c:v>2690</c:v>
                </c:pt>
                <c:pt idx="45">
                  <c:v>3785</c:v>
                </c:pt>
                <c:pt idx="46">
                  <c:v>1936</c:v>
                </c:pt>
                <c:pt idx="47">
                  <c:v>2219</c:v>
                </c:pt>
                <c:pt idx="48">
                  <c:v>2045</c:v>
                </c:pt>
                <c:pt idx="49">
                  <c:v>3573</c:v>
                </c:pt>
                <c:pt idx="50">
                  <c:v>2982</c:v>
                </c:pt>
                <c:pt idx="51">
                  <c:v>2285</c:v>
                </c:pt>
                <c:pt idx="52">
                  <c:v>2092</c:v>
                </c:pt>
                <c:pt idx="53">
                  <c:v>2233</c:v>
                </c:pt>
                <c:pt idx="54">
                  <c:v>1715</c:v>
                </c:pt>
                <c:pt idx="55">
                  <c:v>2284</c:v>
                </c:pt>
                <c:pt idx="56">
                  <c:v>2170</c:v>
                </c:pt>
                <c:pt idx="57">
                  <c:v>1961</c:v>
                </c:pt>
                <c:pt idx="58">
                  <c:v>2323</c:v>
                </c:pt>
                <c:pt idx="59">
                  <c:v>2461</c:v>
                </c:pt>
                <c:pt idx="60">
                  <c:v>2091</c:v>
                </c:pt>
                <c:pt idx="61">
                  <c:v>1994</c:v>
                </c:pt>
                <c:pt idx="62">
                  <c:v>1734</c:v>
                </c:pt>
                <c:pt idx="63">
                  <c:v>1893</c:v>
                </c:pt>
                <c:pt idx="64">
                  <c:v>2033</c:v>
                </c:pt>
                <c:pt idx="65">
                  <c:v>2960</c:v>
                </c:pt>
                <c:pt idx="66">
                  <c:v>1438</c:v>
                </c:pt>
                <c:pt idx="67">
                  <c:v>2143</c:v>
                </c:pt>
                <c:pt idx="68">
                  <c:v>2063</c:v>
                </c:pt>
                <c:pt idx="69">
                  <c:v>2390</c:v>
                </c:pt>
                <c:pt idx="70">
                  <c:v>1982</c:v>
                </c:pt>
                <c:pt idx="71">
                  <c:v>2456</c:v>
                </c:pt>
                <c:pt idx="72">
                  <c:v>1790</c:v>
                </c:pt>
                <c:pt idx="74">
                  <c:v>2142</c:v>
                </c:pt>
                <c:pt idx="75">
                  <c:v>2928</c:v>
                </c:pt>
                <c:pt idx="76">
                  <c:v>2405</c:v>
                </c:pt>
                <c:pt idx="77">
                  <c:v>1748</c:v>
                </c:pt>
                <c:pt idx="78">
                  <c:v>2572</c:v>
                </c:pt>
                <c:pt idx="79">
                  <c:v>1846</c:v>
                </c:pt>
                <c:pt idx="80">
                  <c:v>1700</c:v>
                </c:pt>
                <c:pt idx="81">
                  <c:v>1641</c:v>
                </c:pt>
                <c:pt idx="82">
                  <c:v>2882</c:v>
                </c:pt>
                <c:pt idx="83">
                  <c:v>1535</c:v>
                </c:pt>
                <c:pt idx="84">
                  <c:v>2216</c:v>
                </c:pt>
                <c:pt idx="85">
                  <c:v>1859</c:v>
                </c:pt>
                <c:pt idx="86">
                  <c:v>2211</c:v>
                </c:pt>
                <c:pt idx="87">
                  <c:v>1969</c:v>
                </c:pt>
                <c:pt idx="88">
                  <c:v>1699</c:v>
                </c:pt>
                <c:pt idx="89">
                  <c:v>2199</c:v>
                </c:pt>
                <c:pt idx="90">
                  <c:v>2089</c:v>
                </c:pt>
                <c:pt idx="91">
                  <c:v>2339</c:v>
                </c:pt>
                <c:pt idx="92">
                  <c:v>2091</c:v>
                </c:pt>
                <c:pt idx="93">
                  <c:v>2037</c:v>
                </c:pt>
                <c:pt idx="94">
                  <c:v>2432</c:v>
                </c:pt>
                <c:pt idx="95">
                  <c:v>2391</c:v>
                </c:pt>
                <c:pt idx="96">
                  <c:v>2661</c:v>
                </c:pt>
                <c:pt idx="97">
                  <c:v>3146</c:v>
                </c:pt>
                <c:pt idx="98">
                  <c:v>2530</c:v>
                </c:pt>
                <c:pt idx="99">
                  <c:v>1750</c:v>
                </c:pt>
                <c:pt idx="100">
                  <c:v>2281</c:v>
                </c:pt>
                <c:pt idx="101">
                  <c:v>1664</c:v>
                </c:pt>
                <c:pt idx="102">
                  <c:v>2505</c:v>
                </c:pt>
                <c:pt idx="103">
                  <c:v>1928</c:v>
                </c:pt>
                <c:pt idx="104">
                  <c:v>1771</c:v>
                </c:pt>
                <c:pt idx="105">
                  <c:v>2796</c:v>
                </c:pt>
                <c:pt idx="106">
                  <c:v>2752</c:v>
                </c:pt>
                <c:pt idx="107">
                  <c:v>2782</c:v>
                </c:pt>
                <c:pt idx="108">
                  <c:v>1989</c:v>
                </c:pt>
                <c:pt idx="109">
                  <c:v>2411</c:v>
                </c:pt>
                <c:pt idx="110">
                  <c:v>2019</c:v>
                </c:pt>
                <c:pt idx="111">
                  <c:v>1894</c:v>
                </c:pt>
                <c:pt idx="112">
                  <c:v>2429</c:v>
                </c:pt>
                <c:pt idx="113">
                  <c:v>2060</c:v>
                </c:pt>
                <c:pt idx="114">
                  <c:v>2855</c:v>
                </c:pt>
                <c:pt idx="115">
                  <c:v>3193</c:v>
                </c:pt>
                <c:pt idx="116">
                  <c:v>1939</c:v>
                </c:pt>
                <c:pt idx="117">
                  <c:v>2113</c:v>
                </c:pt>
                <c:pt idx="118">
                  <c:v>1796</c:v>
                </c:pt>
                <c:pt idx="119">
                  <c:v>2300</c:v>
                </c:pt>
                <c:pt idx="120">
                  <c:v>2361</c:v>
                </c:pt>
                <c:pt idx="121">
                  <c:v>2108</c:v>
                </c:pt>
                <c:pt idx="122">
                  <c:v>1557</c:v>
                </c:pt>
                <c:pt idx="123">
                  <c:v>1757</c:v>
                </c:pt>
                <c:pt idx="124">
                  <c:v>2445</c:v>
                </c:pt>
                <c:pt idx="125">
                  <c:v>1884</c:v>
                </c:pt>
                <c:pt idx="126">
                  <c:v>1845</c:v>
                </c:pt>
                <c:pt idx="127">
                  <c:v>1848</c:v>
                </c:pt>
                <c:pt idx="128">
                  <c:v>2451</c:v>
                </c:pt>
                <c:pt idx="129">
                  <c:v>3527</c:v>
                </c:pt>
                <c:pt idx="130">
                  <c:v>2494</c:v>
                </c:pt>
                <c:pt idx="131">
                  <c:v>3719</c:v>
                </c:pt>
                <c:pt idx="132">
                  <c:v>2454</c:v>
                </c:pt>
                <c:pt idx="133">
                  <c:v>2378</c:v>
                </c:pt>
                <c:pt idx="134">
                  <c:v>2819</c:v>
                </c:pt>
                <c:pt idx="135">
                  <c:v>2658</c:v>
                </c:pt>
                <c:pt idx="136">
                  <c:v>1987</c:v>
                </c:pt>
                <c:pt idx="137">
                  <c:v>2522</c:v>
                </c:pt>
                <c:pt idx="138">
                  <c:v>3867</c:v>
                </c:pt>
                <c:pt idx="139">
                  <c:v>1963</c:v>
                </c:pt>
                <c:pt idx="140">
                  <c:v>2343</c:v>
                </c:pt>
                <c:pt idx="141">
                  <c:v>2365</c:v>
                </c:pt>
                <c:pt idx="142">
                  <c:v>2437</c:v>
                </c:pt>
                <c:pt idx="143">
                  <c:v>3832</c:v>
                </c:pt>
                <c:pt idx="144">
                  <c:v>2662</c:v>
                </c:pt>
                <c:pt idx="145">
                  <c:v>2672</c:v>
                </c:pt>
                <c:pt idx="146">
                  <c:v>2856</c:v>
                </c:pt>
                <c:pt idx="147">
                  <c:v>2736</c:v>
                </c:pt>
                <c:pt idx="148">
                  <c:v>2535</c:v>
                </c:pt>
                <c:pt idx="149">
                  <c:v>3150</c:v>
                </c:pt>
                <c:pt idx="150">
                  <c:v>2609</c:v>
                </c:pt>
                <c:pt idx="151">
                  <c:v>3300</c:v>
                </c:pt>
                <c:pt idx="152">
                  <c:v>2352</c:v>
                </c:pt>
                <c:pt idx="153">
                  <c:v>2567</c:v>
                </c:pt>
                <c:pt idx="154">
                  <c:v>2359</c:v>
                </c:pt>
                <c:pt idx="155">
                  <c:v>1523</c:v>
                </c:pt>
                <c:pt idx="156">
                  <c:v>2290</c:v>
                </c:pt>
                <c:pt idx="157">
                  <c:v>2100</c:v>
                </c:pt>
                <c:pt idx="158">
                  <c:v>1926</c:v>
                </c:pt>
                <c:pt idx="159">
                  <c:v>2208</c:v>
                </c:pt>
                <c:pt idx="160">
                  <c:v>2097</c:v>
                </c:pt>
                <c:pt idx="161">
                  <c:v>2845</c:v>
                </c:pt>
                <c:pt idx="162">
                  <c:v>2516</c:v>
                </c:pt>
                <c:pt idx="163">
                  <c:v>1968</c:v>
                </c:pt>
                <c:pt idx="164">
                  <c:v>2016</c:v>
                </c:pt>
                <c:pt idx="165">
                  <c:v>2675</c:v>
                </c:pt>
                <c:pt idx="166">
                  <c:v>2293</c:v>
                </c:pt>
                <c:pt idx="167">
                  <c:v>2453</c:v>
                </c:pt>
                <c:pt idx="168">
                  <c:v>2633</c:v>
                </c:pt>
                <c:pt idx="169">
                  <c:v>2307</c:v>
                </c:pt>
                <c:pt idx="170">
                  <c:v>2526</c:v>
                </c:pt>
                <c:pt idx="171">
                  <c:v>2675</c:v>
                </c:pt>
                <c:pt idx="172">
                  <c:v>2481</c:v>
                </c:pt>
                <c:pt idx="173">
                  <c:v>2217</c:v>
                </c:pt>
                <c:pt idx="174">
                  <c:v>2051</c:v>
                </c:pt>
                <c:pt idx="175">
                  <c:v>2281</c:v>
                </c:pt>
                <c:pt idx="176">
                  <c:v>2852</c:v>
                </c:pt>
                <c:pt idx="177">
                  <c:v>2032</c:v>
                </c:pt>
                <c:pt idx="178">
                  <c:v>2184</c:v>
                </c:pt>
                <c:pt idx="179">
                  <c:v>1861</c:v>
                </c:pt>
                <c:pt idx="180">
                  <c:v>2192</c:v>
                </c:pt>
                <c:pt idx="181">
                  <c:v>2495</c:v>
                </c:pt>
                <c:pt idx="182">
                  <c:v>2243</c:v>
                </c:pt>
                <c:pt idx="183">
                  <c:v>2592</c:v>
                </c:pt>
                <c:pt idx="184">
                  <c:v>2642</c:v>
                </c:pt>
                <c:pt idx="185">
                  <c:v>1795</c:v>
                </c:pt>
                <c:pt idx="186">
                  <c:v>2608</c:v>
                </c:pt>
                <c:pt idx="187">
                  <c:v>3169</c:v>
                </c:pt>
                <c:pt idx="188">
                  <c:v>2789</c:v>
                </c:pt>
                <c:pt idx="189">
                  <c:v>2743</c:v>
                </c:pt>
                <c:pt idx="190">
                  <c:v>2482</c:v>
                </c:pt>
                <c:pt idx="191">
                  <c:v>1773</c:v>
                </c:pt>
                <c:pt idx="192">
                  <c:v>2079</c:v>
                </c:pt>
                <c:pt idx="193">
                  <c:v>2581</c:v>
                </c:pt>
                <c:pt idx="194">
                  <c:v>3004</c:v>
                </c:pt>
                <c:pt idx="195">
                  <c:v>2437</c:v>
                </c:pt>
                <c:pt idx="196">
                  <c:v>3023</c:v>
                </c:pt>
                <c:pt idx="197">
                  <c:v>2633</c:v>
                </c:pt>
                <c:pt idx="198">
                  <c:v>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7-4283-B337-91E5925A967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2022'!$AS$255:$AS$258</c:f>
              <c:numCache>
                <c:formatCode>General</c:formatCode>
                <c:ptCount val="4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2022'!$AJ$259,'rolling 2022'!$AJ$259)</c:f>
              <c:numCache>
                <c:formatCode>0.000</c:formatCode>
                <c:ptCount val="2"/>
                <c:pt idx="0">
                  <c:v>3275.7678989339593</c:v>
                </c:pt>
                <c:pt idx="1">
                  <c:v>3275.7678989339593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7-4283-B337-91E5925A967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2022'!$AJ$261,'rolling 2022'!$AJ$261)</c:f>
              <c:numCache>
                <c:formatCode>0.000</c:formatCode>
                <c:ptCount val="2"/>
                <c:pt idx="0">
                  <c:v>3745.7026098222586</c:v>
                </c:pt>
                <c:pt idx="1">
                  <c:v>3745.7026098222586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27-4283-B337-91E5925A967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2022'!$AJ$258,'rolling 2022'!$AJ$258)</c:f>
              <c:numCache>
                <c:formatCode>0.000</c:formatCode>
                <c:ptCount val="2"/>
                <c:pt idx="0">
                  <c:v>1396.0290553807617</c:v>
                </c:pt>
                <c:pt idx="1">
                  <c:v>1396.0290553807617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27-4283-B337-91E5925A967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2022'!$AJ$260,'rolling 2022'!$AJ$260)</c:f>
              <c:numCache>
                <c:formatCode>0.000</c:formatCode>
                <c:ptCount val="2"/>
                <c:pt idx="0">
                  <c:v>926.0943444924626</c:v>
                </c:pt>
                <c:pt idx="1">
                  <c:v>926.0943444924626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27-4283-B337-91E5925A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 - signal vs date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2022'!$C$45:$C$254</c:f>
              <c:numCache>
                <c:formatCode>m/d/yyyy\ h:mm</c:formatCode>
                <c:ptCount val="210"/>
                <c:pt idx="0">
                  <c:v>43644.386655092596</c:v>
                </c:pt>
                <c:pt idx="1">
                  <c:v>43648.387372685182</c:v>
                </c:pt>
                <c:pt idx="2">
                  <c:v>43649.417638888888</c:v>
                </c:pt>
                <c:pt idx="3">
                  <c:v>43651.393090277779</c:v>
                </c:pt>
                <c:pt idx="4">
                  <c:v>43655.381979166668</c:v>
                </c:pt>
                <c:pt idx="5">
                  <c:v>43658.378159722219</c:v>
                </c:pt>
                <c:pt idx="6">
                  <c:v>43662.386180555557</c:v>
                </c:pt>
                <c:pt idx="7">
                  <c:v>43664.427870370368</c:v>
                </c:pt>
                <c:pt idx="8">
                  <c:v>43665.441331018519</c:v>
                </c:pt>
                <c:pt idx="9">
                  <c:v>43669.385995370372</c:v>
                </c:pt>
                <c:pt idx="10">
                  <c:v>43672.518773148149</c:v>
                </c:pt>
                <c:pt idx="11">
                  <c:v>43675.412280092591</c:v>
                </c:pt>
                <c:pt idx="12">
                  <c:v>43676.385439814818</c:v>
                </c:pt>
                <c:pt idx="13">
                  <c:v>43678.675104166665</c:v>
                </c:pt>
                <c:pt idx="14">
                  <c:v>43679.381909722222</c:v>
                </c:pt>
                <c:pt idx="15">
                  <c:v>43683.356608796297</c:v>
                </c:pt>
                <c:pt idx="16">
                  <c:v>43686.355717592596</c:v>
                </c:pt>
                <c:pt idx="17">
                  <c:v>43690.376145833332</c:v>
                </c:pt>
                <c:pt idx="18">
                  <c:v>43692.643831018519</c:v>
                </c:pt>
                <c:pt idx="19">
                  <c:v>43693.669236111113</c:v>
                </c:pt>
                <c:pt idx="20">
                  <c:v>43697.383472222224</c:v>
                </c:pt>
                <c:pt idx="21">
                  <c:v>43699.445925925924</c:v>
                </c:pt>
                <c:pt idx="22">
                  <c:v>43700.742337962962</c:v>
                </c:pt>
                <c:pt idx="23">
                  <c:v>43710.693437499998</c:v>
                </c:pt>
                <c:pt idx="24">
                  <c:v>43713.359664351854</c:v>
                </c:pt>
                <c:pt idx="25">
                  <c:v>43725.396747685183</c:v>
                </c:pt>
                <c:pt idx="26">
                  <c:v>43731.419814814813</c:v>
                </c:pt>
                <c:pt idx="27">
                  <c:v>43738.392766203702</c:v>
                </c:pt>
                <c:pt idx="28">
                  <c:v>43745.365636574075</c:v>
                </c:pt>
                <c:pt idx="29">
                  <c:v>43747.433749999997</c:v>
                </c:pt>
                <c:pt idx="30">
                  <c:v>43752.377430555556</c:v>
                </c:pt>
                <c:pt idx="31">
                  <c:v>43755.388819444444</c:v>
                </c:pt>
                <c:pt idx="32">
                  <c:v>43759.360185185185</c:v>
                </c:pt>
                <c:pt idx="33">
                  <c:v>43761.448819444442</c:v>
                </c:pt>
                <c:pt idx="34">
                  <c:v>43762.734317129631</c:v>
                </c:pt>
                <c:pt idx="35">
                  <c:v>43781.379062499997</c:v>
                </c:pt>
                <c:pt idx="36">
                  <c:v>43784.775092592594</c:v>
                </c:pt>
                <c:pt idx="37">
                  <c:v>43790.362037037034</c:v>
                </c:pt>
                <c:pt idx="38">
                  <c:v>43858.485798611109</c:v>
                </c:pt>
                <c:pt idx="39">
                  <c:v>43873.561620370368</c:v>
                </c:pt>
                <c:pt idx="40">
                  <c:v>43880.510497685187</c:v>
                </c:pt>
                <c:pt idx="41">
                  <c:v>43893.655358796299</c:v>
                </c:pt>
                <c:pt idx="42">
                  <c:v>43899.56391203704</c:v>
                </c:pt>
                <c:pt idx="43">
                  <c:v>43907.483217592591</c:v>
                </c:pt>
                <c:pt idx="44">
                  <c:v>43908.43346064815</c:v>
                </c:pt>
                <c:pt idx="45">
                  <c:v>44004.477708333332</c:v>
                </c:pt>
                <c:pt idx="46">
                  <c:v>44004.543912037036</c:v>
                </c:pt>
                <c:pt idx="47">
                  <c:v>44004.565127314818</c:v>
                </c:pt>
                <c:pt idx="48">
                  <c:v>44004.586342592593</c:v>
                </c:pt>
                <c:pt idx="49">
                  <c:v>44005.428136574075</c:v>
                </c:pt>
                <c:pt idx="50">
                  <c:v>44006.384895833333</c:v>
                </c:pt>
                <c:pt idx="51">
                  <c:v>44007.444143518522</c:v>
                </c:pt>
                <c:pt idx="52">
                  <c:v>44008.458078703705</c:v>
                </c:pt>
                <c:pt idx="53">
                  <c:v>44012.426736111112</c:v>
                </c:pt>
                <c:pt idx="54">
                  <c:v>44015.431793981479</c:v>
                </c:pt>
                <c:pt idx="55">
                  <c:v>44019.450856481482</c:v>
                </c:pt>
                <c:pt idx="56">
                  <c:v>44021.409803240742</c:v>
                </c:pt>
                <c:pt idx="57">
                  <c:v>44022.432905092595</c:v>
                </c:pt>
                <c:pt idx="58">
                  <c:v>44032.428101851852</c:v>
                </c:pt>
                <c:pt idx="59">
                  <c:v>44036.418425925927</c:v>
                </c:pt>
                <c:pt idx="60">
                  <c:v>44040.484027777777</c:v>
                </c:pt>
                <c:pt idx="61">
                  <c:v>44042.393506944441</c:v>
                </c:pt>
                <c:pt idx="62">
                  <c:v>44043.416458333333</c:v>
                </c:pt>
                <c:pt idx="63">
                  <c:v>44047.436724537038</c:v>
                </c:pt>
                <c:pt idx="64">
                  <c:v>44050.415752314817</c:v>
                </c:pt>
                <c:pt idx="65">
                  <c:v>44053.412754629629</c:v>
                </c:pt>
                <c:pt idx="66">
                  <c:v>44054.460138888891</c:v>
                </c:pt>
                <c:pt idx="67">
                  <c:v>44061.413425925923</c:v>
                </c:pt>
                <c:pt idx="68">
                  <c:v>44064.492615740739</c:v>
                </c:pt>
                <c:pt idx="69">
                  <c:v>44068.399525462963</c:v>
                </c:pt>
                <c:pt idx="70">
                  <c:v>44076.483263888891</c:v>
                </c:pt>
                <c:pt idx="71">
                  <c:v>44077.492349537039</c:v>
                </c:pt>
                <c:pt idx="72">
                  <c:v>44078.547997685186</c:v>
                </c:pt>
                <c:pt idx="73">
                  <c:v>44082.386331018519</c:v>
                </c:pt>
                <c:pt idx="74">
                  <c:v>44088.482928240737</c:v>
                </c:pt>
                <c:pt idx="75">
                  <c:v>44090.43959490741</c:v>
                </c:pt>
                <c:pt idx="76">
                  <c:v>44091.437280092592</c:v>
                </c:pt>
                <c:pt idx="77">
                  <c:v>44092.418599537035</c:v>
                </c:pt>
                <c:pt idx="78">
                  <c:v>44096.440578703703</c:v>
                </c:pt>
                <c:pt idx="79">
                  <c:v>44105.466747685183</c:v>
                </c:pt>
                <c:pt idx="80">
                  <c:v>44106.421458333331</c:v>
                </c:pt>
                <c:pt idx="81">
                  <c:v>44110.423055555555</c:v>
                </c:pt>
                <c:pt idx="82">
                  <c:v>44111.41369212963</c:v>
                </c:pt>
                <c:pt idx="83">
                  <c:v>44118.511516203704</c:v>
                </c:pt>
                <c:pt idx="84">
                  <c:v>44119.478043981479</c:v>
                </c:pt>
                <c:pt idx="85">
                  <c:v>44124.425856481481</c:v>
                </c:pt>
                <c:pt idx="86">
                  <c:v>44131.448321759257</c:v>
                </c:pt>
                <c:pt idx="87">
                  <c:v>44133.528877314813</c:v>
                </c:pt>
                <c:pt idx="88">
                  <c:v>44138.442881944444</c:v>
                </c:pt>
                <c:pt idx="89">
                  <c:v>44140.434560185182</c:v>
                </c:pt>
                <c:pt idx="90">
                  <c:v>44145.622662037036</c:v>
                </c:pt>
                <c:pt idx="91">
                  <c:v>44146.388912037037</c:v>
                </c:pt>
                <c:pt idx="92">
                  <c:v>44168.494421296295</c:v>
                </c:pt>
                <c:pt idx="93">
                  <c:v>44168.5156712963</c:v>
                </c:pt>
                <c:pt idx="94">
                  <c:v>44173.457974537036</c:v>
                </c:pt>
                <c:pt idx="95">
                  <c:v>44174.441469907404</c:v>
                </c:pt>
                <c:pt idx="96">
                  <c:v>44175.440532407411</c:v>
                </c:pt>
                <c:pt idx="97">
                  <c:v>44236.479155092595</c:v>
                </c:pt>
                <c:pt idx="98">
                  <c:v>44237.60083333333</c:v>
                </c:pt>
                <c:pt idx="99">
                  <c:v>44237.64335648148</c:v>
                </c:pt>
                <c:pt idx="100">
                  <c:v>44251.65152777778</c:v>
                </c:pt>
                <c:pt idx="101">
                  <c:v>44256.458356481482</c:v>
                </c:pt>
                <c:pt idx="102">
                  <c:v>44257.425081018519</c:v>
                </c:pt>
                <c:pt idx="103">
                  <c:v>44257.446319444447</c:v>
                </c:pt>
                <c:pt idx="104">
                  <c:v>44257.467557870368</c:v>
                </c:pt>
                <c:pt idx="105">
                  <c:v>44266.451840277776</c:v>
                </c:pt>
                <c:pt idx="106">
                  <c:v>44271.474594907406</c:v>
                </c:pt>
                <c:pt idx="107">
                  <c:v>44272.501458333332</c:v>
                </c:pt>
                <c:pt idx="108">
                  <c:v>44278.595486111109</c:v>
                </c:pt>
                <c:pt idx="109">
                  <c:v>44292.535810185182</c:v>
                </c:pt>
                <c:pt idx="110">
                  <c:v>44293.464386574073</c:v>
                </c:pt>
                <c:pt idx="111">
                  <c:v>44293.506956018522</c:v>
                </c:pt>
                <c:pt idx="112">
                  <c:v>44293.528240740743</c:v>
                </c:pt>
                <c:pt idx="113">
                  <c:v>44305.429097222222</c:v>
                </c:pt>
                <c:pt idx="114">
                  <c:v>44320.443414351852</c:v>
                </c:pt>
                <c:pt idx="115">
                  <c:v>44323.459027777775</c:v>
                </c:pt>
                <c:pt idx="116">
                  <c:v>44334.443414351852</c:v>
                </c:pt>
                <c:pt idx="117">
                  <c:v>44335.403101851851</c:v>
                </c:pt>
                <c:pt idx="118">
                  <c:v>44336.708981481483</c:v>
                </c:pt>
                <c:pt idx="119">
                  <c:v>44340.400763888887</c:v>
                </c:pt>
                <c:pt idx="120">
                  <c:v>44341.434062499997</c:v>
                </c:pt>
                <c:pt idx="121">
                  <c:v>44342.415543981479</c:v>
                </c:pt>
                <c:pt idx="122">
                  <c:v>44348.458194444444</c:v>
                </c:pt>
                <c:pt idx="123">
                  <c:v>44350.430763888886</c:v>
                </c:pt>
                <c:pt idx="124">
                  <c:v>44361.486192129632</c:v>
                </c:pt>
                <c:pt idx="125">
                  <c:v>44362.380115740743</c:v>
                </c:pt>
                <c:pt idx="126">
                  <c:v>44370.476168981484</c:v>
                </c:pt>
                <c:pt idx="127">
                  <c:v>44375.432523148149</c:v>
                </c:pt>
                <c:pt idx="128">
                  <c:v>44376.579953703702</c:v>
                </c:pt>
                <c:pt idx="129">
                  <c:v>44386.441377314812</c:v>
                </c:pt>
                <c:pt idx="130">
                  <c:v>44389.426828703705</c:v>
                </c:pt>
                <c:pt idx="131">
                  <c:v>44391.56659722222</c:v>
                </c:pt>
                <c:pt idx="132">
                  <c:v>44392.571597222224</c:v>
                </c:pt>
                <c:pt idx="133">
                  <c:v>44393.482928240737</c:v>
                </c:pt>
                <c:pt idx="134">
                  <c:v>44399.430960648147</c:v>
                </c:pt>
                <c:pt idx="135">
                  <c:v>44404.454675925925</c:v>
                </c:pt>
                <c:pt idx="136">
                  <c:v>44411.536504629628</c:v>
                </c:pt>
                <c:pt idx="137">
                  <c:v>44412.443009259259</c:v>
                </c:pt>
                <c:pt idx="138">
                  <c:v>44413.430879629632</c:v>
                </c:pt>
                <c:pt idx="139">
                  <c:v>44414.417905092596</c:v>
                </c:pt>
                <c:pt idx="140">
                  <c:v>44418.445983796293</c:v>
                </c:pt>
                <c:pt idx="141">
                  <c:v>44425.484016203707</c:v>
                </c:pt>
                <c:pt idx="142">
                  <c:v>44432.654768518521</c:v>
                </c:pt>
                <c:pt idx="143">
                  <c:v>44440.508067129631</c:v>
                </c:pt>
                <c:pt idx="144">
                  <c:v>44446.524814814817</c:v>
                </c:pt>
                <c:pt idx="145">
                  <c:v>44454.42224537037</c:v>
                </c:pt>
                <c:pt idx="146">
                  <c:v>44461.441782407404</c:v>
                </c:pt>
                <c:pt idx="147">
                  <c:v>44467.611909722225</c:v>
                </c:pt>
                <c:pt idx="148">
                  <c:v>44474.540543981479</c:v>
                </c:pt>
                <c:pt idx="149">
                  <c:v>44481.414814814816</c:v>
                </c:pt>
                <c:pt idx="150">
                  <c:v>44482.6172337963</c:v>
                </c:pt>
                <c:pt idx="151">
                  <c:v>44488.440300925926</c:v>
                </c:pt>
                <c:pt idx="152">
                  <c:v>44495.502974537034</c:v>
                </c:pt>
                <c:pt idx="153">
                  <c:v>44496.452384259261</c:v>
                </c:pt>
                <c:pt idx="154">
                  <c:v>44504.43577546296</c:v>
                </c:pt>
                <c:pt idx="155">
                  <c:v>44505.465243055558</c:v>
                </c:pt>
                <c:pt idx="156">
                  <c:v>44508.392534722225</c:v>
                </c:pt>
                <c:pt idx="157">
                  <c:v>44509.558634259258</c:v>
                </c:pt>
                <c:pt idx="158">
                  <c:v>44510.408750000002</c:v>
                </c:pt>
                <c:pt idx="159">
                  <c:v>44523.45416666667</c:v>
                </c:pt>
                <c:pt idx="160">
                  <c:v>44530.411874999998</c:v>
                </c:pt>
                <c:pt idx="161">
                  <c:v>44531.490162037036</c:v>
                </c:pt>
                <c:pt idx="162">
                  <c:v>44532.550416666665</c:v>
                </c:pt>
                <c:pt idx="163">
                  <c:v>44537.416134259256</c:v>
                </c:pt>
                <c:pt idx="164">
                  <c:v>44538.434629629628</c:v>
                </c:pt>
                <c:pt idx="165">
                  <c:v>44539.465960648151</c:v>
                </c:pt>
                <c:pt idx="166">
                  <c:v>44543.436793981484</c:v>
                </c:pt>
                <c:pt idx="167">
                  <c:v>44544.423796296294</c:v>
                </c:pt>
                <c:pt idx="168">
                  <c:v>44545.406817129631</c:v>
                </c:pt>
                <c:pt idx="169">
                  <c:v>44550.507071759261</c:v>
                </c:pt>
                <c:pt idx="170">
                  <c:v>44551.47861111111</c:v>
                </c:pt>
                <c:pt idx="171">
                  <c:v>44588.425208333334</c:v>
                </c:pt>
                <c:pt idx="172">
                  <c:v>44593.423634259256</c:v>
                </c:pt>
                <c:pt idx="173">
                  <c:v>44595.60193287037</c:v>
                </c:pt>
                <c:pt idx="174">
                  <c:v>44595.623171296298</c:v>
                </c:pt>
                <c:pt idx="175">
                  <c:v>44595.644409722219</c:v>
                </c:pt>
                <c:pt idx="176">
                  <c:v>44595.665671296294</c:v>
                </c:pt>
                <c:pt idx="177">
                  <c:v>44595.686909722222</c:v>
                </c:pt>
                <c:pt idx="178">
                  <c:v>44595.70815972222</c:v>
                </c:pt>
                <c:pt idx="179">
                  <c:v>44595.729398148149</c:v>
                </c:pt>
                <c:pt idx="180">
                  <c:v>44595.750659722224</c:v>
                </c:pt>
                <c:pt idx="181">
                  <c:v>44595.771898148145</c:v>
                </c:pt>
                <c:pt idx="182">
                  <c:v>44595.793171296296</c:v>
                </c:pt>
                <c:pt idx="183">
                  <c:v>44599.657569444447</c:v>
                </c:pt>
                <c:pt idx="184">
                  <c:v>44599.678842592592</c:v>
                </c:pt>
                <c:pt idx="185">
                  <c:v>44599.700104166666</c:v>
                </c:pt>
                <c:pt idx="186">
                  <c:v>44599.721388888887</c:v>
                </c:pt>
                <c:pt idx="187">
                  <c:v>44616.435497685183</c:v>
                </c:pt>
                <c:pt idx="188">
                  <c:v>44617.643645833334</c:v>
                </c:pt>
                <c:pt idx="189">
                  <c:v>44627.651296296295</c:v>
                </c:pt>
                <c:pt idx="190">
                  <c:v>44707.660787037035</c:v>
                </c:pt>
                <c:pt idx="191">
                  <c:v>44713.526435185187</c:v>
                </c:pt>
                <c:pt idx="192">
                  <c:v>44720.447534722225</c:v>
                </c:pt>
                <c:pt idx="193">
                  <c:v>44725.415613425925</c:v>
                </c:pt>
                <c:pt idx="194">
                  <c:v>44726.421898148146</c:v>
                </c:pt>
                <c:pt idx="195">
                  <c:v>44728.453333333331</c:v>
                </c:pt>
                <c:pt idx="196">
                  <c:v>44733.491574074076</c:v>
                </c:pt>
                <c:pt idx="197">
                  <c:v>44739.454305555555</c:v>
                </c:pt>
                <c:pt idx="198">
                  <c:v>44740.530740740738</c:v>
                </c:pt>
              </c:numCache>
            </c:numRef>
          </c:xVal>
          <c:yVal>
            <c:numRef>
              <c:f>'rolling 2022'!$H$45:$H$254</c:f>
              <c:numCache>
                <c:formatCode>#,##0</c:formatCode>
                <c:ptCount val="210"/>
                <c:pt idx="0">
                  <c:v>1915</c:v>
                </c:pt>
                <c:pt idx="1">
                  <c:v>2022</c:v>
                </c:pt>
                <c:pt idx="2">
                  <c:v>2704</c:v>
                </c:pt>
                <c:pt idx="3">
                  <c:v>2459</c:v>
                </c:pt>
                <c:pt idx="4">
                  <c:v>2762</c:v>
                </c:pt>
                <c:pt idx="5">
                  <c:v>1561</c:v>
                </c:pt>
                <c:pt idx="6">
                  <c:v>1767</c:v>
                </c:pt>
                <c:pt idx="7">
                  <c:v>1577</c:v>
                </c:pt>
                <c:pt idx="8">
                  <c:v>1778</c:v>
                </c:pt>
                <c:pt idx="9">
                  <c:v>1617</c:v>
                </c:pt>
                <c:pt idx="10">
                  <c:v>1806</c:v>
                </c:pt>
                <c:pt idx="11">
                  <c:v>1748</c:v>
                </c:pt>
                <c:pt idx="12">
                  <c:v>1659</c:v>
                </c:pt>
                <c:pt idx="13">
                  <c:v>2906</c:v>
                </c:pt>
                <c:pt idx="14">
                  <c:v>1946</c:v>
                </c:pt>
                <c:pt idx="15">
                  <c:v>1872</c:v>
                </c:pt>
                <c:pt idx="16">
                  <c:v>1407</c:v>
                </c:pt>
                <c:pt idx="17">
                  <c:v>1867</c:v>
                </c:pt>
                <c:pt idx="18">
                  <c:v>2207</c:v>
                </c:pt>
                <c:pt idx="19">
                  <c:v>1721</c:v>
                </c:pt>
                <c:pt idx="20">
                  <c:v>1613</c:v>
                </c:pt>
                <c:pt idx="21">
                  <c:v>1955</c:v>
                </c:pt>
                <c:pt idx="22">
                  <c:v>1730</c:v>
                </c:pt>
                <c:pt idx="23">
                  <c:v>1586</c:v>
                </c:pt>
                <c:pt idx="24">
                  <c:v>2155</c:v>
                </c:pt>
                <c:pt idx="25">
                  <c:v>2169</c:v>
                </c:pt>
                <c:pt idx="26">
                  <c:v>1924</c:v>
                </c:pt>
                <c:pt idx="27">
                  <c:v>2329</c:v>
                </c:pt>
                <c:pt idx="28">
                  <c:v>1809</c:v>
                </c:pt>
                <c:pt idx="29">
                  <c:v>2430</c:v>
                </c:pt>
                <c:pt idx="30">
                  <c:v>1985</c:v>
                </c:pt>
                <c:pt idx="31">
                  <c:v>2377</c:v>
                </c:pt>
                <c:pt idx="32">
                  <c:v>2563</c:v>
                </c:pt>
                <c:pt idx="33">
                  <c:v>2002</c:v>
                </c:pt>
                <c:pt idx="34">
                  <c:v>2250</c:v>
                </c:pt>
                <c:pt idx="35">
                  <c:v>1821</c:v>
                </c:pt>
                <c:pt idx="36">
                  <c:v>2200</c:v>
                </c:pt>
                <c:pt idx="37">
                  <c:v>2528</c:v>
                </c:pt>
                <c:pt idx="38">
                  <c:v>2101</c:v>
                </c:pt>
                <c:pt idx="39">
                  <c:v>2054</c:v>
                </c:pt>
                <c:pt idx="40">
                  <c:v>2067</c:v>
                </c:pt>
                <c:pt idx="41">
                  <c:v>1795</c:v>
                </c:pt>
                <c:pt idx="42">
                  <c:v>1922</c:v>
                </c:pt>
                <c:pt idx="43">
                  <c:v>2213</c:v>
                </c:pt>
                <c:pt idx="44">
                  <c:v>2474</c:v>
                </c:pt>
                <c:pt idx="45">
                  <c:v>2051</c:v>
                </c:pt>
                <c:pt idx="46">
                  <c:v>2269</c:v>
                </c:pt>
                <c:pt idx="47">
                  <c:v>2299</c:v>
                </c:pt>
                <c:pt idx="48">
                  <c:v>2212</c:v>
                </c:pt>
                <c:pt idx="49">
                  <c:v>2336</c:v>
                </c:pt>
                <c:pt idx="50">
                  <c:v>2469</c:v>
                </c:pt>
                <c:pt idx="51">
                  <c:v>2364</c:v>
                </c:pt>
                <c:pt idx="52">
                  <c:v>2944</c:v>
                </c:pt>
                <c:pt idx="53">
                  <c:v>2324</c:v>
                </c:pt>
                <c:pt idx="54">
                  <c:v>2388</c:v>
                </c:pt>
                <c:pt idx="55">
                  <c:v>2693</c:v>
                </c:pt>
                <c:pt idx="56">
                  <c:v>2808</c:v>
                </c:pt>
                <c:pt idx="57">
                  <c:v>2849</c:v>
                </c:pt>
                <c:pt idx="58">
                  <c:v>1957</c:v>
                </c:pt>
                <c:pt idx="59">
                  <c:v>2193</c:v>
                </c:pt>
                <c:pt idx="60">
                  <c:v>2405</c:v>
                </c:pt>
                <c:pt idx="61">
                  <c:v>2464</c:v>
                </c:pt>
                <c:pt idx="62">
                  <c:v>2178</c:v>
                </c:pt>
                <c:pt idx="63">
                  <c:v>2284</c:v>
                </c:pt>
                <c:pt idx="64">
                  <c:v>2348</c:v>
                </c:pt>
                <c:pt idx="65">
                  <c:v>2509</c:v>
                </c:pt>
                <c:pt idx="66">
                  <c:v>2218</c:v>
                </c:pt>
                <c:pt idx="67">
                  <c:v>2437</c:v>
                </c:pt>
                <c:pt idx="68">
                  <c:v>2583</c:v>
                </c:pt>
                <c:pt idx="69">
                  <c:v>2648</c:v>
                </c:pt>
                <c:pt idx="70">
                  <c:v>2283</c:v>
                </c:pt>
                <c:pt idx="71">
                  <c:v>2578</c:v>
                </c:pt>
                <c:pt idx="72">
                  <c:v>1992</c:v>
                </c:pt>
                <c:pt idx="73">
                  <c:v>2308</c:v>
                </c:pt>
                <c:pt idx="74">
                  <c:v>2315</c:v>
                </c:pt>
                <c:pt idx="75">
                  <c:v>2436</c:v>
                </c:pt>
                <c:pt idx="76">
                  <c:v>2661</c:v>
                </c:pt>
                <c:pt idx="77">
                  <c:v>2745</c:v>
                </c:pt>
                <c:pt idx="78">
                  <c:v>2370</c:v>
                </c:pt>
                <c:pt idx="79">
                  <c:v>2210</c:v>
                </c:pt>
                <c:pt idx="80">
                  <c:v>2736</c:v>
                </c:pt>
                <c:pt idx="81">
                  <c:v>2575</c:v>
                </c:pt>
                <c:pt idx="82">
                  <c:v>3290</c:v>
                </c:pt>
                <c:pt idx="83">
                  <c:v>2802</c:v>
                </c:pt>
                <c:pt idx="84">
                  <c:v>2844</c:v>
                </c:pt>
                <c:pt idx="85">
                  <c:v>2737</c:v>
                </c:pt>
                <c:pt idx="86">
                  <c:v>2984</c:v>
                </c:pt>
                <c:pt idx="87">
                  <c:v>2917</c:v>
                </c:pt>
                <c:pt idx="88">
                  <c:v>2557</c:v>
                </c:pt>
                <c:pt idx="89">
                  <c:v>3303</c:v>
                </c:pt>
                <c:pt idx="90">
                  <c:v>3182</c:v>
                </c:pt>
                <c:pt idx="91">
                  <c:v>3132</c:v>
                </c:pt>
                <c:pt idx="92">
                  <c:v>1720</c:v>
                </c:pt>
                <c:pt idx="93">
                  <c:v>1853</c:v>
                </c:pt>
                <c:pt idx="94">
                  <c:v>1980</c:v>
                </c:pt>
                <c:pt idx="95">
                  <c:v>1796</c:v>
                </c:pt>
                <c:pt idx="96">
                  <c:v>2080</c:v>
                </c:pt>
                <c:pt idx="97">
                  <c:v>2068</c:v>
                </c:pt>
                <c:pt idx="98">
                  <c:v>2784</c:v>
                </c:pt>
                <c:pt idx="99">
                  <c:v>2805</c:v>
                </c:pt>
                <c:pt idx="100">
                  <c:v>2295</c:v>
                </c:pt>
                <c:pt idx="101">
                  <c:v>2175</c:v>
                </c:pt>
                <c:pt idx="102">
                  <c:v>2400</c:v>
                </c:pt>
                <c:pt idx="103">
                  <c:v>2455</c:v>
                </c:pt>
                <c:pt idx="104">
                  <c:v>2842</c:v>
                </c:pt>
                <c:pt idx="105">
                  <c:v>2552</c:v>
                </c:pt>
                <c:pt idx="106">
                  <c:v>1400</c:v>
                </c:pt>
                <c:pt idx="107">
                  <c:v>1306</c:v>
                </c:pt>
                <c:pt idx="108">
                  <c:v>1779</c:v>
                </c:pt>
                <c:pt idx="109">
                  <c:v>1813</c:v>
                </c:pt>
                <c:pt idx="110">
                  <c:v>2383</c:v>
                </c:pt>
                <c:pt idx="111">
                  <c:v>2304</c:v>
                </c:pt>
                <c:pt idx="112">
                  <c:v>2118</c:v>
                </c:pt>
                <c:pt idx="113">
                  <c:v>1841</c:v>
                </c:pt>
                <c:pt idx="114">
                  <c:v>2352</c:v>
                </c:pt>
                <c:pt idx="115">
                  <c:v>2545</c:v>
                </c:pt>
                <c:pt idx="116">
                  <c:v>2303</c:v>
                </c:pt>
                <c:pt idx="117">
                  <c:v>2663</c:v>
                </c:pt>
                <c:pt idx="118">
                  <c:v>2187</c:v>
                </c:pt>
                <c:pt idx="119">
                  <c:v>2045</c:v>
                </c:pt>
                <c:pt idx="120">
                  <c:v>2317</c:v>
                </c:pt>
                <c:pt idx="121">
                  <c:v>2401</c:v>
                </c:pt>
                <c:pt idx="122">
                  <c:v>2321</c:v>
                </c:pt>
                <c:pt idx="123">
                  <c:v>1105</c:v>
                </c:pt>
                <c:pt idx="124">
                  <c:v>942</c:v>
                </c:pt>
                <c:pt idx="125">
                  <c:v>1131</c:v>
                </c:pt>
                <c:pt idx="126">
                  <c:v>1011</c:v>
                </c:pt>
                <c:pt idx="127">
                  <c:v>1372</c:v>
                </c:pt>
                <c:pt idx="128">
                  <c:v>1210</c:v>
                </c:pt>
                <c:pt idx="129">
                  <c:v>1340</c:v>
                </c:pt>
                <c:pt idx="130">
                  <c:v>1261</c:v>
                </c:pt>
                <c:pt idx="131">
                  <c:v>1660</c:v>
                </c:pt>
                <c:pt idx="132">
                  <c:v>1690</c:v>
                </c:pt>
                <c:pt idx="133">
                  <c:v>1592</c:v>
                </c:pt>
                <c:pt idx="134">
                  <c:v>1440</c:v>
                </c:pt>
                <c:pt idx="135">
                  <c:v>1602</c:v>
                </c:pt>
                <c:pt idx="136">
                  <c:v>1892</c:v>
                </c:pt>
                <c:pt idx="137">
                  <c:v>1865</c:v>
                </c:pt>
                <c:pt idx="138">
                  <c:v>1981</c:v>
                </c:pt>
                <c:pt idx="139">
                  <c:v>2052</c:v>
                </c:pt>
                <c:pt idx="140">
                  <c:v>2390</c:v>
                </c:pt>
                <c:pt idx="141">
                  <c:v>1958</c:v>
                </c:pt>
                <c:pt idx="142">
                  <c:v>2239</c:v>
                </c:pt>
                <c:pt idx="143">
                  <c:v>2537</c:v>
                </c:pt>
                <c:pt idx="144">
                  <c:v>2728</c:v>
                </c:pt>
                <c:pt idx="145">
                  <c:v>2772</c:v>
                </c:pt>
                <c:pt idx="146">
                  <c:v>2852</c:v>
                </c:pt>
                <c:pt idx="147">
                  <c:v>2699</c:v>
                </c:pt>
                <c:pt idx="148">
                  <c:v>2370</c:v>
                </c:pt>
                <c:pt idx="149">
                  <c:v>2538</c:v>
                </c:pt>
                <c:pt idx="150">
                  <c:v>2752</c:v>
                </c:pt>
                <c:pt idx="151">
                  <c:v>2331</c:v>
                </c:pt>
                <c:pt idx="152">
                  <c:v>2268</c:v>
                </c:pt>
                <c:pt idx="153">
                  <c:v>2432</c:v>
                </c:pt>
                <c:pt idx="154">
                  <c:v>2058</c:v>
                </c:pt>
                <c:pt idx="155">
                  <c:v>1922</c:v>
                </c:pt>
                <c:pt idx="156">
                  <c:v>1822</c:v>
                </c:pt>
                <c:pt idx="157">
                  <c:v>1765</c:v>
                </c:pt>
                <c:pt idx="158">
                  <c:v>2245</c:v>
                </c:pt>
                <c:pt idx="159">
                  <c:v>1741</c:v>
                </c:pt>
                <c:pt idx="160">
                  <c:v>2012</c:v>
                </c:pt>
                <c:pt idx="161">
                  <c:v>2615</c:v>
                </c:pt>
                <c:pt idx="162">
                  <c:v>2214</c:v>
                </c:pt>
                <c:pt idx="163">
                  <c:v>2123</c:v>
                </c:pt>
                <c:pt idx="164">
                  <c:v>1904</c:v>
                </c:pt>
                <c:pt idx="165">
                  <c:v>1682</c:v>
                </c:pt>
                <c:pt idx="166">
                  <c:v>1685</c:v>
                </c:pt>
                <c:pt idx="167">
                  <c:v>1417</c:v>
                </c:pt>
                <c:pt idx="168">
                  <c:v>1696</c:v>
                </c:pt>
                <c:pt idx="169">
                  <c:v>1823</c:v>
                </c:pt>
                <c:pt idx="170">
                  <c:v>1613</c:v>
                </c:pt>
                <c:pt idx="171">
                  <c:v>1987</c:v>
                </c:pt>
                <c:pt idx="172">
                  <c:v>2538</c:v>
                </c:pt>
                <c:pt idx="173">
                  <c:v>3001</c:v>
                </c:pt>
                <c:pt idx="174">
                  <c:v>2804</c:v>
                </c:pt>
                <c:pt idx="175">
                  <c:v>2898</c:v>
                </c:pt>
                <c:pt idx="176">
                  <c:v>3284</c:v>
                </c:pt>
                <c:pt idx="177">
                  <c:v>3124</c:v>
                </c:pt>
                <c:pt idx="178">
                  <c:v>3113</c:v>
                </c:pt>
                <c:pt idx="179">
                  <c:v>3075</c:v>
                </c:pt>
                <c:pt idx="180">
                  <c:v>3088</c:v>
                </c:pt>
                <c:pt idx="181">
                  <c:v>3189</c:v>
                </c:pt>
                <c:pt idx="182">
                  <c:v>3478</c:v>
                </c:pt>
                <c:pt idx="183">
                  <c:v>2203</c:v>
                </c:pt>
                <c:pt idx="184">
                  <c:v>2493</c:v>
                </c:pt>
                <c:pt idx="185">
                  <c:v>2609</c:v>
                </c:pt>
                <c:pt idx="186">
                  <c:v>2664</c:v>
                </c:pt>
                <c:pt idx="187">
                  <c:v>1655</c:v>
                </c:pt>
                <c:pt idx="188">
                  <c:v>1851</c:v>
                </c:pt>
                <c:pt idx="189">
                  <c:v>1778</c:v>
                </c:pt>
                <c:pt idx="190">
                  <c:v>1760</c:v>
                </c:pt>
                <c:pt idx="191">
                  <c:v>1783</c:v>
                </c:pt>
                <c:pt idx="192">
                  <c:v>1707</c:v>
                </c:pt>
                <c:pt idx="193">
                  <c:v>1694</c:v>
                </c:pt>
                <c:pt idx="194">
                  <c:v>2099</c:v>
                </c:pt>
                <c:pt idx="195">
                  <c:v>1565</c:v>
                </c:pt>
                <c:pt idx="196">
                  <c:v>1507</c:v>
                </c:pt>
                <c:pt idx="197">
                  <c:v>1746</c:v>
                </c:pt>
                <c:pt idx="198">
                  <c:v>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7-4CD4-8DF5-336D8644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2015'!$AN$3:$AN$143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xVal>
          <c:yVal>
            <c:numRef>
              <c:f>'rolling 2015'!$K$3:$K$143</c:f>
              <c:numCache>
                <c:formatCode>General</c:formatCode>
                <c:ptCount val="141"/>
                <c:pt idx="0">
                  <c:v>4.2699999999999996</c:v>
                </c:pt>
                <c:pt idx="1">
                  <c:v>3.91</c:v>
                </c:pt>
                <c:pt idx="2">
                  <c:v>5.09</c:v>
                </c:pt>
                <c:pt idx="3">
                  <c:v>5.2</c:v>
                </c:pt>
                <c:pt idx="4">
                  <c:v>6.32</c:v>
                </c:pt>
                <c:pt idx="5">
                  <c:v>6.23</c:v>
                </c:pt>
                <c:pt idx="6">
                  <c:v>5.56</c:v>
                </c:pt>
                <c:pt idx="7">
                  <c:v>5.96</c:v>
                </c:pt>
                <c:pt idx="8">
                  <c:v>9.26</c:v>
                </c:pt>
                <c:pt idx="9">
                  <c:v>6.67</c:v>
                </c:pt>
                <c:pt idx="10">
                  <c:v>6.07</c:v>
                </c:pt>
                <c:pt idx="11">
                  <c:v>10.34</c:v>
                </c:pt>
                <c:pt idx="12">
                  <c:v>3.53</c:v>
                </c:pt>
                <c:pt idx="13">
                  <c:v>2.92</c:v>
                </c:pt>
                <c:pt idx="14">
                  <c:v>0</c:v>
                </c:pt>
                <c:pt idx="15">
                  <c:v>0.53</c:v>
                </c:pt>
                <c:pt idx="16">
                  <c:v>0.78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0.32</c:v>
                </c:pt>
                <c:pt idx="21">
                  <c:v>4.6100000000000003</c:v>
                </c:pt>
                <c:pt idx="22">
                  <c:v>7.48</c:v>
                </c:pt>
                <c:pt idx="23">
                  <c:v>6.08</c:v>
                </c:pt>
                <c:pt idx="24">
                  <c:v>4.8099999999999996</c:v>
                </c:pt>
                <c:pt idx="25">
                  <c:v>4.28</c:v>
                </c:pt>
                <c:pt idx="26">
                  <c:v>5.29</c:v>
                </c:pt>
                <c:pt idx="27">
                  <c:v>4.6100000000000003</c:v>
                </c:pt>
                <c:pt idx="28">
                  <c:v>3.92</c:v>
                </c:pt>
                <c:pt idx="29">
                  <c:v>5.08</c:v>
                </c:pt>
                <c:pt idx="30">
                  <c:v>6.08</c:v>
                </c:pt>
                <c:pt idx="31">
                  <c:v>4.4000000000000004</c:v>
                </c:pt>
                <c:pt idx="32">
                  <c:v>5.29</c:v>
                </c:pt>
                <c:pt idx="33">
                  <c:v>4.16</c:v>
                </c:pt>
                <c:pt idx="34">
                  <c:v>5.92</c:v>
                </c:pt>
                <c:pt idx="35">
                  <c:v>3.34</c:v>
                </c:pt>
                <c:pt idx="36">
                  <c:v>3.61</c:v>
                </c:pt>
                <c:pt idx="37">
                  <c:v>0.85</c:v>
                </c:pt>
                <c:pt idx="38">
                  <c:v>3.8</c:v>
                </c:pt>
                <c:pt idx="39">
                  <c:v>0.98</c:v>
                </c:pt>
                <c:pt idx="40">
                  <c:v>4.8600000000000003</c:v>
                </c:pt>
                <c:pt idx="41">
                  <c:v>4.9000000000000004</c:v>
                </c:pt>
                <c:pt idx="42">
                  <c:v>5.36</c:v>
                </c:pt>
                <c:pt idx="43">
                  <c:v>4.99</c:v>
                </c:pt>
                <c:pt idx="44">
                  <c:v>4.5</c:v>
                </c:pt>
                <c:pt idx="45">
                  <c:v>4.1500000000000004</c:v>
                </c:pt>
                <c:pt idx="46">
                  <c:v>4.5199999999999996</c:v>
                </c:pt>
                <c:pt idx="47">
                  <c:v>0</c:v>
                </c:pt>
                <c:pt idx="48">
                  <c:v>2.11</c:v>
                </c:pt>
                <c:pt idx="49">
                  <c:v>4.59</c:v>
                </c:pt>
                <c:pt idx="50">
                  <c:v>5.5</c:v>
                </c:pt>
                <c:pt idx="51">
                  <c:v>5.18</c:v>
                </c:pt>
                <c:pt idx="52">
                  <c:v>4.5599999999999996</c:v>
                </c:pt>
                <c:pt idx="53">
                  <c:v>3.31</c:v>
                </c:pt>
                <c:pt idx="54">
                  <c:v>5.71</c:v>
                </c:pt>
                <c:pt idx="55">
                  <c:v>3.42</c:v>
                </c:pt>
                <c:pt idx="56">
                  <c:v>0</c:v>
                </c:pt>
                <c:pt idx="57">
                  <c:v>0.33</c:v>
                </c:pt>
                <c:pt idx="58">
                  <c:v>0</c:v>
                </c:pt>
                <c:pt idx="59">
                  <c:v>3.26</c:v>
                </c:pt>
                <c:pt idx="60">
                  <c:v>4.51</c:v>
                </c:pt>
                <c:pt idx="61">
                  <c:v>4.4000000000000004</c:v>
                </c:pt>
                <c:pt idx="62">
                  <c:v>3.69</c:v>
                </c:pt>
                <c:pt idx="63">
                  <c:v>5.66</c:v>
                </c:pt>
                <c:pt idx="64">
                  <c:v>5.04</c:v>
                </c:pt>
                <c:pt idx="65">
                  <c:v>5.98</c:v>
                </c:pt>
                <c:pt idx="66">
                  <c:v>6.11</c:v>
                </c:pt>
                <c:pt idx="67">
                  <c:v>5.24</c:v>
                </c:pt>
                <c:pt idx="68">
                  <c:v>5.98</c:v>
                </c:pt>
                <c:pt idx="69">
                  <c:v>6.11</c:v>
                </c:pt>
                <c:pt idx="70">
                  <c:v>4.1500000000000004</c:v>
                </c:pt>
                <c:pt idx="71">
                  <c:v>4.25</c:v>
                </c:pt>
                <c:pt idx="72">
                  <c:v>4.07</c:v>
                </c:pt>
                <c:pt idx="73">
                  <c:v>3.76</c:v>
                </c:pt>
                <c:pt idx="74">
                  <c:v>5.13</c:v>
                </c:pt>
                <c:pt idx="75">
                  <c:v>5.0199999999999996</c:v>
                </c:pt>
                <c:pt idx="76">
                  <c:v>3.23</c:v>
                </c:pt>
                <c:pt idx="77">
                  <c:v>3.4</c:v>
                </c:pt>
                <c:pt idx="78">
                  <c:v>5.92</c:v>
                </c:pt>
                <c:pt idx="79">
                  <c:v>4.78</c:v>
                </c:pt>
                <c:pt idx="80">
                  <c:v>4.51</c:v>
                </c:pt>
                <c:pt idx="81">
                  <c:v>2.4900000000000002</c:v>
                </c:pt>
                <c:pt idx="82">
                  <c:v>3.98</c:v>
                </c:pt>
                <c:pt idx="83">
                  <c:v>3.86</c:v>
                </c:pt>
                <c:pt idx="84">
                  <c:v>3.19</c:v>
                </c:pt>
                <c:pt idx="85">
                  <c:v>4.13</c:v>
                </c:pt>
                <c:pt idx="86">
                  <c:v>3.97</c:v>
                </c:pt>
                <c:pt idx="87">
                  <c:v>4.16</c:v>
                </c:pt>
                <c:pt idx="88">
                  <c:v>6.05</c:v>
                </c:pt>
                <c:pt idx="89">
                  <c:v>4.99</c:v>
                </c:pt>
                <c:pt idx="90">
                  <c:v>5.28</c:v>
                </c:pt>
                <c:pt idx="91">
                  <c:v>4.68</c:v>
                </c:pt>
                <c:pt idx="92">
                  <c:v>3.02</c:v>
                </c:pt>
                <c:pt idx="93">
                  <c:v>4.26</c:v>
                </c:pt>
                <c:pt idx="94">
                  <c:v>4.1500000000000004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3.92</c:v>
                </c:pt>
                <c:pt idx="98">
                  <c:v>4.33</c:v>
                </c:pt>
                <c:pt idx="99">
                  <c:v>3.99</c:v>
                </c:pt>
                <c:pt idx="100">
                  <c:v>4.9400000000000004</c:v>
                </c:pt>
                <c:pt idx="101">
                  <c:v>2.74</c:v>
                </c:pt>
                <c:pt idx="102">
                  <c:v>3.17</c:v>
                </c:pt>
                <c:pt idx="103">
                  <c:v>8.57</c:v>
                </c:pt>
                <c:pt idx="104">
                  <c:v>5.04</c:v>
                </c:pt>
                <c:pt idx="105">
                  <c:v>4.51</c:v>
                </c:pt>
                <c:pt idx="106">
                  <c:v>4.45</c:v>
                </c:pt>
                <c:pt idx="107">
                  <c:v>5.23</c:v>
                </c:pt>
                <c:pt idx="108">
                  <c:v>5.21</c:v>
                </c:pt>
                <c:pt idx="109">
                  <c:v>4.4800000000000004</c:v>
                </c:pt>
                <c:pt idx="110">
                  <c:v>3.06</c:v>
                </c:pt>
                <c:pt idx="111">
                  <c:v>6.63</c:v>
                </c:pt>
                <c:pt idx="112">
                  <c:v>5.01</c:v>
                </c:pt>
                <c:pt idx="113">
                  <c:v>3.88</c:v>
                </c:pt>
                <c:pt idx="114">
                  <c:v>3.17</c:v>
                </c:pt>
                <c:pt idx="115">
                  <c:v>8.1300000000000008</c:v>
                </c:pt>
                <c:pt idx="116">
                  <c:v>8.27</c:v>
                </c:pt>
                <c:pt idx="117">
                  <c:v>4.42</c:v>
                </c:pt>
                <c:pt idx="118">
                  <c:v>4.28</c:v>
                </c:pt>
                <c:pt idx="119">
                  <c:v>4.5599999999999996</c:v>
                </c:pt>
                <c:pt idx="120">
                  <c:v>4.45</c:v>
                </c:pt>
                <c:pt idx="121">
                  <c:v>4.32</c:v>
                </c:pt>
                <c:pt idx="122">
                  <c:v>6.09</c:v>
                </c:pt>
                <c:pt idx="123">
                  <c:v>5.3</c:v>
                </c:pt>
                <c:pt idx="124">
                  <c:v>5.62</c:v>
                </c:pt>
                <c:pt idx="125">
                  <c:v>4.51</c:v>
                </c:pt>
                <c:pt idx="126">
                  <c:v>4.17</c:v>
                </c:pt>
                <c:pt idx="127">
                  <c:v>4.76</c:v>
                </c:pt>
                <c:pt idx="128">
                  <c:v>2.1800000000000002</c:v>
                </c:pt>
                <c:pt idx="129">
                  <c:v>4.76</c:v>
                </c:pt>
                <c:pt idx="130">
                  <c:v>4.88</c:v>
                </c:pt>
                <c:pt idx="131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0-4921-B2C7-156DBD6785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2015'!$AN$144:$AN$146</c:f>
              <c:numCache>
                <c:formatCode>General</c:formatCode>
                <c:ptCount val="3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2015'!$K$146,'rolling 2015'!$K$146)</c:f>
              <c:numCache>
                <c:formatCode>General</c:formatCode>
                <c:ptCount val="2"/>
                <c:pt idx="0">
                  <c:v>8.0166990584994142</c:v>
                </c:pt>
                <c:pt idx="1">
                  <c:v>8.0166990584994142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0-4921-B2C7-156DBD6785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2015'!$AN$144:$AN$145</c:f>
              <c:numCache>
                <c:formatCode>General</c:formatCode>
                <c:ptCount val="2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2015'!$K$147,'rolling 2015'!$K$147)</c:f>
              <c:numCache>
                <c:formatCode>General</c:formatCode>
                <c:ptCount val="2"/>
                <c:pt idx="0">
                  <c:v>9.8494046483551827</c:v>
                </c:pt>
                <c:pt idx="1">
                  <c:v>9.8494046483551827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00-4921-B2C7-156DBD6785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2015'!$AN$144:$AN$145</c:f>
              <c:numCache>
                <c:formatCode>General</c:formatCode>
                <c:ptCount val="2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2015'!$M$146,'rolling 2015'!$M$146)</c:f>
              <c:numCache>
                <c:formatCode>General</c:formatCode>
                <c:ptCount val="2"/>
                <c:pt idx="0">
                  <c:v>0.68587669907634696</c:v>
                </c:pt>
                <c:pt idx="1">
                  <c:v>0.68587669907634696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00-4921-B2C7-156DBD6785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2015'!$AN$144:$AN$145</c:f>
              <c:numCache>
                <c:formatCode>General</c:formatCode>
                <c:ptCount val="2"/>
                <c:pt idx="0">
                  <c:v>1</c:v>
                </c:pt>
                <c:pt idx="1">
                  <c:v>132</c:v>
                </c:pt>
              </c:numCache>
            </c:numRef>
          </c:xVal>
          <c:yVal>
            <c:numRef>
              <c:f>('rolling 2015'!$M$147,'rolling 2015'!$M$147)</c:f>
              <c:numCache>
                <c:formatCode>General</c:formatCode>
                <c:ptCount val="2"/>
                <c:pt idx="0">
                  <c:v>-1.1468288907794202</c:v>
                </c:pt>
                <c:pt idx="1">
                  <c:v>-1.1468288907794202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00-4921-B2C7-156DBD67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6288"/>
        <c:axId val="94094848"/>
      </c:scatterChart>
      <c:valAx>
        <c:axId val="940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848"/>
        <c:crosses val="autoZero"/>
        <c:crossBetween val="midCat"/>
      </c:valAx>
      <c:valAx>
        <c:axId val="940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 - concentration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2022'!$AS$45:$AS$254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83</c:v>
                </c:pt>
              </c:numCache>
            </c:numRef>
          </c:xVal>
          <c:yVal>
            <c:numRef>
              <c:f>'rolling 2022'!$AT$45:$AT$254</c:f>
              <c:numCache>
                <c:formatCode>0.00</c:formatCode>
                <c:ptCount val="210"/>
                <c:pt idx="0">
                  <c:v>1.7233991115500005</c:v>
                </c:pt>
                <c:pt idx="1">
                  <c:v>1.9774912460720002</c:v>
                </c:pt>
                <c:pt idx="2">
                  <c:v>3.6016368097279998</c:v>
                </c:pt>
                <c:pt idx="3">
                  <c:v>3.0172664959980007</c:v>
                </c:pt>
                <c:pt idx="4">
                  <c:v>3.7401279353520001</c:v>
                </c:pt>
                <c:pt idx="5">
                  <c:v>0.8841544583180001</c:v>
                </c:pt>
                <c:pt idx="6">
                  <c:v>1.3722675492620007</c:v>
                </c:pt>
                <c:pt idx="7">
                  <c:v>0.9220401383820005</c:v>
                </c:pt>
                <c:pt idx="8">
                  <c:v>1.3983522684720007</c:v>
                </c:pt>
                <c:pt idx="9">
                  <c:v>1.0167735084620002</c:v>
                </c:pt>
                <c:pt idx="10">
                  <c:v>1.4647590808880007</c:v>
                </c:pt>
                <c:pt idx="11">
                  <c:v>1.3272170032320001</c:v>
                </c:pt>
                <c:pt idx="12">
                  <c:v>1.1162730207980003</c:v>
                </c:pt>
                <c:pt idx="13">
                  <c:v>4.0842169064880007</c:v>
                </c:pt>
                <c:pt idx="14">
                  <c:v>1.7969944271280007</c:v>
                </c:pt>
                <c:pt idx="15">
                  <c:v>1.6213425182720003</c:v>
                </c:pt>
                <c:pt idx="16">
                  <c:v>0.51972883614200072</c:v>
                </c:pt>
                <c:pt idx="17">
                  <c:v>1.6094775264619998</c:v>
                </c:pt>
                <c:pt idx="18">
                  <c:v>2.4172717257420007</c:v>
                </c:pt>
                <c:pt idx="19">
                  <c:v>1.2632084352780004</c:v>
                </c:pt>
                <c:pt idx="20">
                  <c:v>1.0072989391020006</c:v>
                </c:pt>
                <c:pt idx="21">
                  <c:v>1.818363889950001</c:v>
                </c:pt>
                <c:pt idx="22">
                  <c:v>1.2845432382000008</c:v>
                </c:pt>
                <c:pt idx="23">
                  <c:v>0.94335275896800042</c:v>
                </c:pt>
                <c:pt idx="24">
                  <c:v>2.2935985659500004</c:v>
                </c:pt>
                <c:pt idx="25">
                  <c:v>2.3268906330380008</c:v>
                </c:pt>
                <c:pt idx="26">
                  <c:v>1.7447637990080005</c:v>
                </c:pt>
                <c:pt idx="27">
                  <c:v>2.7076096544780008</c:v>
                </c:pt>
                <c:pt idx="28">
                  <c:v>1.471874892398001</c:v>
                </c:pt>
                <c:pt idx="29">
                  <c:v>2.9481641342000011</c:v>
                </c:pt>
                <c:pt idx="30">
                  <c:v>1.8896054455500004</c:v>
                </c:pt>
                <c:pt idx="31">
                  <c:v>2.8219108039820004</c:v>
                </c:pt>
                <c:pt idx="32">
                  <c:v>3.2652002367020008</c:v>
                </c:pt>
                <c:pt idx="33">
                  <c:v>1.929982498232</c:v>
                </c:pt>
                <c:pt idx="34">
                  <c:v>2.5195748750000004</c:v>
                </c:pt>
                <c:pt idx="35">
                  <c:v>1.5003396788780008</c:v>
                </c:pt>
                <c:pt idx="36">
                  <c:v>2.4006207200000005</c:v>
                </c:pt>
                <c:pt idx="37">
                  <c:v>3.1817403294720008</c:v>
                </c:pt>
                <c:pt idx="38">
                  <c:v>2.1652177321580006</c:v>
                </c:pt>
                <c:pt idx="39">
                  <c:v>2.0535194831279999</c:v>
                </c:pt>
                <c:pt idx="40">
                  <c:v>2.0844109608620003</c:v>
                </c:pt>
                <c:pt idx="41">
                  <c:v>1.4386690899499999</c:v>
                </c:pt>
                <c:pt idx="42">
                  <c:v>1.7400159708720007</c:v>
                </c:pt>
                <c:pt idx="43">
                  <c:v>2.4315446839020001</c:v>
                </c:pt>
                <c:pt idx="44">
                  <c:v>3.0530147452079999</c:v>
                </c:pt>
                <c:pt idx="45">
                  <c:v>1.2663452712499996</c:v>
                </c:pt>
                <c:pt idx="46">
                  <c:v>1.8760476712499994</c:v>
                </c:pt>
                <c:pt idx="47">
                  <c:v>1.96010977125</c:v>
                </c:pt>
                <c:pt idx="48">
                  <c:v>1.7164350599999993</c:v>
                </c:pt>
                <c:pt idx="49">
                  <c:v>2.0638390399999995</c:v>
                </c:pt>
                <c:pt idx="50">
                  <c:v>2.4371841712499993</c:v>
                </c:pt>
                <c:pt idx="51">
                  <c:v>2.1423755399999997</c:v>
                </c:pt>
                <c:pt idx="52">
                  <c:v>3.7766966399999991</c:v>
                </c:pt>
                <c:pt idx="53">
                  <c:v>2.0301907399999992</c:v>
                </c:pt>
                <c:pt idx="54">
                  <c:v>2.2097190599999994</c:v>
                </c:pt>
                <c:pt idx="55">
                  <c:v>3.0676752912499996</c:v>
                </c:pt>
                <c:pt idx="56">
                  <c:v>3.3921933599999994</c:v>
                </c:pt>
                <c:pt idx="57">
                  <c:v>3.5080270212499993</c:v>
                </c:pt>
                <c:pt idx="58">
                  <c:v>1.0040692912499996</c:v>
                </c:pt>
                <c:pt idx="59">
                  <c:v>1.6632615412499989</c:v>
                </c:pt>
                <c:pt idx="60">
                  <c:v>2.2574355312499987</c:v>
                </c:pt>
                <c:pt idx="61">
                  <c:v>2.4231350399999991</c:v>
                </c:pt>
                <c:pt idx="62">
                  <c:v>1.6212932849999993</c:v>
                </c:pt>
                <c:pt idx="63">
                  <c:v>1.9180739399999993</c:v>
                </c:pt>
                <c:pt idx="64">
                  <c:v>2.097493459999999</c:v>
                </c:pt>
                <c:pt idx="65">
                  <c:v>2.5496154712499992</c:v>
                </c:pt>
                <c:pt idx="66">
                  <c:v>1.7332298850000001</c:v>
                </c:pt>
                <c:pt idx="67">
                  <c:v>2.3472880912499994</c:v>
                </c:pt>
                <c:pt idx="68">
                  <c:v>2.7577926412499991</c:v>
                </c:pt>
                <c:pt idx="69">
                  <c:v>2.9408429599999995</c:v>
                </c:pt>
                <c:pt idx="70">
                  <c:v>1.9152718912499997</c:v>
                </c:pt>
                <c:pt idx="71">
                  <c:v>2.7437192849999992</c:v>
                </c:pt>
                <c:pt idx="72">
                  <c:v>1.1016813599999988</c:v>
                </c:pt>
                <c:pt idx="73">
                  <c:v>1.9853358599999993</c:v>
                </c:pt>
                <c:pt idx="74">
                  <c:v>2.0049585312499998</c:v>
                </c:pt>
                <c:pt idx="75">
                  <c:v>2.34447954</c:v>
                </c:pt>
                <c:pt idx="76">
                  <c:v>2.9774745712500001</c:v>
                </c:pt>
                <c:pt idx="77">
                  <c:v>3.2143442812499998</c:v>
                </c:pt>
                <c:pt idx="78">
                  <c:v>2.1592091249999994</c:v>
                </c:pt>
                <c:pt idx="79">
                  <c:v>1.7108371249999994</c:v>
                </c:pt>
                <c:pt idx="80">
                  <c:v>3.1889510399999992</c:v>
                </c:pt>
                <c:pt idx="81">
                  <c:v>2.7352757812499995</c:v>
                </c:pt>
                <c:pt idx="82">
                  <c:v>4.7584621249999994</c:v>
                </c:pt>
                <c:pt idx="83">
                  <c:v>3.375248085</c:v>
                </c:pt>
                <c:pt idx="84">
                  <c:v>3.4938971399999996</c:v>
                </c:pt>
                <c:pt idx="85">
                  <c:v>3.1917723412499992</c:v>
                </c:pt>
                <c:pt idx="86">
                  <c:v>3.8899354399999986</c:v>
                </c:pt>
                <c:pt idx="87">
                  <c:v>3.7002988912500001</c:v>
                </c:pt>
                <c:pt idx="88">
                  <c:v>2.6846227912499998</c:v>
                </c:pt>
                <c:pt idx="89">
                  <c:v>4.7954484412499987</c:v>
                </c:pt>
                <c:pt idx="90">
                  <c:v>4.4514688849999988</c:v>
                </c:pt>
                <c:pt idx="91">
                  <c:v>4.3095102599999979</c:v>
                </c:pt>
                <c:pt idx="92">
                  <c:v>0.34446599999999883</c:v>
                </c:pt>
                <c:pt idx="93">
                  <c:v>0.71432919124999916</c:v>
                </c:pt>
                <c:pt idx="94">
                  <c:v>1.0682084999999999</c:v>
                </c:pt>
                <c:pt idx="95">
                  <c:v>0.55572433999999937</c:v>
                </c:pt>
                <c:pt idx="96">
                  <c:v>1.3473359999999994</c:v>
                </c:pt>
                <c:pt idx="97">
                  <c:v>0.94313363920000004</c:v>
                </c:pt>
                <c:pt idx="98">
                  <c:v>3.4790814848</c:v>
                </c:pt>
                <c:pt idx="99">
                  <c:v>3.5525629512500014</c:v>
                </c:pt>
                <c:pt idx="100">
                  <c:v>1.7535609012500011</c:v>
                </c:pt>
                <c:pt idx="101">
                  <c:v>1.3258852812500006</c:v>
                </c:pt>
                <c:pt idx="102">
                  <c:v>2.1264079999999996</c:v>
                </c:pt>
                <c:pt idx="103">
                  <c:v>2.3211989012499998</c:v>
                </c:pt>
                <c:pt idx="104">
                  <c:v>3.6819059362000015</c:v>
                </c:pt>
                <c:pt idx="105">
                  <c:v>2.6638848032000002</c:v>
                </c:pt>
                <c:pt idx="106">
                  <c:v>-1.4763820000000001</c:v>
                </c:pt>
                <c:pt idx="107">
                  <c:v>-1.8210036061999997</c:v>
                </c:pt>
                <c:pt idx="108">
                  <c:v>-9.7285535950000224E-2</c:v>
                </c:pt>
                <c:pt idx="109">
                  <c:v>2.5619146449999519E-2</c:v>
                </c:pt>
                <c:pt idx="110">
                  <c:v>2.0661289724499987</c:v>
                </c:pt>
                <c:pt idx="111">
                  <c:v>1.7855692928</c:v>
                </c:pt>
                <c:pt idx="112">
                  <c:v>1.1221547041999997</c:v>
                </c:pt>
                <c:pt idx="113">
                  <c:v>0.12673416605000032</c:v>
                </c:pt>
                <c:pt idx="114">
                  <c:v>1.9561221631999999</c:v>
                </c:pt>
                <c:pt idx="115">
                  <c:v>2.6391914012500006</c:v>
                </c:pt>
                <c:pt idx="116">
                  <c:v>1.7820132684499992</c:v>
                </c:pt>
                <c:pt idx="117">
                  <c:v>3.0546925764500017</c:v>
                </c:pt>
                <c:pt idx="118">
                  <c:v>1.3687279464500008</c:v>
                </c:pt>
                <c:pt idx="119">
                  <c:v>0.86068665124999999</c:v>
                </c:pt>
                <c:pt idx="120">
                  <c:v>1.831787062450001</c:v>
                </c:pt>
                <c:pt idx="121">
                  <c:v>2.129952782050001</c:v>
                </c:pt>
                <c:pt idx="122">
                  <c:v>1.8460039740499994</c:v>
                </c:pt>
                <c:pt idx="123">
                  <c:v>-2.5613433987500001</c:v>
                </c:pt>
                <c:pt idx="124">
                  <c:v>-3.1651567437999999</c:v>
                </c:pt>
                <c:pt idx="125">
                  <c:v>-2.4653143799499997</c:v>
                </c:pt>
                <c:pt idx="126">
                  <c:v>-2.9091789119499998</c:v>
                </c:pt>
                <c:pt idx="127">
                  <c:v>-1.5789281528000005</c:v>
                </c:pt>
                <c:pt idx="128">
                  <c:v>-2.174014595</c:v>
                </c:pt>
                <c:pt idx="129">
                  <c:v>-1.6962350199999996</c:v>
                </c:pt>
                <c:pt idx="130">
                  <c:v>-1.9863445119500005</c:v>
                </c:pt>
                <c:pt idx="131">
                  <c:v>-0.52850701999999927</c:v>
                </c:pt>
                <c:pt idx="132">
                  <c:v>-0.41964099499999996</c:v>
                </c:pt>
                <c:pt idx="133">
                  <c:v>-0.77565618879999931</c:v>
                </c:pt>
                <c:pt idx="134">
                  <c:v>-1.3300451200000003</c:v>
                </c:pt>
                <c:pt idx="135">
                  <c:v>-0.73927711179999989</c:v>
                </c:pt>
                <c:pt idx="136">
                  <c:v>0.31067447120000047</c:v>
                </c:pt>
                <c:pt idx="137">
                  <c:v>0.21333186125000037</c:v>
                </c:pt>
                <c:pt idx="138">
                  <c:v>0.63094628004999986</c:v>
                </c:pt>
                <c:pt idx="139">
                  <c:v>0.88578570319999983</c:v>
                </c:pt>
                <c:pt idx="140">
                  <c:v>2.0909538049999998</c:v>
                </c:pt>
                <c:pt idx="141">
                  <c:v>0.5482673762000001</c:v>
                </c:pt>
                <c:pt idx="142">
                  <c:v>1.55418663805</c:v>
                </c:pt>
                <c:pt idx="143">
                  <c:v>2.6109634164499997</c:v>
                </c:pt>
                <c:pt idx="144">
                  <c:v>3.2828810272000002</c:v>
                </c:pt>
                <c:pt idx="145">
                  <c:v>3.4370691271999991</c:v>
                </c:pt>
                <c:pt idx="146">
                  <c:v>3.7168362631999994</c:v>
                </c:pt>
                <c:pt idx="147">
                  <c:v>3.1811343720499998</c:v>
                </c:pt>
                <c:pt idx="148">
                  <c:v>2.020010645000001</c:v>
                </c:pt>
                <c:pt idx="149">
                  <c:v>2.6144923202000001</c:v>
                </c:pt>
                <c:pt idx="150">
                  <c:v>3.3670114432000009</c:v>
                </c:pt>
                <c:pt idx="151">
                  <c:v>1.8815381400499991</c:v>
                </c:pt>
                <c:pt idx="152">
                  <c:v>1.6574793992000014</c:v>
                </c:pt>
                <c:pt idx="153">
                  <c:v>2.2397835392000012</c:v>
                </c:pt>
                <c:pt idx="154">
                  <c:v>0.90729465620000038</c:v>
                </c:pt>
                <c:pt idx="155">
                  <c:v>0.41873383220000004</c:v>
                </c:pt>
                <c:pt idx="156">
                  <c:v>5.8130312200000311E-2</c:v>
                </c:pt>
                <c:pt idx="157">
                  <c:v>-0.14793228874999897</c:v>
                </c:pt>
                <c:pt idx="158">
                  <c:v>1.5755655512499995</c:v>
                </c:pt>
                <c:pt idx="159">
                  <c:v>-0.2348081439499996</c:v>
                </c:pt>
                <c:pt idx="160">
                  <c:v>0.74228605520000013</c:v>
                </c:pt>
                <c:pt idx="161">
                  <c:v>2.8858698612500007</c:v>
                </c:pt>
                <c:pt idx="162">
                  <c:v>1.4650629217999995</c:v>
                </c:pt>
                <c:pt idx="163">
                  <c:v>1.1400408744500004</c:v>
                </c:pt>
                <c:pt idx="164">
                  <c:v>0.35391073280000018</c:v>
                </c:pt>
                <c:pt idx="165">
                  <c:v>-0.44866173580000002</c:v>
                </c:pt>
                <c:pt idx="166">
                  <c:v>-0.43777808875000002</c:v>
                </c:pt>
                <c:pt idx="167">
                  <c:v>-1.4141661675500004</c:v>
                </c:pt>
                <c:pt idx="168">
                  <c:v>-0.39788030720000034</c:v>
                </c:pt>
                <c:pt idx="169">
                  <c:v>6.1742084450000512E-2</c:v>
                </c:pt>
                <c:pt idx="170">
                  <c:v>-0.69927351354999967</c:v>
                </c:pt>
                <c:pt idx="171">
                  <c:v>0.42761525569999992</c:v>
                </c:pt>
                <c:pt idx="172">
                  <c:v>1.2499180132000001</c:v>
                </c:pt>
                <c:pt idx="173">
                  <c:v>2.0091068452999998</c:v>
                </c:pt>
                <c:pt idx="174">
                  <c:v>1.6784686448000004</c:v>
                </c:pt>
                <c:pt idx="175">
                  <c:v>1.8348283011999997</c:v>
                </c:pt>
                <c:pt idx="176">
                  <c:v>2.5038221168000003</c:v>
                </c:pt>
                <c:pt idx="177">
                  <c:v>2.2212649328000005</c:v>
                </c:pt>
                <c:pt idx="178">
                  <c:v>2.2021124357000001</c:v>
                </c:pt>
                <c:pt idx="179">
                  <c:v>2.1362198125000003</c:v>
                </c:pt>
                <c:pt idx="180">
                  <c:v>2.1587148032000005</c:v>
                </c:pt>
                <c:pt idx="181">
                  <c:v>2.3351565612999998</c:v>
                </c:pt>
                <c:pt idx="182">
                  <c:v>2.8564013252000002</c:v>
                </c:pt>
                <c:pt idx="183">
                  <c:v>0.73945596769999988</c:v>
                </c:pt>
                <c:pt idx="184">
                  <c:v>1.1794523197</c:v>
                </c:pt>
                <c:pt idx="185">
                  <c:v>1.3622939092999997</c:v>
                </c:pt>
                <c:pt idx="186">
                  <c:v>1.4503525888000002</c:v>
                </c:pt>
                <c:pt idx="187">
                  <c:v>-2.526016749999993E-2</c:v>
                </c:pt>
                <c:pt idx="188">
                  <c:v>0.23822690530000012</c:v>
                </c:pt>
                <c:pt idx="189">
                  <c:v>0.13878676520000011</c:v>
                </c:pt>
                <c:pt idx="190">
                  <c:v>0.11450527999999993</c:v>
                </c:pt>
                <c:pt idx="191">
                  <c:v>0.14554833170000014</c:v>
                </c:pt>
                <c:pt idx="192">
                  <c:v>4.3556559700000053E-2</c:v>
                </c:pt>
                <c:pt idx="193">
                  <c:v>2.6278710799999994E-2</c:v>
                </c:pt>
                <c:pt idx="194">
                  <c:v>0.58761798530000031</c:v>
                </c:pt>
                <c:pt idx="195">
                  <c:v>-0.14250910750000001</c:v>
                </c:pt>
                <c:pt idx="196">
                  <c:v>-0.21682228029999995</c:v>
                </c:pt>
                <c:pt idx="197">
                  <c:v>9.5684774800000039E-2</c:v>
                </c:pt>
                <c:pt idx="198">
                  <c:v>0.13878676520000011</c:v>
                </c:pt>
                <c:pt idx="20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F-48CF-A5ED-DD90DB9ECD2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2022'!$AT$259,'rolling 2022'!$AT$259)</c:f>
              <c:numCache>
                <c:formatCode>0.000</c:formatCode>
                <c:ptCount val="2"/>
                <c:pt idx="0">
                  <c:v>4.5108248599401559</c:v>
                </c:pt>
                <c:pt idx="1">
                  <c:v>4.5108248599401559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F-48CF-A5ED-DD90DB9ECD2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2022'!$AT$261,'rolling 2022'!$AT$261)</c:f>
              <c:numCache>
                <c:formatCode>0.000</c:formatCode>
                <c:ptCount val="2"/>
                <c:pt idx="0">
                  <c:v>5.9931261771143429</c:v>
                </c:pt>
                <c:pt idx="1">
                  <c:v>5.9931261771143429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BF-48CF-A5ED-DD90DB9ECD2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2022'!$AT$258,'rolling 2022'!$AT$258)</c:f>
              <c:numCache>
                <c:formatCode>0.000</c:formatCode>
                <c:ptCount val="2"/>
                <c:pt idx="0">
                  <c:v>-1.4183804087565979</c:v>
                </c:pt>
                <c:pt idx="1">
                  <c:v>-1.4183804087565979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BF-48CF-A5ED-DD90DB9ECD2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2022'!$AT$260,'rolling 2022'!$AT$260)</c:f>
              <c:numCache>
                <c:formatCode>0.000</c:formatCode>
                <c:ptCount val="2"/>
                <c:pt idx="0">
                  <c:v>-2.9006817259307858</c:v>
                </c:pt>
                <c:pt idx="1">
                  <c:v>-2.9006817259307858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BF-48CF-A5ED-DD90DB9EC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 - concentration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2022'!$AS$45:$AS$254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83</c:v>
                </c:pt>
              </c:numCache>
            </c:numRef>
          </c:xVal>
          <c:yVal>
            <c:numRef>
              <c:f>'rolling 2022'!$AU$45:$AU$254</c:f>
              <c:numCache>
                <c:formatCode>0.00</c:formatCode>
                <c:ptCount val="210"/>
                <c:pt idx="0">
                  <c:v>493.83321368136001</c:v>
                </c:pt>
                <c:pt idx="1">
                  <c:v>441.67488971249998</c:v>
                </c:pt>
                <c:pt idx="2">
                  <c:v>400.13494345649997</c:v>
                </c:pt>
                <c:pt idx="3">
                  <c:v>398.90415838993999</c:v>
                </c:pt>
                <c:pt idx="4">
                  <c:v>429.52041811456002</c:v>
                </c:pt>
                <c:pt idx="5">
                  <c:v>427.82803586850002</c:v>
                </c:pt>
                <c:pt idx="6">
                  <c:v>535.53119380850001</c:v>
                </c:pt>
                <c:pt idx="7">
                  <c:v>309.06122544753998</c:v>
                </c:pt>
                <c:pt idx="8">
                  <c:v>470.60009051553993</c:v>
                </c:pt>
                <c:pt idx="9">
                  <c:v>107.1</c:v>
                </c:pt>
                <c:pt idx="10">
                  <c:v>428.75115307746</c:v>
                </c:pt>
                <c:pt idx="11">
                  <c:v>403.82730837906001</c:v>
                </c:pt>
                <c:pt idx="12">
                  <c:v>386.59639685074001</c:v>
                </c:pt>
                <c:pt idx="13">
                  <c:v>479.37014202399996</c:v>
                </c:pt>
                <c:pt idx="14">
                  <c:v>509.52743815296003</c:v>
                </c:pt>
                <c:pt idx="15">
                  <c:v>514.60503776465998</c:v>
                </c:pt>
                <c:pt idx="16">
                  <c:v>555.68844868895997</c:v>
                </c:pt>
                <c:pt idx="17">
                  <c:v>508.75810728386</c:v>
                </c:pt>
                <c:pt idx="18">
                  <c:v>520.91360902600002</c:v>
                </c:pt>
                <c:pt idx="19">
                  <c:v>417.67380673026003</c:v>
                </c:pt>
                <c:pt idx="20">
                  <c:v>496.91049183496</c:v>
                </c:pt>
                <c:pt idx="21">
                  <c:v>453.82951933255993</c:v>
                </c:pt>
                <c:pt idx="22">
                  <c:v>387.8271657125</c:v>
                </c:pt>
                <c:pt idx="23">
                  <c:v>419.98157639495992</c:v>
                </c:pt>
                <c:pt idx="24">
                  <c:v>447.82911280849999</c:v>
                </c:pt>
                <c:pt idx="25">
                  <c:v>502.75734822944003</c:v>
                </c:pt>
                <c:pt idx="26">
                  <c:v>533.22313891399995</c:v>
                </c:pt>
                <c:pt idx="27">
                  <c:v>445.67513011665994</c:v>
                </c:pt>
                <c:pt idx="28">
                  <c:v>472.29255019016</c:v>
                </c:pt>
                <c:pt idx="29">
                  <c:v>600.46680618834</c:v>
                </c:pt>
                <c:pt idx="30">
                  <c:v>359.51989187345998</c:v>
                </c:pt>
                <c:pt idx="31">
                  <c:v>430.44353699464</c:v>
                </c:pt>
                <c:pt idx="32">
                  <c:v>426.75106694343992</c:v>
                </c:pt>
                <c:pt idx="33">
                  <c:v>380.90411194399996</c:v>
                </c:pt>
                <c:pt idx="34">
                  <c:v>423.98172397600001</c:v>
                </c:pt>
                <c:pt idx="35">
                  <c:v>338.28999905393999</c:v>
                </c:pt>
                <c:pt idx="36">
                  <c:v>372.44267141249998</c:v>
                </c:pt>
                <c:pt idx="37">
                  <c:v>435.36685308296001</c:v>
                </c:pt>
                <c:pt idx="38">
                  <c:v>393.51949277704</c:v>
                </c:pt>
                <c:pt idx="39">
                  <c:v>585.07881266433992</c:v>
                </c:pt>
                <c:pt idx="40">
                  <c:v>449.67538763713992</c:v>
                </c:pt>
                <c:pt idx="41">
                  <c:v>598.62023359649993</c:v>
                </c:pt>
                <c:pt idx="42">
                  <c:v>482.60123436946003</c:v>
                </c:pt>
                <c:pt idx="43">
                  <c:v>519.37492918399994</c:v>
                </c:pt>
                <c:pt idx="44">
                  <c:v>520.91360902600002</c:v>
                </c:pt>
                <c:pt idx="45" formatCode="0">
                  <c:v>735.66974285675008</c:v>
                </c:pt>
                <c:pt idx="46" formatCode="0">
                  <c:v>393.52913201408001</c:v>
                </c:pt>
                <c:pt idx="47" formatCode="0">
                  <c:v>445.92352296803</c:v>
                </c:pt>
                <c:pt idx="48" formatCode="0">
                  <c:v>413.71049429075003</c:v>
                </c:pt>
                <c:pt idx="49" formatCode="0">
                  <c:v>696.46285752867004</c:v>
                </c:pt>
                <c:pt idx="50" formatCode="0">
                  <c:v>587.13462882252009</c:v>
                </c:pt>
                <c:pt idx="51" formatCode="0">
                  <c:v>458.14126370675001</c:v>
                </c:pt>
                <c:pt idx="52" formatCode="0">
                  <c:v>422.41208935472002</c:v>
                </c:pt>
                <c:pt idx="53" formatCode="0">
                  <c:v>448.51521063946996</c:v>
                </c:pt>
                <c:pt idx="54" formatCode="0">
                  <c:v>352.60637930675</c:v>
                </c:pt>
                <c:pt idx="55" formatCode="0">
                  <c:v>457.95615050287995</c:v>
                </c:pt>
                <c:pt idx="56" formatCode="0">
                  <c:v>436.85242234700002</c:v>
                </c:pt>
                <c:pt idx="57" formatCode="0">
                  <c:v>398.15801664682999</c:v>
                </c:pt>
                <c:pt idx="58" formatCode="0">
                  <c:v>465.17547242866999</c:v>
                </c:pt>
                <c:pt idx="59" formatCode="0">
                  <c:v>490.71923217683002</c:v>
                </c:pt>
                <c:pt idx="60" formatCode="0">
                  <c:v>422.22695192162996</c:v>
                </c:pt>
                <c:pt idx="61" formatCode="0">
                  <c:v>404.26802422028004</c:v>
                </c:pt>
                <c:pt idx="62" formatCode="0">
                  <c:v>356.12486592587999</c:v>
                </c:pt>
                <c:pt idx="63" formatCode="0">
                  <c:v>385.56726690626999</c:v>
                </c:pt>
                <c:pt idx="64" formatCode="0">
                  <c:v>411.48876600347</c:v>
                </c:pt>
                <c:pt idx="65" formatCode="0">
                  <c:v>583.06403436800008</c:v>
                </c:pt>
                <c:pt idx="66" formatCode="0">
                  <c:v>301.30540143211999</c:v>
                </c:pt>
                <c:pt idx="67" formatCode="0">
                  <c:v>431.85393197627002</c:v>
                </c:pt>
                <c:pt idx="68" formatCode="0">
                  <c:v>417.04305282587001</c:v>
                </c:pt>
                <c:pt idx="69" formatCode="0">
                  <c:v>477.577451483</c:v>
                </c:pt>
                <c:pt idx="70" formatCode="0">
                  <c:v>402.04621910252001</c:v>
                </c:pt>
                <c:pt idx="71" formatCode="0">
                  <c:v>489.79377537727999</c:v>
                </c:pt>
                <c:pt idx="72" formatCode="0">
                  <c:v>366.49487864300005</c:v>
                </c:pt>
                <c:pt idx="74" formatCode="0">
                  <c:v>431.66880094571997</c:v>
                </c:pt>
                <c:pt idx="75" formatCode="0">
                  <c:v>577.14306124032009</c:v>
                </c:pt>
                <c:pt idx="76" formatCode="0">
                  <c:v>480.35393675074999</c:v>
                </c:pt>
                <c:pt idx="77" formatCode="0">
                  <c:v>358.71740601392003</c:v>
                </c:pt>
                <c:pt idx="78" formatCode="0">
                  <c:v>511.26356490032003</c:v>
                </c:pt>
                <c:pt idx="79" formatCode="0">
                  <c:v>376.86449766667999</c:v>
                </c:pt>
                <c:pt idx="80" formatCode="0">
                  <c:v>349.8285947</c:v>
                </c:pt>
                <c:pt idx="81" formatCode="0">
                  <c:v>338.90236785962998</c:v>
                </c:pt>
                <c:pt idx="82" formatCode="0">
                  <c:v>568.63143715052001</c:v>
                </c:pt>
                <c:pt idx="83" formatCode="0">
                  <c:v>319.27109975675</c:v>
                </c:pt>
                <c:pt idx="84" formatCode="0">
                  <c:v>445.36815812288</c:v>
                </c:pt>
                <c:pt idx="85" formatCode="0">
                  <c:v>379.27167434963002</c:v>
                </c:pt>
                <c:pt idx="86" formatCode="0">
                  <c:v>444.44254753682998</c:v>
                </c:pt>
                <c:pt idx="87" formatCode="0">
                  <c:v>399.63924315803001</c:v>
                </c:pt>
                <c:pt idx="88" formatCode="0">
                  <c:v>349.64340805523</c:v>
                </c:pt>
                <c:pt idx="89" formatCode="0">
                  <c:v>442.22106932523002</c:v>
                </c:pt>
                <c:pt idx="90" formatCode="0">
                  <c:v>421.85667667883001</c:v>
                </c:pt>
                <c:pt idx="91" formatCode="0">
                  <c:v>468.13719028882997</c:v>
                </c:pt>
                <c:pt idx="92" formatCode="0">
                  <c:v>422.22695192162996</c:v>
                </c:pt>
                <c:pt idx="93" formatCode="0">
                  <c:v>412.22934410787002</c:v>
                </c:pt>
                <c:pt idx="94" formatCode="0">
                  <c:v>485.35153905151998</c:v>
                </c:pt>
                <c:pt idx="95" formatCode="0">
                  <c:v>477.76255137963</c:v>
                </c:pt>
                <c:pt idx="96" formatCode="0">
                  <c:v>527.73493058883003</c:v>
                </c:pt>
                <c:pt idx="97" formatCode="0">
                  <c:v>597.49626964184006</c:v>
                </c:pt>
                <c:pt idx="98" formatCode="0">
                  <c:v>479.77392136600002</c:v>
                </c:pt>
                <c:pt idx="99" formatCode="0">
                  <c:v>330.69220375000003</c:v>
                </c:pt>
                <c:pt idx="100" formatCode="0">
                  <c:v>432.18459985414</c:v>
                </c:pt>
                <c:pt idx="101" formatCode="0">
                  <c:v>314.25377775104005</c:v>
                </c:pt>
                <c:pt idx="102" formatCode="0">
                  <c:v>474.99596809350004</c:v>
                </c:pt>
                <c:pt idx="103" formatCode="0">
                  <c:v>364.71515858816002</c:v>
                </c:pt>
                <c:pt idx="104" formatCode="0">
                  <c:v>334.70620146933999</c:v>
                </c:pt>
                <c:pt idx="105" formatCode="0">
                  <c:v>530.61008556384002</c:v>
                </c:pt>
                <c:pt idx="106" formatCode="0">
                  <c:v>522.20125482496007</c:v>
                </c:pt>
                <c:pt idx="107" formatCode="0">
                  <c:v>527.9345553397601</c:v>
                </c:pt>
                <c:pt idx="108" formatCode="0">
                  <c:v>376.37447347253999</c:v>
                </c:pt>
                <c:pt idx="109" formatCode="0">
                  <c:v>457.03068190454002</c:v>
                </c:pt>
                <c:pt idx="110" formatCode="0">
                  <c:v>382.10851837014002</c:v>
                </c:pt>
                <c:pt idx="111" formatCode="0">
                  <c:v>358.21647154264002</c:v>
                </c:pt>
                <c:pt idx="112" formatCode="0">
                  <c:v>460.47086533333999</c:v>
                </c:pt>
                <c:pt idx="113" formatCode="0">
                  <c:v>389.944999064</c:v>
                </c:pt>
                <c:pt idx="114" formatCode="0">
                  <c:v>541.88546433350007</c:v>
                </c:pt>
                <c:pt idx="115" formatCode="0">
                  <c:v>606.47782525126013</c:v>
                </c:pt>
                <c:pt idx="116" formatCode="0">
                  <c:v>366.81766693654004</c:v>
                </c:pt>
                <c:pt idx="117" formatCode="0">
                  <c:v>400.07500285606</c:v>
                </c:pt>
                <c:pt idx="118" formatCode="0">
                  <c:v>339.48475148384</c:v>
                </c:pt>
                <c:pt idx="119" formatCode="0">
                  <c:v>435.81598460000004</c:v>
                </c:pt>
                <c:pt idx="120" formatCode="0">
                  <c:v>447.47456154053998</c:v>
                </c:pt>
                <c:pt idx="121" formatCode="0">
                  <c:v>399.11934602335998</c:v>
                </c:pt>
                <c:pt idx="122" formatCode="0">
                  <c:v>293.80098171125996</c:v>
                </c:pt>
                <c:pt idx="123" formatCode="0">
                  <c:v>332.03020458326</c:v>
                </c:pt>
                <c:pt idx="124" formatCode="0">
                  <c:v>463.52879731350004</c:v>
                </c:pt>
                <c:pt idx="125" formatCode="0">
                  <c:v>356.30508584543998</c:v>
                </c:pt>
                <c:pt idx="126" formatCode="0">
                  <c:v>348.85065055350003</c:v>
                </c:pt>
                <c:pt idx="127" formatCode="0">
                  <c:v>349.42407040896001</c:v>
                </c:pt>
                <c:pt idx="128" formatCode="0">
                  <c:v>464.67551965974002</c:v>
                </c:pt>
                <c:pt idx="129" formatCode="0">
                  <c:v>670.30213000646006</c:v>
                </c:pt>
                <c:pt idx="130" formatCode="0">
                  <c:v>472.89366221464002</c:v>
                </c:pt>
                <c:pt idx="131" formatCode="0">
                  <c:v>706.98990857414003</c:v>
                </c:pt>
                <c:pt idx="132" formatCode="0">
                  <c:v>465.24888039384001</c:v>
                </c:pt>
                <c:pt idx="133" formatCode="0">
                  <c:v>450.72365158616003</c:v>
                </c:pt>
                <c:pt idx="134" formatCode="0">
                  <c:v>535.00558566614006</c:v>
                </c:pt>
                <c:pt idx="135" formatCode="0">
                  <c:v>504.23672368536</c:v>
                </c:pt>
                <c:pt idx="136" formatCode="0">
                  <c:v>375.99220277206001</c:v>
                </c:pt>
                <c:pt idx="137" formatCode="0">
                  <c:v>478.24497853016004</c:v>
                </c:pt>
                <c:pt idx="138" formatCode="0">
                  <c:v>735.26925301686003</c:v>
                </c:pt>
                <c:pt idx="139" formatCode="0">
                  <c:v>371.40494422006003</c:v>
                </c:pt>
                <c:pt idx="140" formatCode="0">
                  <c:v>444.03433830725999</c:v>
                </c:pt>
                <c:pt idx="141" formatCode="0">
                  <c:v>448.23905416150006</c:v>
                </c:pt>
                <c:pt idx="142" formatCode="0">
                  <c:v>461.99983236406001</c:v>
                </c:pt>
                <c:pt idx="143" formatCode="0">
                  <c:v>728.58163451776011</c:v>
                </c:pt>
                <c:pt idx="144" formatCode="0">
                  <c:v>505.00117767256</c:v>
                </c:pt>
                <c:pt idx="145" formatCode="0">
                  <c:v>506.91231036416002</c:v>
                </c:pt>
                <c:pt idx="146" formatCode="0">
                  <c:v>542.07657147264013</c:v>
                </c:pt>
                <c:pt idx="147" formatCode="0">
                  <c:v>519.14348258304005</c:v>
                </c:pt>
                <c:pt idx="148" formatCode="0">
                  <c:v>480.7295095815</c:v>
                </c:pt>
                <c:pt idx="149" formatCode="0">
                  <c:v>598.26066015000004</c:v>
                </c:pt>
                <c:pt idx="150" formatCode="0">
                  <c:v>494.87212011494</c:v>
                </c:pt>
                <c:pt idx="151" formatCode="0">
                  <c:v>626.92492860000004</c:v>
                </c:pt>
                <c:pt idx="152" formatCode="0">
                  <c:v>445.75445124096001</c:v>
                </c:pt>
                <c:pt idx="153" formatCode="0">
                  <c:v>486.84525490886</c:v>
                </c:pt>
                <c:pt idx="154" formatCode="0">
                  <c:v>447.09231503494004</c:v>
                </c:pt>
                <c:pt idx="155" formatCode="0">
                  <c:v>287.30188445845999</c:v>
                </c:pt>
                <c:pt idx="156" formatCode="0">
                  <c:v>433.90473093399999</c:v>
                </c:pt>
                <c:pt idx="157" formatCode="0">
                  <c:v>397.59029340000001</c:v>
                </c:pt>
                <c:pt idx="158" formatCode="0">
                  <c:v>364.33288392024002</c:v>
                </c:pt>
                <c:pt idx="159" formatCode="0">
                  <c:v>418.23232820736001</c:v>
                </c:pt>
                <c:pt idx="160" formatCode="0">
                  <c:v>397.01689812966004</c:v>
                </c:pt>
                <c:pt idx="161" formatCode="0">
                  <c:v>539.97439115350016</c:v>
                </c:pt>
                <c:pt idx="162" formatCode="0">
                  <c:v>477.09827003744005</c:v>
                </c:pt>
                <c:pt idx="163" formatCode="0">
                  <c:v>372.36062462976003</c:v>
                </c:pt>
                <c:pt idx="164" formatCode="0">
                  <c:v>381.53511519744001</c:v>
                </c:pt>
                <c:pt idx="165" formatCode="0">
                  <c:v>507.48564953750002</c:v>
                </c:pt>
                <c:pt idx="166" formatCode="0">
                  <c:v>434.47810737525998</c:v>
                </c:pt>
                <c:pt idx="167" formatCode="0">
                  <c:v>465.05776018166</c:v>
                </c:pt>
                <c:pt idx="168" formatCode="0">
                  <c:v>499.45887447686005</c:v>
                </c:pt>
                <c:pt idx="169" formatCode="0">
                  <c:v>437.15386023126001</c:v>
                </c:pt>
                <c:pt idx="170" formatCode="0">
                  <c:v>479.00945020824003</c:v>
                </c:pt>
                <c:pt idx="171" formatCode="0">
                  <c:v>449.03988844999998</c:v>
                </c:pt>
                <c:pt idx="172" formatCode="0">
                  <c:v>408.96561518727998</c:v>
                </c:pt>
                <c:pt idx="173" formatCode="0">
                  <c:v>354.42846692872001</c:v>
                </c:pt>
                <c:pt idx="174" formatCode="0">
                  <c:v>320.13434754247999</c:v>
                </c:pt>
                <c:pt idx="175" formatCode="0">
                  <c:v>367.64992043527997</c:v>
                </c:pt>
                <c:pt idx="176" formatCode="0">
                  <c:v>485.60082276991994</c:v>
                </c:pt>
                <c:pt idx="177" formatCode="0">
                  <c:v>316.20902730751999</c:v>
                </c:pt>
                <c:pt idx="178" formatCode="0">
                  <c:v>347.61107327487997</c:v>
                </c:pt>
                <c:pt idx="179" formatCode="0">
                  <c:v>280.88031604808003</c:v>
                </c:pt>
                <c:pt idx="180" formatCode="0">
                  <c:v>349.26377987071999</c:v>
                </c:pt>
                <c:pt idx="181" formatCode="0">
                  <c:v>411.85763736200005</c:v>
                </c:pt>
                <c:pt idx="182" formatCode="0">
                  <c:v>359.79970762951996</c:v>
                </c:pt>
                <c:pt idx="183" formatCode="0">
                  <c:v>431.89494479872002</c:v>
                </c:pt>
                <c:pt idx="184" formatCode="0">
                  <c:v>442.22326621472001</c:v>
                </c:pt>
                <c:pt idx="185" formatCode="0">
                  <c:v>267.24427392199999</c:v>
                </c:pt>
                <c:pt idx="186" formatCode="0">
                  <c:v>435.20002153471995</c:v>
                </c:pt>
                <c:pt idx="187" formatCode="0">
                  <c:v>551.07601384327995</c:v>
                </c:pt>
                <c:pt idx="188" formatCode="0">
                  <c:v>472.58779214408008</c:v>
                </c:pt>
                <c:pt idx="189" formatCode="0">
                  <c:v>463.08608626952008</c:v>
                </c:pt>
                <c:pt idx="190" formatCode="0">
                  <c:v>409.17218853152002</c:v>
                </c:pt>
                <c:pt idx="191" formatCode="0">
                  <c:v>262.69887713992</c:v>
                </c:pt>
                <c:pt idx="192" formatCode="0">
                  <c:v>325.91899640968001</c:v>
                </c:pt>
                <c:pt idx="193" formatCode="0">
                  <c:v>429.62269696328002</c:v>
                </c:pt>
                <c:pt idx="194" formatCode="0">
                  <c:v>516.99650711167988</c:v>
                </c:pt>
                <c:pt idx="195" formatCode="0">
                  <c:v>399.87633751111997</c:v>
                </c:pt>
                <c:pt idx="196" formatCode="0">
                  <c:v>520.92088473991998</c:v>
                </c:pt>
                <c:pt idx="197" formatCode="0">
                  <c:v>440.36417777671994</c:v>
                </c:pt>
                <c:pt idx="198" formatCode="0">
                  <c:v>482.08939001800007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C-403F-9A74-700A2BA22B8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2022'!$AS$255:$AS$258</c:f>
              <c:numCache>
                <c:formatCode>General</c:formatCode>
                <c:ptCount val="4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2022'!$AU$259,'rolling 2022'!$AU$259)</c:f>
              <c:numCache>
                <c:formatCode>0.000</c:formatCode>
                <c:ptCount val="2"/>
                <c:pt idx="0">
                  <c:v>624.08026116121709</c:v>
                </c:pt>
                <c:pt idx="1">
                  <c:v>624.08026116121709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C-403F-9A74-700A2BA22B8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2022'!$AU$261,'rolling 2022'!$AU$261)</c:f>
              <c:numCache>
                <c:formatCode>0.000</c:formatCode>
                <c:ptCount val="2"/>
                <c:pt idx="0">
                  <c:v>713.80931356217729</c:v>
                </c:pt>
                <c:pt idx="1">
                  <c:v>713.80931356217729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4C-403F-9A74-700A2BA22B8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2022'!$AU$258,'rolling 2022'!$AU$258)</c:f>
              <c:numCache>
                <c:formatCode>0.000</c:formatCode>
                <c:ptCount val="2"/>
                <c:pt idx="0">
                  <c:v>265.16405155737624</c:v>
                </c:pt>
                <c:pt idx="1">
                  <c:v>265.16405155737624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4C-403F-9A74-700A2BA22B8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2022'!$AS$255:$AS$256</c:f>
              <c:numCache>
                <c:formatCode>General</c:formatCode>
                <c:ptCount val="2"/>
                <c:pt idx="0">
                  <c:v>1</c:v>
                </c:pt>
                <c:pt idx="1">
                  <c:v>198</c:v>
                </c:pt>
              </c:numCache>
            </c:numRef>
          </c:xVal>
          <c:yVal>
            <c:numRef>
              <c:f>('rolling 2022'!$AU$260,'rolling 2022'!$AU$260)</c:f>
              <c:numCache>
                <c:formatCode>0.000</c:formatCode>
                <c:ptCount val="2"/>
                <c:pt idx="0">
                  <c:v>175.43499915641604</c:v>
                </c:pt>
                <c:pt idx="1">
                  <c:v>175.43499915641604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4C-403F-9A74-700A2BA2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2016'!$AN$2:$AN$74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'rolling 2016'!$H$2:$H$74</c:f>
              <c:numCache>
                <c:formatCode>General</c:formatCode>
                <c:ptCount val="73"/>
                <c:pt idx="0">
                  <c:v>14.2</c:v>
                </c:pt>
                <c:pt idx="1">
                  <c:v>13.47</c:v>
                </c:pt>
                <c:pt idx="2">
                  <c:v>13.31</c:v>
                </c:pt>
                <c:pt idx="3">
                  <c:v>13.84</c:v>
                </c:pt>
                <c:pt idx="4">
                  <c:v>15.01</c:v>
                </c:pt>
                <c:pt idx="5">
                  <c:v>13.98</c:v>
                </c:pt>
                <c:pt idx="6">
                  <c:v>17.38</c:v>
                </c:pt>
                <c:pt idx="7">
                  <c:v>14.13</c:v>
                </c:pt>
                <c:pt idx="8">
                  <c:v>13.26</c:v>
                </c:pt>
                <c:pt idx="9">
                  <c:v>14.76</c:v>
                </c:pt>
                <c:pt idx="10">
                  <c:v>12.44</c:v>
                </c:pt>
                <c:pt idx="11" formatCode="#,##0.00">
                  <c:v>13.67</c:v>
                </c:pt>
                <c:pt idx="12" formatCode="#,##0.00">
                  <c:v>15.4</c:v>
                </c:pt>
                <c:pt idx="13" formatCode="#,##0.00">
                  <c:v>12.89</c:v>
                </c:pt>
                <c:pt idx="14">
                  <c:v>16.39</c:v>
                </c:pt>
                <c:pt idx="15">
                  <c:v>17.309999999999999</c:v>
                </c:pt>
                <c:pt idx="16">
                  <c:v>15.04</c:v>
                </c:pt>
                <c:pt idx="17">
                  <c:v>20.88</c:v>
                </c:pt>
                <c:pt idx="18">
                  <c:v>22.21</c:v>
                </c:pt>
                <c:pt idx="19">
                  <c:v>12.73</c:v>
                </c:pt>
                <c:pt idx="20">
                  <c:v>14.79</c:v>
                </c:pt>
                <c:pt idx="21">
                  <c:v>15.96</c:v>
                </c:pt>
                <c:pt idx="22">
                  <c:v>18.420000000000002</c:v>
                </c:pt>
                <c:pt idx="23">
                  <c:v>14.95</c:v>
                </c:pt>
                <c:pt idx="24">
                  <c:v>14.75</c:v>
                </c:pt>
                <c:pt idx="25">
                  <c:v>14.44</c:v>
                </c:pt>
                <c:pt idx="26">
                  <c:v>16.350000000000001</c:v>
                </c:pt>
                <c:pt idx="27">
                  <c:v>13.9</c:v>
                </c:pt>
                <c:pt idx="28">
                  <c:v>13.12</c:v>
                </c:pt>
                <c:pt idx="29">
                  <c:v>14.92</c:v>
                </c:pt>
                <c:pt idx="30">
                  <c:v>14.17</c:v>
                </c:pt>
                <c:pt idx="31">
                  <c:v>14.84</c:v>
                </c:pt>
                <c:pt idx="32">
                  <c:v>14.89</c:v>
                </c:pt>
                <c:pt idx="33">
                  <c:v>15.37</c:v>
                </c:pt>
                <c:pt idx="34">
                  <c:v>13.86</c:v>
                </c:pt>
                <c:pt idx="35">
                  <c:v>14.94</c:v>
                </c:pt>
                <c:pt idx="36">
                  <c:v>14.58</c:v>
                </c:pt>
                <c:pt idx="37">
                  <c:v>17.63</c:v>
                </c:pt>
                <c:pt idx="38">
                  <c:v>15.37</c:v>
                </c:pt>
                <c:pt idx="39">
                  <c:v>14.56</c:v>
                </c:pt>
                <c:pt idx="40">
                  <c:v>14.37</c:v>
                </c:pt>
                <c:pt idx="41">
                  <c:v>14.45</c:v>
                </c:pt>
                <c:pt idx="42">
                  <c:v>13.74</c:v>
                </c:pt>
                <c:pt idx="43">
                  <c:v>15.9</c:v>
                </c:pt>
                <c:pt idx="44">
                  <c:v>14.11</c:v>
                </c:pt>
                <c:pt idx="45">
                  <c:v>16.21</c:v>
                </c:pt>
                <c:pt idx="46">
                  <c:v>14.24</c:v>
                </c:pt>
                <c:pt idx="47">
                  <c:v>12.99</c:v>
                </c:pt>
                <c:pt idx="48">
                  <c:v>14.79</c:v>
                </c:pt>
                <c:pt idx="49">
                  <c:v>15.86</c:v>
                </c:pt>
                <c:pt idx="50">
                  <c:v>15.61</c:v>
                </c:pt>
                <c:pt idx="51">
                  <c:v>18.329999999999998</c:v>
                </c:pt>
                <c:pt idx="52">
                  <c:v>14.65</c:v>
                </c:pt>
                <c:pt idx="53">
                  <c:v>14.16</c:v>
                </c:pt>
                <c:pt idx="54">
                  <c:v>13.69</c:v>
                </c:pt>
                <c:pt idx="55">
                  <c:v>14.48</c:v>
                </c:pt>
                <c:pt idx="56">
                  <c:v>14.45</c:v>
                </c:pt>
                <c:pt idx="57">
                  <c:v>15.24</c:v>
                </c:pt>
                <c:pt idx="58">
                  <c:v>19.32</c:v>
                </c:pt>
                <c:pt idx="59">
                  <c:v>15.55</c:v>
                </c:pt>
                <c:pt idx="60">
                  <c:v>14.14</c:v>
                </c:pt>
                <c:pt idx="61">
                  <c:v>15.49</c:v>
                </c:pt>
                <c:pt idx="62">
                  <c:v>14.86</c:v>
                </c:pt>
                <c:pt idx="63">
                  <c:v>17.59</c:v>
                </c:pt>
                <c:pt idx="64">
                  <c:v>15.58</c:v>
                </c:pt>
                <c:pt idx="65">
                  <c:v>14.73</c:v>
                </c:pt>
                <c:pt idx="66">
                  <c:v>18.46</c:v>
                </c:pt>
                <c:pt idx="67">
                  <c:v>17.850000000000001</c:v>
                </c:pt>
                <c:pt idx="68">
                  <c:v>12.71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5-4302-8183-C7A4AE931F1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2016'!$AN$75:$AN$77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2016'!$H$77,'rolling 2016'!$H$77)</c:f>
              <c:numCache>
                <c:formatCode>General</c:formatCode>
                <c:ptCount val="2"/>
                <c:pt idx="0">
                  <c:v>18.896231838799846</c:v>
                </c:pt>
                <c:pt idx="1">
                  <c:v>18.896231838799846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5-4302-8183-C7A4AE931F1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2016'!$AN$75:$AN$76</c:f>
              <c:numCache>
                <c:formatCode>General</c:formatCode>
                <c:ptCount val="2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2016'!$H$78,'rolling 2016'!$H$78)</c:f>
              <c:numCache>
                <c:formatCode>General</c:formatCode>
                <c:ptCount val="2"/>
                <c:pt idx="0">
                  <c:v>20.752608627764985</c:v>
                </c:pt>
                <c:pt idx="1">
                  <c:v>20.752608627764985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5-4302-8183-C7A4AE931F1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2016'!$AN$75:$AN$76</c:f>
              <c:numCache>
                <c:formatCode>General</c:formatCode>
                <c:ptCount val="2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2016'!$L$77,'rolling 2016'!$L$77)</c:f>
              <c:numCache>
                <c:formatCode>General</c:formatCode>
                <c:ptCount val="2"/>
                <c:pt idx="0">
                  <c:v>11.470724682939295</c:v>
                </c:pt>
                <c:pt idx="1">
                  <c:v>11.470724682939295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5-4302-8183-C7A4AE931F1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2016'!$AN$75:$AN$76</c:f>
              <c:numCache>
                <c:formatCode>General</c:formatCode>
                <c:ptCount val="2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2016'!$L$78,'rolling 2016'!$L$78)</c:f>
              <c:numCache>
                <c:formatCode>General</c:formatCode>
                <c:ptCount val="2"/>
                <c:pt idx="0">
                  <c:v>9.6143478939741556</c:v>
                </c:pt>
                <c:pt idx="1">
                  <c:v>9.6143478939741556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5-4302-8183-C7A4AE93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0416"/>
        <c:axId val="92302336"/>
      </c:scatterChart>
      <c:valAx>
        <c:axId val="92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336"/>
        <c:crosses val="autoZero"/>
        <c:crossBetween val="midCat"/>
      </c:valAx>
      <c:valAx>
        <c:axId val="923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2016'!$AN$2:$AN$74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'rolling 2016'!$K$2:$K$74</c:f>
              <c:numCache>
                <c:formatCode>General</c:formatCode>
                <c:ptCount val="73"/>
                <c:pt idx="0">
                  <c:v>3.95</c:v>
                </c:pt>
                <c:pt idx="1">
                  <c:v>3.7</c:v>
                </c:pt>
                <c:pt idx="2">
                  <c:v>3.86</c:v>
                </c:pt>
                <c:pt idx="3">
                  <c:v>3.84</c:v>
                </c:pt>
                <c:pt idx="4">
                  <c:v>3.5</c:v>
                </c:pt>
                <c:pt idx="5">
                  <c:v>4.38</c:v>
                </c:pt>
                <c:pt idx="6">
                  <c:v>5.32</c:v>
                </c:pt>
                <c:pt idx="7">
                  <c:v>4.2300000000000004</c:v>
                </c:pt>
                <c:pt idx="8">
                  <c:v>3.49</c:v>
                </c:pt>
                <c:pt idx="9">
                  <c:v>6.43</c:v>
                </c:pt>
                <c:pt idx="10">
                  <c:v>3.42</c:v>
                </c:pt>
                <c:pt idx="11" formatCode="#,##0.00">
                  <c:v>4.18</c:v>
                </c:pt>
                <c:pt idx="12" formatCode="#,##0.00">
                  <c:v>4.22</c:v>
                </c:pt>
                <c:pt idx="13" formatCode="#,##0.00">
                  <c:v>4.32</c:v>
                </c:pt>
                <c:pt idx="14">
                  <c:v>3.63</c:v>
                </c:pt>
                <c:pt idx="15">
                  <c:v>3.44</c:v>
                </c:pt>
                <c:pt idx="16">
                  <c:v>3.72</c:v>
                </c:pt>
                <c:pt idx="17">
                  <c:v>4.1900000000000004</c:v>
                </c:pt>
                <c:pt idx="18">
                  <c:v>6.17</c:v>
                </c:pt>
                <c:pt idx="19">
                  <c:v>5.17</c:v>
                </c:pt>
                <c:pt idx="20">
                  <c:v>7.34</c:v>
                </c:pt>
                <c:pt idx="21">
                  <c:v>2.57</c:v>
                </c:pt>
                <c:pt idx="22">
                  <c:v>4.05</c:v>
                </c:pt>
                <c:pt idx="23">
                  <c:v>3.71</c:v>
                </c:pt>
                <c:pt idx="24">
                  <c:v>3.67</c:v>
                </c:pt>
                <c:pt idx="25">
                  <c:v>2.44</c:v>
                </c:pt>
                <c:pt idx="26">
                  <c:v>4.4400000000000004</c:v>
                </c:pt>
                <c:pt idx="27">
                  <c:v>5.76</c:v>
                </c:pt>
                <c:pt idx="28">
                  <c:v>3.52</c:v>
                </c:pt>
                <c:pt idx="29">
                  <c:v>5.81</c:v>
                </c:pt>
                <c:pt idx="30">
                  <c:v>2.2599999999999998</c:v>
                </c:pt>
                <c:pt idx="31">
                  <c:v>3.33</c:v>
                </c:pt>
                <c:pt idx="32">
                  <c:v>4.29</c:v>
                </c:pt>
                <c:pt idx="33">
                  <c:v>4.07</c:v>
                </c:pt>
                <c:pt idx="34">
                  <c:v>2.37</c:v>
                </c:pt>
                <c:pt idx="35">
                  <c:v>4.5599999999999996</c:v>
                </c:pt>
                <c:pt idx="36">
                  <c:v>5.3</c:v>
                </c:pt>
                <c:pt idx="37">
                  <c:v>6.67</c:v>
                </c:pt>
                <c:pt idx="38">
                  <c:v>4.08</c:v>
                </c:pt>
                <c:pt idx="39">
                  <c:v>3.64</c:v>
                </c:pt>
                <c:pt idx="40">
                  <c:v>8.01</c:v>
                </c:pt>
                <c:pt idx="41">
                  <c:v>2.97</c:v>
                </c:pt>
                <c:pt idx="42">
                  <c:v>3.52</c:v>
                </c:pt>
                <c:pt idx="43">
                  <c:v>6.14</c:v>
                </c:pt>
                <c:pt idx="44">
                  <c:v>4.74</c:v>
                </c:pt>
                <c:pt idx="45">
                  <c:v>4.53</c:v>
                </c:pt>
                <c:pt idx="46">
                  <c:v>3.64</c:v>
                </c:pt>
                <c:pt idx="47">
                  <c:v>3.6</c:v>
                </c:pt>
                <c:pt idx="48">
                  <c:v>5.81</c:v>
                </c:pt>
                <c:pt idx="49">
                  <c:v>6.09</c:v>
                </c:pt>
                <c:pt idx="50">
                  <c:v>4.68</c:v>
                </c:pt>
                <c:pt idx="51">
                  <c:v>4.8499999999999996</c:v>
                </c:pt>
                <c:pt idx="52">
                  <c:v>4.43</c:v>
                </c:pt>
                <c:pt idx="53">
                  <c:v>4.7300000000000004</c:v>
                </c:pt>
                <c:pt idx="54">
                  <c:v>7.64</c:v>
                </c:pt>
                <c:pt idx="55">
                  <c:v>4.08</c:v>
                </c:pt>
                <c:pt idx="56">
                  <c:v>4.28</c:v>
                </c:pt>
                <c:pt idx="57">
                  <c:v>4.32</c:v>
                </c:pt>
                <c:pt idx="58">
                  <c:v>3.81</c:v>
                </c:pt>
                <c:pt idx="59">
                  <c:v>4.75</c:v>
                </c:pt>
                <c:pt idx="60">
                  <c:v>3.74</c:v>
                </c:pt>
                <c:pt idx="61">
                  <c:v>7.53</c:v>
                </c:pt>
                <c:pt idx="62">
                  <c:v>4.6399999999999997</c:v>
                </c:pt>
                <c:pt idx="63">
                  <c:v>3.82</c:v>
                </c:pt>
                <c:pt idx="64">
                  <c:v>4.59</c:v>
                </c:pt>
                <c:pt idx="65">
                  <c:v>6.66</c:v>
                </c:pt>
                <c:pt idx="66">
                  <c:v>5.25</c:v>
                </c:pt>
                <c:pt idx="67">
                  <c:v>6.64</c:v>
                </c:pt>
                <c:pt idx="68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F-471E-817D-1E0F64F909A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2016'!$AN$75:$AN$77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2016'!$K$77,'rolling 2016'!$K$77)</c:f>
              <c:numCache>
                <c:formatCode>General</c:formatCode>
                <c:ptCount val="2"/>
                <c:pt idx="0">
                  <c:v>7.0731749592321371</c:v>
                </c:pt>
                <c:pt idx="1">
                  <c:v>7.0731749592321371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F-471E-817D-1E0F64F909A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2016'!$AN$75:$AN$76</c:f>
              <c:numCache>
                <c:formatCode>General</c:formatCode>
                <c:ptCount val="2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2016'!$K$78,'rolling 2016'!$K$78)</c:f>
              <c:numCache>
                <c:formatCode>General</c:formatCode>
                <c:ptCount val="2"/>
                <c:pt idx="0">
                  <c:v>8.345632004065596</c:v>
                </c:pt>
                <c:pt idx="1">
                  <c:v>8.345632004065596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F-471E-817D-1E0F64F909A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2016'!$AN$75:$AN$76</c:f>
              <c:numCache>
                <c:formatCode>General</c:formatCode>
                <c:ptCount val="2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2016'!$M$77,'rolling 2016'!$M$77)</c:f>
              <c:numCache>
                <c:formatCode>General</c:formatCode>
                <c:ptCount val="2"/>
                <c:pt idx="0">
                  <c:v>1.9833467798982967</c:v>
                </c:pt>
                <c:pt idx="1">
                  <c:v>1.9833467798982967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1F-471E-817D-1E0F64F909A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2016'!$AN$75:$AN$76</c:f>
              <c:numCache>
                <c:formatCode>General</c:formatCode>
                <c:ptCount val="2"/>
                <c:pt idx="0">
                  <c:v>1</c:v>
                </c:pt>
                <c:pt idx="1">
                  <c:v>69</c:v>
                </c:pt>
              </c:numCache>
            </c:numRef>
          </c:xVal>
          <c:yVal>
            <c:numRef>
              <c:f>('rolling 2016'!$M$78,'rolling 2016'!$M$78)</c:f>
              <c:numCache>
                <c:formatCode>General</c:formatCode>
                <c:ptCount val="2"/>
                <c:pt idx="0">
                  <c:v>0.71088973506483644</c:v>
                </c:pt>
                <c:pt idx="1">
                  <c:v>0.71088973506483644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1F-471E-817D-1E0F64F9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6288"/>
        <c:axId val="94094848"/>
      </c:scatterChart>
      <c:valAx>
        <c:axId val="940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848"/>
        <c:crosses val="autoZero"/>
        <c:crossBetween val="midCat"/>
      </c:valAx>
      <c:valAx>
        <c:axId val="940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2017'!$AN$2:$AN$111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'rolling 2017'!$H$2:$H$111</c:f>
              <c:numCache>
                <c:formatCode>General</c:formatCode>
                <c:ptCount val="110"/>
                <c:pt idx="0">
                  <c:v>4.01</c:v>
                </c:pt>
                <c:pt idx="2">
                  <c:v>4.5999999999999996</c:v>
                </c:pt>
                <c:pt idx="3" formatCode="#,##0.00">
                  <c:v>4.6900000000000004</c:v>
                </c:pt>
                <c:pt idx="4" formatCode="#,##0.00">
                  <c:v>3.78</c:v>
                </c:pt>
                <c:pt idx="5" formatCode="#,##0.00">
                  <c:v>5.87</c:v>
                </c:pt>
                <c:pt idx="6" formatCode="#,##0.00">
                  <c:v>4.83</c:v>
                </c:pt>
                <c:pt idx="7" formatCode="#,##0.00">
                  <c:v>4.95</c:v>
                </c:pt>
                <c:pt idx="8" formatCode="#,##0.00">
                  <c:v>4.9000000000000004</c:v>
                </c:pt>
                <c:pt idx="9" formatCode="#,##0.00">
                  <c:v>4.09</c:v>
                </c:pt>
                <c:pt idx="10" formatCode="#,##0.00">
                  <c:v>6.84</c:v>
                </c:pt>
                <c:pt idx="11" formatCode="#,##0.00">
                  <c:v>6.76</c:v>
                </c:pt>
                <c:pt idx="12" formatCode="#,##0.00">
                  <c:v>4.55</c:v>
                </c:pt>
                <c:pt idx="13" formatCode="#,##0.00">
                  <c:v>4.57</c:v>
                </c:pt>
                <c:pt idx="14">
                  <c:v>5.47</c:v>
                </c:pt>
                <c:pt idx="15">
                  <c:v>4.3099999999999996</c:v>
                </c:pt>
                <c:pt idx="16">
                  <c:v>4.3</c:v>
                </c:pt>
                <c:pt idx="17">
                  <c:v>3.97</c:v>
                </c:pt>
                <c:pt idx="18">
                  <c:v>3.61</c:v>
                </c:pt>
                <c:pt idx="19">
                  <c:v>3.93</c:v>
                </c:pt>
                <c:pt idx="20">
                  <c:v>3.68</c:v>
                </c:pt>
                <c:pt idx="21">
                  <c:v>3.32</c:v>
                </c:pt>
                <c:pt idx="22">
                  <c:v>3.72</c:v>
                </c:pt>
                <c:pt idx="23">
                  <c:v>3.62</c:v>
                </c:pt>
                <c:pt idx="24">
                  <c:v>3.99</c:v>
                </c:pt>
                <c:pt idx="25">
                  <c:v>3.75</c:v>
                </c:pt>
                <c:pt idx="26">
                  <c:v>4.29</c:v>
                </c:pt>
                <c:pt idx="27">
                  <c:v>4.5599999999999996</c:v>
                </c:pt>
                <c:pt idx="28">
                  <c:v>4.16</c:v>
                </c:pt>
                <c:pt idx="29">
                  <c:v>5.17</c:v>
                </c:pt>
                <c:pt idx="30">
                  <c:v>4.03</c:v>
                </c:pt>
                <c:pt idx="31">
                  <c:v>3.95</c:v>
                </c:pt>
                <c:pt idx="32">
                  <c:v>6.43</c:v>
                </c:pt>
                <c:pt idx="33">
                  <c:v>5.45</c:v>
                </c:pt>
                <c:pt idx="34">
                  <c:v>6.4</c:v>
                </c:pt>
                <c:pt idx="35">
                  <c:v>6.74</c:v>
                </c:pt>
                <c:pt idx="36">
                  <c:v>6.86</c:v>
                </c:pt>
                <c:pt idx="37">
                  <c:v>6.56</c:v>
                </c:pt>
                <c:pt idx="38">
                  <c:v>5.73</c:v>
                </c:pt>
                <c:pt idx="39">
                  <c:v>7.12</c:v>
                </c:pt>
                <c:pt idx="40">
                  <c:v>4.3</c:v>
                </c:pt>
                <c:pt idx="41">
                  <c:v>5.64</c:v>
                </c:pt>
                <c:pt idx="42">
                  <c:v>5.24</c:v>
                </c:pt>
                <c:pt idx="43">
                  <c:v>5.53</c:v>
                </c:pt>
                <c:pt idx="44">
                  <c:v>5.32</c:v>
                </c:pt>
                <c:pt idx="45">
                  <c:v>6.04</c:v>
                </c:pt>
                <c:pt idx="46">
                  <c:v>5.1100000000000003</c:v>
                </c:pt>
                <c:pt idx="47">
                  <c:v>5.08</c:v>
                </c:pt>
                <c:pt idx="48">
                  <c:v>4.7699999999999996</c:v>
                </c:pt>
                <c:pt idx="49">
                  <c:v>5.51</c:v>
                </c:pt>
                <c:pt idx="50">
                  <c:v>4.43</c:v>
                </c:pt>
                <c:pt idx="51">
                  <c:v>6.01</c:v>
                </c:pt>
                <c:pt idx="52">
                  <c:v>5.71</c:v>
                </c:pt>
                <c:pt idx="53">
                  <c:v>5.63</c:v>
                </c:pt>
                <c:pt idx="54">
                  <c:v>5.35</c:v>
                </c:pt>
                <c:pt idx="55">
                  <c:v>4.8</c:v>
                </c:pt>
                <c:pt idx="56">
                  <c:v>5.62</c:v>
                </c:pt>
                <c:pt idx="57">
                  <c:v>4.12</c:v>
                </c:pt>
                <c:pt idx="58">
                  <c:v>4.4400000000000004</c:v>
                </c:pt>
                <c:pt idx="59">
                  <c:v>5.47</c:v>
                </c:pt>
                <c:pt idx="60">
                  <c:v>4.76</c:v>
                </c:pt>
                <c:pt idx="61">
                  <c:v>5.72</c:v>
                </c:pt>
                <c:pt idx="62">
                  <c:v>4.43</c:v>
                </c:pt>
                <c:pt idx="63">
                  <c:v>4.83</c:v>
                </c:pt>
                <c:pt idx="64">
                  <c:v>3.7</c:v>
                </c:pt>
                <c:pt idx="65">
                  <c:v>3.64</c:v>
                </c:pt>
                <c:pt idx="66">
                  <c:v>9.32</c:v>
                </c:pt>
                <c:pt idx="67">
                  <c:v>9.1300000000000008</c:v>
                </c:pt>
                <c:pt idx="68">
                  <c:v>5.27</c:v>
                </c:pt>
                <c:pt idx="69">
                  <c:v>7.85</c:v>
                </c:pt>
                <c:pt idx="70">
                  <c:v>7.24</c:v>
                </c:pt>
                <c:pt idx="71">
                  <c:v>8.32</c:v>
                </c:pt>
                <c:pt idx="72">
                  <c:v>6.4</c:v>
                </c:pt>
                <c:pt idx="73">
                  <c:v>4.95</c:v>
                </c:pt>
                <c:pt idx="74">
                  <c:v>6.08</c:v>
                </c:pt>
                <c:pt idx="75">
                  <c:v>4.07</c:v>
                </c:pt>
                <c:pt idx="76">
                  <c:v>3.84</c:v>
                </c:pt>
                <c:pt idx="77">
                  <c:v>4.72</c:v>
                </c:pt>
                <c:pt idx="78">
                  <c:v>5.14</c:v>
                </c:pt>
                <c:pt idx="79">
                  <c:v>5.46</c:v>
                </c:pt>
                <c:pt idx="80">
                  <c:v>7.14</c:v>
                </c:pt>
                <c:pt idx="81">
                  <c:v>5.65</c:v>
                </c:pt>
                <c:pt idx="82">
                  <c:v>5.18</c:v>
                </c:pt>
                <c:pt idx="83">
                  <c:v>4.1100000000000003</c:v>
                </c:pt>
                <c:pt idx="84">
                  <c:v>4.8600000000000003</c:v>
                </c:pt>
                <c:pt idx="85">
                  <c:v>5.15</c:v>
                </c:pt>
                <c:pt idx="86">
                  <c:v>5.62</c:v>
                </c:pt>
                <c:pt idx="87">
                  <c:v>5.35</c:v>
                </c:pt>
                <c:pt idx="88">
                  <c:v>5.07</c:v>
                </c:pt>
                <c:pt idx="89">
                  <c:v>4.83</c:v>
                </c:pt>
                <c:pt idx="90">
                  <c:v>6.13</c:v>
                </c:pt>
                <c:pt idx="91">
                  <c:v>4.51</c:v>
                </c:pt>
                <c:pt idx="92">
                  <c:v>5.22</c:v>
                </c:pt>
                <c:pt idx="93">
                  <c:v>5.81</c:v>
                </c:pt>
                <c:pt idx="94">
                  <c:v>5.66</c:v>
                </c:pt>
                <c:pt idx="95">
                  <c:v>6.07</c:v>
                </c:pt>
                <c:pt idx="96">
                  <c:v>4.2</c:v>
                </c:pt>
                <c:pt idx="97">
                  <c:v>5.09</c:v>
                </c:pt>
                <c:pt idx="98">
                  <c:v>5.21</c:v>
                </c:pt>
                <c:pt idx="99">
                  <c:v>4.01</c:v>
                </c:pt>
                <c:pt idx="100">
                  <c:v>4.45</c:v>
                </c:pt>
                <c:pt idx="101">
                  <c:v>4.16</c:v>
                </c:pt>
                <c:pt idx="102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A0B-BAF9-3352F7A5D19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2017'!$AN$112:$AN$114</c:f>
              <c:numCache>
                <c:formatCode>General</c:formatCode>
                <c:ptCount val="3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2017'!$H$115,'rolling 2017'!$H$115)</c:f>
              <c:numCache>
                <c:formatCode>General</c:formatCode>
                <c:ptCount val="2"/>
                <c:pt idx="0">
                  <c:v>6.5385597740806336</c:v>
                </c:pt>
                <c:pt idx="1">
                  <c:v>6.5385597740806336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A0B-BAF9-3352F7A5D19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2017'!$AN$112:$AN$113</c:f>
              <c:numCache>
                <c:formatCode>General</c:formatCode>
                <c:ptCount val="2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2017'!$H$117,'rolling 2017'!$H$117)</c:f>
              <c:numCache>
                <c:formatCode>General</c:formatCode>
                <c:ptCount val="2"/>
                <c:pt idx="0">
                  <c:v>7.4650896611209507</c:v>
                </c:pt>
                <c:pt idx="1">
                  <c:v>7.4650896611209507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A0B-BAF9-3352F7A5D19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2017'!$AN$112:$AN$113</c:f>
              <c:numCache>
                <c:formatCode>General</c:formatCode>
                <c:ptCount val="2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2017'!$H$114,'rolling 2017'!$H$114)</c:f>
              <c:numCache>
                <c:formatCode>General</c:formatCode>
                <c:ptCount val="2"/>
                <c:pt idx="0">
                  <c:v>2.8324402259193668</c:v>
                </c:pt>
                <c:pt idx="1">
                  <c:v>2.8324402259193668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A0B-BAF9-3352F7A5D19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2017'!$AN$112:$AN$113</c:f>
              <c:numCache>
                <c:formatCode>General</c:formatCode>
                <c:ptCount val="2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2017'!$H$116,'rolling 2017'!$H$116)</c:f>
              <c:numCache>
                <c:formatCode>General</c:formatCode>
                <c:ptCount val="2"/>
                <c:pt idx="0">
                  <c:v>1.9059103388790501</c:v>
                </c:pt>
                <c:pt idx="1">
                  <c:v>1.9059103388790501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A0B-BAF9-3352F7A5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2017'!$AN$2:$AN$111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'rolling 2017'!$K$2:$K$111</c:f>
              <c:numCache>
                <c:formatCode>General</c:formatCode>
                <c:ptCount val="110"/>
                <c:pt idx="1">
                  <c:v>4.91</c:v>
                </c:pt>
                <c:pt idx="2">
                  <c:v>4.1100000000000003</c:v>
                </c:pt>
                <c:pt idx="3" formatCode="#,##0.00">
                  <c:v>3.8</c:v>
                </c:pt>
                <c:pt idx="4" formatCode="#,##0.00">
                  <c:v>3.69</c:v>
                </c:pt>
                <c:pt idx="5" formatCode="#,##0.00">
                  <c:v>4.28</c:v>
                </c:pt>
                <c:pt idx="6" formatCode="#,##0.00">
                  <c:v>3.9</c:v>
                </c:pt>
                <c:pt idx="7" formatCode="#,##0.00">
                  <c:v>3.95</c:v>
                </c:pt>
                <c:pt idx="8" formatCode="#,##0.00">
                  <c:v>5.74</c:v>
                </c:pt>
                <c:pt idx="9" formatCode="#,##0.00">
                  <c:v>2.67</c:v>
                </c:pt>
                <c:pt idx="10" formatCode="#,##0.00">
                  <c:v>5.0599999999999996</c:v>
                </c:pt>
                <c:pt idx="11" formatCode="#,##0.00">
                  <c:v>8.16</c:v>
                </c:pt>
                <c:pt idx="12" formatCode="#,##0.00">
                  <c:v>10.14</c:v>
                </c:pt>
                <c:pt idx="13" formatCode="#,##0.00">
                  <c:v>3.07</c:v>
                </c:pt>
                <c:pt idx="14">
                  <c:v>13.04</c:v>
                </c:pt>
                <c:pt idx="15">
                  <c:v>24.37</c:v>
                </c:pt>
                <c:pt idx="16">
                  <c:v>7.15</c:v>
                </c:pt>
                <c:pt idx="17">
                  <c:v>6.8</c:v>
                </c:pt>
                <c:pt idx="18">
                  <c:v>6.98</c:v>
                </c:pt>
                <c:pt idx="19">
                  <c:v>6.23</c:v>
                </c:pt>
                <c:pt idx="20">
                  <c:v>5.34</c:v>
                </c:pt>
                <c:pt idx="21">
                  <c:v>6.33</c:v>
                </c:pt>
                <c:pt idx="22">
                  <c:v>8.3000000000000007</c:v>
                </c:pt>
                <c:pt idx="23">
                  <c:v>4.76</c:v>
                </c:pt>
                <c:pt idx="24">
                  <c:v>5.48</c:v>
                </c:pt>
                <c:pt idx="25">
                  <c:v>2.4900000000000002</c:v>
                </c:pt>
                <c:pt idx="26">
                  <c:v>3.67</c:v>
                </c:pt>
                <c:pt idx="27">
                  <c:v>4.16</c:v>
                </c:pt>
                <c:pt idx="28">
                  <c:v>14.24</c:v>
                </c:pt>
                <c:pt idx="29">
                  <c:v>9.1999999999999993</c:v>
                </c:pt>
                <c:pt idx="30">
                  <c:v>6.87</c:v>
                </c:pt>
                <c:pt idx="31">
                  <c:v>28.08</c:v>
                </c:pt>
                <c:pt idx="32">
                  <c:v>30.06</c:v>
                </c:pt>
                <c:pt idx="33">
                  <c:v>14.82</c:v>
                </c:pt>
                <c:pt idx="34">
                  <c:v>15.74</c:v>
                </c:pt>
                <c:pt idx="35">
                  <c:v>3.4</c:v>
                </c:pt>
                <c:pt idx="36">
                  <c:v>4.17</c:v>
                </c:pt>
                <c:pt idx="37">
                  <c:v>13.46</c:v>
                </c:pt>
                <c:pt idx="38">
                  <c:v>1.92</c:v>
                </c:pt>
                <c:pt idx="39">
                  <c:v>0</c:v>
                </c:pt>
                <c:pt idx="40">
                  <c:v>5.35</c:v>
                </c:pt>
                <c:pt idx="41">
                  <c:v>3.31</c:v>
                </c:pt>
                <c:pt idx="42">
                  <c:v>5.27</c:v>
                </c:pt>
                <c:pt idx="43">
                  <c:v>1.25</c:v>
                </c:pt>
                <c:pt idx="44">
                  <c:v>4.51</c:v>
                </c:pt>
                <c:pt idx="45">
                  <c:v>4.91</c:v>
                </c:pt>
                <c:pt idx="46">
                  <c:v>4.2699999999999996</c:v>
                </c:pt>
                <c:pt idx="47">
                  <c:v>4.5199999999999996</c:v>
                </c:pt>
                <c:pt idx="48">
                  <c:v>4.9000000000000004</c:v>
                </c:pt>
                <c:pt idx="49">
                  <c:v>4.8499999999999996</c:v>
                </c:pt>
                <c:pt idx="50">
                  <c:v>4.66</c:v>
                </c:pt>
                <c:pt idx="51">
                  <c:v>5.87</c:v>
                </c:pt>
                <c:pt idx="52">
                  <c:v>7.56</c:v>
                </c:pt>
                <c:pt idx="53">
                  <c:v>6.11</c:v>
                </c:pt>
                <c:pt idx="54">
                  <c:v>5.31</c:v>
                </c:pt>
                <c:pt idx="55">
                  <c:v>4.21</c:v>
                </c:pt>
                <c:pt idx="56">
                  <c:v>4.7699999999999996</c:v>
                </c:pt>
                <c:pt idx="57">
                  <c:v>4.37</c:v>
                </c:pt>
                <c:pt idx="58">
                  <c:v>5.4</c:v>
                </c:pt>
                <c:pt idx="59">
                  <c:v>20.04</c:v>
                </c:pt>
                <c:pt idx="60">
                  <c:v>6.87</c:v>
                </c:pt>
                <c:pt idx="61">
                  <c:v>2.31</c:v>
                </c:pt>
                <c:pt idx="62">
                  <c:v>3.61</c:v>
                </c:pt>
                <c:pt idx="63">
                  <c:v>8.34</c:v>
                </c:pt>
                <c:pt idx="64">
                  <c:v>9.07</c:v>
                </c:pt>
                <c:pt idx="65">
                  <c:v>5.96</c:v>
                </c:pt>
                <c:pt idx="66">
                  <c:v>3.36</c:v>
                </c:pt>
                <c:pt idx="67">
                  <c:v>3.99</c:v>
                </c:pt>
                <c:pt idx="68">
                  <c:v>4.24</c:v>
                </c:pt>
                <c:pt idx="69">
                  <c:v>4.43</c:v>
                </c:pt>
                <c:pt idx="70">
                  <c:v>4.2699999999999996</c:v>
                </c:pt>
                <c:pt idx="71">
                  <c:v>5.35</c:v>
                </c:pt>
                <c:pt idx="72">
                  <c:v>5.07</c:v>
                </c:pt>
                <c:pt idx="73">
                  <c:v>4.3099999999999996</c:v>
                </c:pt>
                <c:pt idx="74">
                  <c:v>5.34</c:v>
                </c:pt>
                <c:pt idx="75">
                  <c:v>5.41</c:v>
                </c:pt>
                <c:pt idx="76">
                  <c:v>5.14</c:v>
                </c:pt>
                <c:pt idx="77">
                  <c:v>5.32</c:v>
                </c:pt>
                <c:pt idx="78">
                  <c:v>3.96</c:v>
                </c:pt>
                <c:pt idx="79">
                  <c:v>3.86</c:v>
                </c:pt>
                <c:pt idx="80">
                  <c:v>3.84</c:v>
                </c:pt>
                <c:pt idx="81">
                  <c:v>4.54</c:v>
                </c:pt>
                <c:pt idx="82">
                  <c:v>3.77</c:v>
                </c:pt>
                <c:pt idx="83">
                  <c:v>3.9</c:v>
                </c:pt>
                <c:pt idx="84">
                  <c:v>4.9400000000000004</c:v>
                </c:pt>
                <c:pt idx="85">
                  <c:v>3.75</c:v>
                </c:pt>
                <c:pt idx="86">
                  <c:v>4.76</c:v>
                </c:pt>
                <c:pt idx="87">
                  <c:v>4.54</c:v>
                </c:pt>
                <c:pt idx="88">
                  <c:v>7.18</c:v>
                </c:pt>
                <c:pt idx="89">
                  <c:v>5.27</c:v>
                </c:pt>
                <c:pt idx="90">
                  <c:v>6.19</c:v>
                </c:pt>
                <c:pt idx="91">
                  <c:v>5.8</c:v>
                </c:pt>
                <c:pt idx="92">
                  <c:v>5.31</c:v>
                </c:pt>
                <c:pt idx="93">
                  <c:v>4.47</c:v>
                </c:pt>
                <c:pt idx="94">
                  <c:v>4.7300000000000004</c:v>
                </c:pt>
                <c:pt idx="95">
                  <c:v>4.67</c:v>
                </c:pt>
                <c:pt idx="96">
                  <c:v>3.26</c:v>
                </c:pt>
                <c:pt idx="97">
                  <c:v>5.6</c:v>
                </c:pt>
                <c:pt idx="98">
                  <c:v>5.32</c:v>
                </c:pt>
                <c:pt idx="99">
                  <c:v>6.03</c:v>
                </c:pt>
                <c:pt idx="100">
                  <c:v>8.01</c:v>
                </c:pt>
                <c:pt idx="101">
                  <c:v>3.51</c:v>
                </c:pt>
                <c:pt idx="102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7-4A39-AFDC-81D2B15051C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2017'!$AN$112:$AN$114</c:f>
              <c:numCache>
                <c:formatCode>General</c:formatCode>
                <c:ptCount val="3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2017'!$K$115,'rolling 2017'!$K$115)</c:f>
              <c:numCache>
                <c:formatCode>General</c:formatCode>
                <c:ptCount val="2"/>
                <c:pt idx="0">
                  <c:v>16.407139344317493</c:v>
                </c:pt>
                <c:pt idx="1">
                  <c:v>16.407139344317493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7-4A39-AFDC-81D2B15051C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2017'!$AN$112:$AN$113</c:f>
              <c:numCache>
                <c:formatCode>General</c:formatCode>
                <c:ptCount val="2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2017'!$K$117,'rolling 2017'!$K$117)</c:f>
              <c:numCache>
                <c:formatCode>General</c:formatCode>
                <c:ptCount val="2"/>
                <c:pt idx="0">
                  <c:v>21.275959016476236</c:v>
                </c:pt>
                <c:pt idx="1">
                  <c:v>21.275959016476236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A39-AFDC-81D2B15051C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2017'!$AN$112:$AN$113</c:f>
              <c:numCache>
                <c:formatCode>General</c:formatCode>
                <c:ptCount val="2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2017'!$K$114,'rolling 2017'!$K$114)</c:f>
              <c:numCache>
                <c:formatCode>General</c:formatCode>
                <c:ptCount val="2"/>
                <c:pt idx="0">
                  <c:v>-3.0681393443174887</c:v>
                </c:pt>
                <c:pt idx="1">
                  <c:v>-3.0681393443174887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E7-4A39-AFDC-81D2B15051C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2017'!$AN$112:$AN$113</c:f>
              <c:numCache>
                <c:formatCode>General</c:formatCode>
                <c:ptCount val="2"/>
                <c:pt idx="0">
                  <c:v>1</c:v>
                </c:pt>
                <c:pt idx="1">
                  <c:v>103</c:v>
                </c:pt>
              </c:numCache>
            </c:numRef>
          </c:xVal>
          <c:yVal>
            <c:numRef>
              <c:f>('rolling 2017'!$K$116,'rolling 2017'!$K$116)</c:f>
              <c:numCache>
                <c:formatCode>General</c:formatCode>
                <c:ptCount val="2"/>
                <c:pt idx="0">
                  <c:v>-7.9369590164762336</c:v>
                </c:pt>
                <c:pt idx="1">
                  <c:v>-7.9369590164762336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A39-AFDC-81D2B150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2018'!$AN$5:$AN$18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'rolling 2018'!$H$5:$H$18</c:f>
              <c:numCache>
                <c:formatCode>General</c:formatCode>
                <c:ptCount val="14"/>
                <c:pt idx="0" formatCode="#,##0.00">
                  <c:v>3.95</c:v>
                </c:pt>
                <c:pt idx="1">
                  <c:v>3.36</c:v>
                </c:pt>
                <c:pt idx="2">
                  <c:v>4.01</c:v>
                </c:pt>
                <c:pt idx="3">
                  <c:v>3.58</c:v>
                </c:pt>
                <c:pt idx="4" formatCode="#,##0.00">
                  <c:v>3.93</c:v>
                </c:pt>
                <c:pt idx="5" formatCode="#,##0.00">
                  <c:v>2.74</c:v>
                </c:pt>
                <c:pt idx="6" formatCode="#,##0.00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1-42CB-9163-758BDF4C0A6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2018'!$AN$19:$AN$21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2018'!$H$22,'rolling 2018'!$H$22)</c:f>
              <c:numCache>
                <c:formatCode>General</c:formatCode>
                <c:ptCount val="2"/>
                <c:pt idx="0">
                  <c:v>4.4905046193060034</c:v>
                </c:pt>
                <c:pt idx="1">
                  <c:v>4.4905046193060034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1-42CB-9163-758BDF4C0A6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2018'!$AN$19:$AN$20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2018'!$H$24,'rolling 2018'!$H$24)</c:f>
              <c:numCache>
                <c:formatCode>General</c:formatCode>
                <c:ptCount val="2"/>
                <c:pt idx="0">
                  <c:v>4.9371855003875771</c:v>
                </c:pt>
                <c:pt idx="1">
                  <c:v>4.9371855003875771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1-42CB-9163-758BDF4C0A6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2018'!$AN$19:$AN$20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2018'!$H$21,'rolling 2018'!$H$21)</c:f>
              <c:numCache>
                <c:formatCode>General</c:formatCode>
                <c:ptCount val="2"/>
                <c:pt idx="0">
                  <c:v>2.7037810949797101</c:v>
                </c:pt>
                <c:pt idx="1">
                  <c:v>2.7037810949797101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1-42CB-9163-758BDF4C0A6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2018'!$AN$19:$AN$20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2018'!$H$23,'rolling 2018'!$H$23)</c:f>
              <c:numCache>
                <c:formatCode>General</c:formatCode>
                <c:ptCount val="2"/>
                <c:pt idx="0">
                  <c:v>2.2571002138981369</c:v>
                </c:pt>
                <c:pt idx="1">
                  <c:v>2.2571002138981369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71-42CB-9163-758BDF4C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2018'!$AN$5:$AN$18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'rolling 2018'!$K$5:$K$18</c:f>
              <c:numCache>
                <c:formatCode>General</c:formatCode>
                <c:ptCount val="14"/>
                <c:pt idx="0" formatCode="#,##0.00">
                  <c:v>8.16</c:v>
                </c:pt>
                <c:pt idx="1">
                  <c:v>11.32</c:v>
                </c:pt>
                <c:pt idx="2">
                  <c:v>8.73</c:v>
                </c:pt>
                <c:pt idx="3">
                  <c:v>6.31</c:v>
                </c:pt>
                <c:pt idx="4" formatCode="#,##0.00">
                  <c:v>6.33</c:v>
                </c:pt>
                <c:pt idx="5" formatCode="#,##0.00">
                  <c:v>4.54</c:v>
                </c:pt>
                <c:pt idx="6" formatCode="#,##0.00">
                  <c:v>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7-4466-B838-165BD096953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2018'!$AN$19:$AN$21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2018'!$K$22,'rolling 2018'!$K$22)</c:f>
              <c:numCache>
                <c:formatCode>General</c:formatCode>
                <c:ptCount val="2"/>
                <c:pt idx="0">
                  <c:v>11.840871880775264</c:v>
                </c:pt>
                <c:pt idx="1">
                  <c:v>11.840871880775264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7-4466-B838-165BD096953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2018'!$AN$19:$AN$20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2018'!$K$24,'rolling 2018'!$K$24)</c:f>
              <c:numCache>
                <c:formatCode>General</c:formatCode>
                <c:ptCount val="2"/>
                <c:pt idx="0">
                  <c:v>14.106307821162897</c:v>
                </c:pt>
                <c:pt idx="1">
                  <c:v>14.106307821162897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7-4466-B838-165BD096953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2018'!$AN$19:$AN$20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2018'!$K$21,'rolling 2018'!$K$21)</c:f>
              <c:numCache>
                <c:formatCode>General</c:formatCode>
                <c:ptCount val="2"/>
                <c:pt idx="0">
                  <c:v>2.7791281192247368</c:v>
                </c:pt>
                <c:pt idx="1">
                  <c:v>2.7791281192247368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57-4466-B838-165BD096953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2018'!$AN$19:$AN$20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xVal>
          <c:yVal>
            <c:numRef>
              <c:f>('rolling 2018'!$K$23,'rolling 2018'!$K$23)</c:f>
              <c:numCache>
                <c:formatCode>General</c:formatCode>
                <c:ptCount val="2"/>
                <c:pt idx="0">
                  <c:v>0.51369217883710494</c:v>
                </c:pt>
                <c:pt idx="1">
                  <c:v>0.51369217883710494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57-4466-B838-165BD0969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2019'!$AR$20:$AR$66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'rolling 2019'!$H$20:$H$66</c:f>
              <c:numCache>
                <c:formatCode>#,##0</c:formatCode>
                <c:ptCount val="47"/>
                <c:pt idx="0">
                  <c:v>1915</c:v>
                </c:pt>
                <c:pt idx="1">
                  <c:v>2022</c:v>
                </c:pt>
                <c:pt idx="2">
                  <c:v>2704</c:v>
                </c:pt>
                <c:pt idx="3">
                  <c:v>2459</c:v>
                </c:pt>
                <c:pt idx="4">
                  <c:v>2762</c:v>
                </c:pt>
                <c:pt idx="5">
                  <c:v>1561</c:v>
                </c:pt>
                <c:pt idx="6">
                  <c:v>1767</c:v>
                </c:pt>
                <c:pt idx="7">
                  <c:v>1577</c:v>
                </c:pt>
                <c:pt idx="8">
                  <c:v>1778</c:v>
                </c:pt>
                <c:pt idx="9">
                  <c:v>1617</c:v>
                </c:pt>
                <c:pt idx="10">
                  <c:v>1806</c:v>
                </c:pt>
                <c:pt idx="11">
                  <c:v>1748</c:v>
                </c:pt>
                <c:pt idx="12">
                  <c:v>1659</c:v>
                </c:pt>
                <c:pt idx="13">
                  <c:v>2906</c:v>
                </c:pt>
                <c:pt idx="14">
                  <c:v>1946</c:v>
                </c:pt>
                <c:pt idx="15">
                  <c:v>1872</c:v>
                </c:pt>
                <c:pt idx="16">
                  <c:v>1407</c:v>
                </c:pt>
                <c:pt idx="17">
                  <c:v>1867</c:v>
                </c:pt>
                <c:pt idx="18">
                  <c:v>2207</c:v>
                </c:pt>
                <c:pt idx="19">
                  <c:v>1721</c:v>
                </c:pt>
                <c:pt idx="20">
                  <c:v>1613</c:v>
                </c:pt>
                <c:pt idx="21">
                  <c:v>1955</c:v>
                </c:pt>
                <c:pt idx="22">
                  <c:v>1730</c:v>
                </c:pt>
                <c:pt idx="23">
                  <c:v>1586</c:v>
                </c:pt>
                <c:pt idx="24">
                  <c:v>2155</c:v>
                </c:pt>
                <c:pt idx="25">
                  <c:v>2169</c:v>
                </c:pt>
                <c:pt idx="26">
                  <c:v>1924</c:v>
                </c:pt>
                <c:pt idx="27">
                  <c:v>2329</c:v>
                </c:pt>
                <c:pt idx="28">
                  <c:v>1809</c:v>
                </c:pt>
                <c:pt idx="29">
                  <c:v>2430</c:v>
                </c:pt>
                <c:pt idx="30">
                  <c:v>1985</c:v>
                </c:pt>
                <c:pt idx="31">
                  <c:v>2377</c:v>
                </c:pt>
                <c:pt idx="32">
                  <c:v>2563</c:v>
                </c:pt>
                <c:pt idx="33">
                  <c:v>2002</c:v>
                </c:pt>
                <c:pt idx="34">
                  <c:v>2250</c:v>
                </c:pt>
                <c:pt idx="35">
                  <c:v>1821</c:v>
                </c:pt>
                <c:pt idx="36">
                  <c:v>2200</c:v>
                </c:pt>
                <c:pt idx="37">
                  <c:v>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4-4A02-8F8A-C1E2EFCE9E5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2019'!$H$71,'rolling 2019'!$H$71)</c:f>
              <c:numCache>
                <c:formatCode>0.000</c:formatCode>
                <c:ptCount val="2"/>
                <c:pt idx="0">
                  <c:v>2762.1687605207871</c:v>
                </c:pt>
                <c:pt idx="1">
                  <c:v>2762.1687605207871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4-4A02-8F8A-C1E2EFCE9E5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2019'!$H$73,'rolling 2019'!$H$73)</c:f>
              <c:numCache>
                <c:formatCode>0.000</c:formatCode>
                <c:ptCount val="2"/>
                <c:pt idx="0">
                  <c:v>3133.6873513074961</c:v>
                </c:pt>
                <c:pt idx="1">
                  <c:v>3133.6873513074961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4-4A02-8F8A-C1E2EFCE9E5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2019'!$H$70,'rolling 2019'!$H$70)</c:f>
              <c:numCache>
                <c:formatCode>0.000</c:formatCode>
                <c:ptCount val="2"/>
                <c:pt idx="0">
                  <c:v>1276.0943973739495</c:v>
                </c:pt>
                <c:pt idx="1">
                  <c:v>1276.0943973739495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4-4A02-8F8A-C1E2EFCE9E5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2019'!$AR$67:$AR$68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xVal>
          <c:yVal>
            <c:numRef>
              <c:f>('rolling 2019'!$H$72,'rolling 2019'!$H$72)</c:f>
              <c:numCache>
                <c:formatCode>0.000</c:formatCode>
                <c:ptCount val="2"/>
                <c:pt idx="0">
                  <c:v>904.57580658724032</c:v>
                </c:pt>
                <c:pt idx="1">
                  <c:v>904.57580658724032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94-4A02-8F8A-C1E2EFCE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48558</xdr:colOff>
      <xdr:row>150</xdr:row>
      <xdr:rowOff>45943</xdr:rowOff>
    </xdr:from>
    <xdr:to>
      <xdr:col>10</xdr:col>
      <xdr:colOff>429558</xdr:colOff>
      <xdr:row>164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0E5DC-061E-4777-96B2-92F8164D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466911</xdr:colOff>
      <xdr:row>150</xdr:row>
      <xdr:rowOff>70971</xdr:rowOff>
    </xdr:from>
    <xdr:to>
      <xdr:col>21</xdr:col>
      <xdr:colOff>332440</xdr:colOff>
      <xdr:row>164</xdr:row>
      <xdr:rowOff>147171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A2BA0-ED1E-4CB0-957F-0DBCF5D2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48558</xdr:colOff>
      <xdr:row>81</xdr:row>
      <xdr:rowOff>45943</xdr:rowOff>
    </xdr:from>
    <xdr:to>
      <xdr:col>10</xdr:col>
      <xdr:colOff>429558</xdr:colOff>
      <xdr:row>95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466911</xdr:colOff>
      <xdr:row>81</xdr:row>
      <xdr:rowOff>70971</xdr:rowOff>
    </xdr:from>
    <xdr:to>
      <xdr:col>21</xdr:col>
      <xdr:colOff>332440</xdr:colOff>
      <xdr:row>95</xdr:row>
      <xdr:rowOff>147171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43744</xdr:colOff>
      <xdr:row>118</xdr:row>
      <xdr:rowOff>67649</xdr:rowOff>
    </xdr:from>
    <xdr:to>
      <xdr:col>10</xdr:col>
      <xdr:colOff>338666</xdr:colOff>
      <xdr:row>132</xdr:row>
      <xdr:rowOff>141733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352528</xdr:colOff>
      <xdr:row>118</xdr:row>
      <xdr:rowOff>68397</xdr:rowOff>
    </xdr:from>
    <xdr:to>
      <xdr:col>21</xdr:col>
      <xdr:colOff>636160</xdr:colOff>
      <xdr:row>132</xdr:row>
      <xdr:rowOff>144598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43744</xdr:colOff>
      <xdr:row>25</xdr:row>
      <xdr:rowOff>67649</xdr:rowOff>
    </xdr:from>
    <xdr:to>
      <xdr:col>10</xdr:col>
      <xdr:colOff>338666</xdr:colOff>
      <xdr:row>39</xdr:row>
      <xdr:rowOff>141733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51E5D-F043-4950-B3E0-DC8ED366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352528</xdr:colOff>
      <xdr:row>25</xdr:row>
      <xdr:rowOff>68397</xdr:rowOff>
    </xdr:from>
    <xdr:to>
      <xdr:col>21</xdr:col>
      <xdr:colOff>636160</xdr:colOff>
      <xdr:row>39</xdr:row>
      <xdr:rowOff>144598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97433-B8FB-47E2-AE7E-CBBB0572D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6266</xdr:rowOff>
    </xdr:from>
    <xdr:to>
      <xdr:col>9</xdr:col>
      <xdr:colOff>415572</xdr:colOff>
      <xdr:row>15</xdr:row>
      <xdr:rowOff>80350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45EC5-05AC-4BEE-BFE8-7832CAB8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489054</xdr:colOff>
      <xdr:row>1</xdr:row>
      <xdr:rowOff>8074</xdr:rowOff>
    </xdr:from>
    <xdr:to>
      <xdr:col>20</xdr:col>
      <xdr:colOff>453070</xdr:colOff>
      <xdr:row>15</xdr:row>
      <xdr:rowOff>84275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4259A-B7CD-4264-9CEB-FFD77C6D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41545</xdr:rowOff>
    </xdr:from>
    <xdr:to>
      <xdr:col>9</xdr:col>
      <xdr:colOff>244122</xdr:colOff>
      <xdr:row>14</xdr:row>
      <xdr:rowOff>129740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A6219-B35D-4C79-A9F1-C4ACD0EAA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347943</xdr:colOff>
      <xdr:row>0</xdr:row>
      <xdr:rowOff>141111</xdr:rowOff>
    </xdr:from>
    <xdr:to>
      <xdr:col>20</xdr:col>
      <xdr:colOff>311959</xdr:colOff>
      <xdr:row>15</xdr:row>
      <xdr:rowOff>19756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E3DF8-9092-4A89-BFB0-C3C59768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500944</xdr:colOff>
      <xdr:row>1</xdr:row>
      <xdr:rowOff>28222</xdr:rowOff>
    </xdr:from>
    <xdr:to>
      <xdr:col>31</xdr:col>
      <xdr:colOff>53622</xdr:colOff>
      <xdr:row>15</xdr:row>
      <xdr:rowOff>116418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37729-9EF2-40A5-8F6F-DF6702797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41545</xdr:rowOff>
    </xdr:from>
    <xdr:to>
      <xdr:col>9</xdr:col>
      <xdr:colOff>244122</xdr:colOff>
      <xdr:row>14</xdr:row>
      <xdr:rowOff>129740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E8FC3-66B3-4C95-8E71-E34AF9D6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347943</xdr:colOff>
      <xdr:row>0</xdr:row>
      <xdr:rowOff>141111</xdr:rowOff>
    </xdr:from>
    <xdr:to>
      <xdr:col>20</xdr:col>
      <xdr:colOff>311959</xdr:colOff>
      <xdr:row>15</xdr:row>
      <xdr:rowOff>19756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44F09-254E-4A76-BF62-4E4DA365F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500944</xdr:colOff>
      <xdr:row>1</xdr:row>
      <xdr:rowOff>28222</xdr:rowOff>
    </xdr:from>
    <xdr:to>
      <xdr:col>31</xdr:col>
      <xdr:colOff>53622</xdr:colOff>
      <xdr:row>15</xdr:row>
      <xdr:rowOff>116418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E7B3D-24F4-464D-A189-7E0D3D86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41545</xdr:rowOff>
    </xdr:from>
    <xdr:to>
      <xdr:col>9</xdr:col>
      <xdr:colOff>244122</xdr:colOff>
      <xdr:row>14</xdr:row>
      <xdr:rowOff>129740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F44D5-D08E-45C4-8E71-AD6B1C3ED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757165</xdr:colOff>
      <xdr:row>0</xdr:row>
      <xdr:rowOff>21167</xdr:rowOff>
    </xdr:from>
    <xdr:to>
      <xdr:col>21</xdr:col>
      <xdr:colOff>72070</xdr:colOff>
      <xdr:row>14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82AB0-BC74-43FC-864B-D587985A1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232833</xdr:colOff>
      <xdr:row>0</xdr:row>
      <xdr:rowOff>0</xdr:rowOff>
    </xdr:from>
    <xdr:to>
      <xdr:col>31</xdr:col>
      <xdr:colOff>434622</xdr:colOff>
      <xdr:row>14</xdr:row>
      <xdr:rowOff>88195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3215C-37F6-4CDF-8B1D-892448798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204612</xdr:colOff>
      <xdr:row>15</xdr:row>
      <xdr:rowOff>56445</xdr:rowOff>
    </xdr:from>
    <xdr:to>
      <xdr:col>9</xdr:col>
      <xdr:colOff>448734</xdr:colOff>
      <xdr:row>29</xdr:row>
      <xdr:rowOff>144640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0C5B2-DEE7-4187-9DD3-C20C3BC10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726722</xdr:colOff>
      <xdr:row>15</xdr:row>
      <xdr:rowOff>7056</xdr:rowOff>
    </xdr:from>
    <xdr:to>
      <xdr:col>21</xdr:col>
      <xdr:colOff>41627</xdr:colOff>
      <xdr:row>29</xdr:row>
      <xdr:rowOff>83256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7B1809-236D-49B1-BB0C-4280F44E7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19C6-9408-49C9-96ED-6D6A8EE33BAF}">
  <dimension ref="A1:AL27"/>
  <sheetViews>
    <sheetView tabSelected="1" topLeftCell="A9" zoomScale="90" zoomScaleNormal="90" workbookViewId="0">
      <selection activeCell="K23" sqref="K23"/>
    </sheetView>
  </sheetViews>
  <sheetFormatPr defaultColWidth="8.77734375" defaultRowHeight="14.4" x14ac:dyDescent="0.3"/>
  <cols>
    <col min="1" max="1" width="11" style="101" customWidth="1"/>
    <col min="2" max="2" width="8.77734375" style="101"/>
    <col min="3" max="3" width="13.21875" style="101" customWidth="1"/>
    <col min="4" max="4" width="11.6640625" style="101" customWidth="1"/>
    <col min="5" max="5" width="11.21875" style="101" customWidth="1"/>
    <col min="6" max="6" width="18.5546875" style="101" customWidth="1"/>
    <col min="7" max="8" width="9.44140625" style="101" customWidth="1"/>
    <col min="9" max="10" width="8.77734375" style="101"/>
    <col min="11" max="12" width="12" style="101" bestFit="1" customWidth="1"/>
    <col min="13" max="14" width="8.77734375" style="101"/>
    <col min="15" max="15" width="12" style="101" bestFit="1" customWidth="1"/>
    <col min="16" max="18" width="11.77734375" style="101" customWidth="1"/>
    <col min="19" max="19" width="11.77734375" style="8" bestFit="1" customWidth="1"/>
    <col min="20" max="24" width="8.77734375" style="101"/>
    <col min="25" max="26" width="12" style="101" bestFit="1" customWidth="1"/>
    <col min="27" max="27" width="11.77734375" style="101" bestFit="1" customWidth="1"/>
    <col min="28" max="29" width="12" style="101" bestFit="1" customWidth="1"/>
    <col min="30" max="32" width="8.77734375" style="101"/>
    <col min="33" max="33" width="12" style="101" bestFit="1" customWidth="1"/>
    <col min="34" max="34" width="11.77734375" style="101" bestFit="1" customWidth="1"/>
    <col min="35" max="35" width="12" style="101" bestFit="1" customWidth="1"/>
    <col min="36" max="36" width="11" style="101" bestFit="1" customWidth="1"/>
    <col min="37" max="16384" width="8.77734375" style="101"/>
  </cols>
  <sheetData>
    <row r="1" spans="1:38" x14ac:dyDescent="0.3">
      <c r="F1" s="1" t="s">
        <v>483</v>
      </c>
      <c r="G1" s="8"/>
      <c r="H1" s="101" t="s">
        <v>484</v>
      </c>
      <c r="I1" s="101">
        <f t="shared" ref="I1:AK1" si="0">AVERAGE(I16:I21)</f>
        <v>0.98364545669928827</v>
      </c>
      <c r="J1" s="101">
        <f t="shared" si="0"/>
        <v>195.65560372663802</v>
      </c>
      <c r="K1" s="101">
        <f t="shared" si="0"/>
        <v>5.3527129004549145E-3</v>
      </c>
      <c r="L1" s="101">
        <f t="shared" si="0"/>
        <v>6.7026498054216006</v>
      </c>
      <c r="M1" s="101">
        <f t="shared" si="0"/>
        <v>8.5643406407278633E-2</v>
      </c>
      <c r="N1" s="101">
        <f t="shared" si="0"/>
        <v>294.91659143855048</v>
      </c>
      <c r="O1" s="101">
        <f t="shared" si="0"/>
        <v>0.14878688490798617</v>
      </c>
      <c r="P1" s="101">
        <f t="shared" si="0"/>
        <v>182.98934232815395</v>
      </c>
      <c r="Q1" s="101">
        <f t="shared" si="0"/>
        <v>182.98934232815395</v>
      </c>
      <c r="R1" s="101" t="e">
        <f t="shared" si="0"/>
        <v>#DIV/0!</v>
      </c>
      <c r="S1" s="101">
        <f t="shared" si="0"/>
        <v>0.93524829999999992</v>
      </c>
      <c r="T1" s="101">
        <f t="shared" si="0"/>
        <v>303.15000000000003</v>
      </c>
      <c r="U1" s="101">
        <f t="shared" si="0"/>
        <v>1.7999999999999999E-2</v>
      </c>
      <c r="V1" s="101">
        <f t="shared" si="0"/>
        <v>2E-3</v>
      </c>
      <c r="W1" s="101">
        <f t="shared" si="0"/>
        <v>4.790442568698456E-2</v>
      </c>
      <c r="X1" s="101" t="e">
        <f t="shared" si="0"/>
        <v>#DIV/0!</v>
      </c>
      <c r="Y1" s="101">
        <f t="shared" si="0"/>
        <v>9.1995274118073287E-7</v>
      </c>
      <c r="Z1" s="101">
        <f t="shared" si="0"/>
        <v>7.4296835106508674E-11</v>
      </c>
      <c r="AA1" s="101">
        <f t="shared" si="0"/>
        <v>0</v>
      </c>
      <c r="AB1" s="101">
        <f t="shared" si="0"/>
        <v>2.2051997101679771E-11</v>
      </c>
      <c r="AC1" s="101">
        <f t="shared" si="0"/>
        <v>9.6348832208188455E-11</v>
      </c>
      <c r="AD1" s="101">
        <f t="shared" si="0"/>
        <v>1.3084236798206203E-3</v>
      </c>
      <c r="AE1" s="101" t="e">
        <f t="shared" si="0"/>
        <v>#DIV/0!</v>
      </c>
      <c r="AF1" s="101">
        <f t="shared" si="0"/>
        <v>1.8298657077081183E-4</v>
      </c>
      <c r="AG1" s="101">
        <f t="shared" si="0"/>
        <v>1.4852399759594361E-8</v>
      </c>
      <c r="AH1" s="101">
        <f t="shared" si="0"/>
        <v>0</v>
      </c>
      <c r="AI1" s="101">
        <f t="shared" si="0"/>
        <v>1.0579529673799444E-7</v>
      </c>
      <c r="AJ1" s="101">
        <f t="shared" si="0"/>
        <v>1.2064769649758881E-7</v>
      </c>
      <c r="AK1" s="101">
        <f t="shared" si="0"/>
        <v>3.014917608687678E-2</v>
      </c>
    </row>
    <row r="2" spans="1:38" x14ac:dyDescent="0.3">
      <c r="F2" s="1" t="s">
        <v>485</v>
      </c>
      <c r="G2" s="8"/>
      <c r="H2" s="101" t="s">
        <v>486</v>
      </c>
      <c r="I2" s="101">
        <f t="shared" ref="I2:AK2" si="1">MIN(I16:I21)</f>
        <v>0.27852424170360435</v>
      </c>
      <c r="J2" s="101">
        <f t="shared" si="1"/>
        <v>111.89906219204632</v>
      </c>
      <c r="K2" s="101">
        <f t="shared" si="1"/>
        <v>1.4083862291446006E-3</v>
      </c>
      <c r="L2" s="101">
        <f t="shared" si="1"/>
        <v>2.8323869232151027</v>
      </c>
      <c r="M2" s="101">
        <f t="shared" si="1"/>
        <v>2.253417966631361E-2</v>
      </c>
      <c r="N2" s="101">
        <f t="shared" si="1"/>
        <v>124.62502462146452</v>
      </c>
      <c r="O2" s="101">
        <f t="shared" si="1"/>
        <v>4.1960376559779265E-2</v>
      </c>
      <c r="P2" s="101">
        <f t="shared" si="1"/>
        <v>84.385958483337348</v>
      </c>
      <c r="Q2" s="101">
        <f t="shared" si="1"/>
        <v>84.385958483337362</v>
      </c>
      <c r="R2" s="101">
        <f t="shared" si="1"/>
        <v>0</v>
      </c>
      <c r="S2" s="101">
        <f t="shared" si="1"/>
        <v>0.93524829999999992</v>
      </c>
      <c r="T2" s="101">
        <f t="shared" si="1"/>
        <v>293.14999999999998</v>
      </c>
      <c r="U2" s="101">
        <f t="shared" si="1"/>
        <v>1.7999999999999999E-2</v>
      </c>
      <c r="V2" s="101">
        <f t="shared" si="1"/>
        <v>2E-3</v>
      </c>
      <c r="W2" s="101">
        <f t="shared" si="1"/>
        <v>2.3043353850768673E-2</v>
      </c>
      <c r="X2" s="101">
        <f t="shared" si="1"/>
        <v>0</v>
      </c>
      <c r="Y2" s="101">
        <f t="shared" si="1"/>
        <v>2.6048932356208503E-7</v>
      </c>
      <c r="Z2" s="101">
        <f t="shared" si="1"/>
        <v>2.0274580287231012E-11</v>
      </c>
      <c r="AA2" s="101">
        <f t="shared" si="1"/>
        <v>0</v>
      </c>
      <c r="AB2" s="101">
        <f t="shared" si="1"/>
        <v>5.0763718373717958E-12</v>
      </c>
      <c r="AC2" s="101">
        <f t="shared" si="1"/>
        <v>2.5350952124602809E-11</v>
      </c>
      <c r="AD2" s="101">
        <f t="shared" si="1"/>
        <v>1.0826572612468305E-3</v>
      </c>
      <c r="AE2" s="101">
        <f t="shared" si="1"/>
        <v>0</v>
      </c>
      <c r="AF2" s="101">
        <f t="shared" si="1"/>
        <v>1.0465340768670559E-4</v>
      </c>
      <c r="AG2" s="101">
        <f t="shared" si="1"/>
        <v>8.2363181321205405E-9</v>
      </c>
      <c r="AH2" s="101">
        <f t="shared" si="1"/>
        <v>0</v>
      </c>
      <c r="AI2" s="101">
        <f t="shared" si="1"/>
        <v>4.2746646485751305E-8</v>
      </c>
      <c r="AJ2" s="101">
        <f t="shared" si="1"/>
        <v>5.0982964617871845E-8</v>
      </c>
      <c r="AK2" s="101">
        <f t="shared" si="1"/>
        <v>2.2441835563004237E-2</v>
      </c>
    </row>
    <row r="3" spans="1:38" x14ac:dyDescent="0.3">
      <c r="F3" s="1"/>
      <c r="G3" s="8"/>
      <c r="H3" s="101" t="s">
        <v>487</v>
      </c>
      <c r="I3" s="101">
        <f t="shared" ref="I3:AK3" si="2">MAX(I16:I21)</f>
        <v>1.5722436362178027</v>
      </c>
      <c r="J3" s="101">
        <f t="shared" si="2"/>
        <v>319.76001644913305</v>
      </c>
      <c r="K3" s="101">
        <f t="shared" si="2"/>
        <v>8.1884579997983029E-3</v>
      </c>
      <c r="L3" s="101">
        <f t="shared" si="2"/>
        <v>12.702528826532834</v>
      </c>
      <c r="M3" s="101">
        <f t="shared" si="2"/>
        <v>0.13101532799677285</v>
      </c>
      <c r="N3" s="101">
        <f t="shared" si="2"/>
        <v>558.91126836744468</v>
      </c>
      <c r="O3" s="101">
        <f t="shared" si="2"/>
        <v>0.23686245267519876</v>
      </c>
      <c r="P3" s="101">
        <f t="shared" si="2"/>
        <v>334.96798446586143</v>
      </c>
      <c r="Q3" s="101">
        <f t="shared" si="2"/>
        <v>334.96798446586143</v>
      </c>
      <c r="R3" s="101">
        <f t="shared" si="2"/>
        <v>0</v>
      </c>
      <c r="S3" s="101">
        <f t="shared" si="2"/>
        <v>0.93524829999999992</v>
      </c>
      <c r="T3" s="101">
        <f t="shared" si="2"/>
        <v>313.14999999999998</v>
      </c>
      <c r="U3" s="101">
        <f t="shared" si="2"/>
        <v>1.7999999999999999E-2</v>
      </c>
      <c r="V3" s="101">
        <f t="shared" si="2"/>
        <v>2E-3</v>
      </c>
      <c r="W3" s="101">
        <f t="shared" si="2"/>
        <v>7.2765497523200454E-2</v>
      </c>
      <c r="X3" s="101">
        <f t="shared" si="2"/>
        <v>0</v>
      </c>
      <c r="Y3" s="101">
        <f t="shared" si="2"/>
        <v>1.4704381879585182E-6</v>
      </c>
      <c r="Z3" s="101">
        <f t="shared" si="2"/>
        <v>1.1444813434770176E-10</v>
      </c>
      <c r="AA3" s="101">
        <f t="shared" si="2"/>
        <v>0</v>
      </c>
      <c r="AB3" s="101">
        <f t="shared" si="2"/>
        <v>3.6749418816885299E-11</v>
      </c>
      <c r="AC3" s="101">
        <f t="shared" si="2"/>
        <v>1.4739224399636942E-10</v>
      </c>
      <c r="AD3" s="101">
        <f t="shared" si="2"/>
        <v>1.53419009839441E-3</v>
      </c>
      <c r="AE3" s="101">
        <f t="shared" si="2"/>
        <v>0</v>
      </c>
      <c r="AF3" s="101">
        <f t="shared" si="2"/>
        <v>2.9905501179202369E-4</v>
      </c>
      <c r="AG3" s="101">
        <f t="shared" si="2"/>
        <v>2.4864260491804601E-8</v>
      </c>
      <c r="AH3" s="101">
        <f t="shared" si="2"/>
        <v>0</v>
      </c>
      <c r="AI3" s="101">
        <f t="shared" si="2"/>
        <v>2.037812583857864E-7</v>
      </c>
      <c r="AJ3" s="101">
        <f t="shared" si="2"/>
        <v>2.28645518877591E-7</v>
      </c>
      <c r="AK3" s="101">
        <f t="shared" si="2"/>
        <v>3.7856516610749319E-2</v>
      </c>
    </row>
    <row r="4" spans="1:38" x14ac:dyDescent="0.3">
      <c r="I4" s="101" t="s">
        <v>488</v>
      </c>
      <c r="K4" s="101" t="s">
        <v>489</v>
      </c>
      <c r="L4" s="101" t="s">
        <v>490</v>
      </c>
      <c r="S4" s="8" t="s">
        <v>491</v>
      </c>
      <c r="Y4" s="101" t="s">
        <v>492</v>
      </c>
      <c r="AF4" s="101" t="s">
        <v>493</v>
      </c>
    </row>
    <row r="5" spans="1:38" x14ac:dyDescent="0.3">
      <c r="I5" s="101" t="s">
        <v>494</v>
      </c>
      <c r="J5" s="101" t="s">
        <v>495</v>
      </c>
      <c r="K5" s="101" t="s">
        <v>496</v>
      </c>
      <c r="L5" s="101" t="s">
        <v>496</v>
      </c>
      <c r="S5" s="8" t="s">
        <v>497</v>
      </c>
      <c r="T5" s="101" t="s">
        <v>498</v>
      </c>
      <c r="U5" s="101" t="s">
        <v>499</v>
      </c>
      <c r="V5" s="101" t="s">
        <v>500</v>
      </c>
      <c r="Y5" s="101" t="s">
        <v>501</v>
      </c>
      <c r="Z5" s="101" t="s">
        <v>502</v>
      </c>
      <c r="AA5" s="101" t="s">
        <v>503</v>
      </c>
      <c r="AB5" s="101" t="s">
        <v>504</v>
      </c>
      <c r="AC5" s="101" t="s">
        <v>505</v>
      </c>
      <c r="AD5" s="101" t="s">
        <v>506</v>
      </c>
      <c r="AF5" s="101" t="s">
        <v>501</v>
      </c>
      <c r="AG5" s="101" t="s">
        <v>502</v>
      </c>
      <c r="AH5" s="101" t="s">
        <v>503</v>
      </c>
      <c r="AI5" s="101" t="s">
        <v>504</v>
      </c>
      <c r="AJ5" s="101" t="s">
        <v>505</v>
      </c>
      <c r="AK5" s="101" t="s">
        <v>506</v>
      </c>
    </row>
    <row r="6" spans="1:38" x14ac:dyDescent="0.3">
      <c r="G6" s="121" t="s">
        <v>507</v>
      </c>
      <c r="H6" s="121"/>
      <c r="I6" s="121"/>
      <c r="J6" s="121"/>
      <c r="K6" s="122" t="s">
        <v>508</v>
      </c>
      <c r="L6" s="122"/>
      <c r="S6" s="8" t="s">
        <v>509</v>
      </c>
      <c r="Z6" s="101" t="s">
        <v>510</v>
      </c>
      <c r="AA6" s="101" t="s">
        <v>511</v>
      </c>
      <c r="AD6" s="101" t="s">
        <v>512</v>
      </c>
      <c r="AK6" s="101" t="s">
        <v>512</v>
      </c>
    </row>
    <row r="7" spans="1:38" x14ac:dyDescent="0.3">
      <c r="G7" s="121"/>
      <c r="H7" s="121"/>
      <c r="I7" s="121"/>
      <c r="J7" s="121"/>
      <c r="K7" s="122"/>
      <c r="L7" s="122"/>
      <c r="S7" s="8" t="s">
        <v>513</v>
      </c>
      <c r="T7" s="101" t="s">
        <v>514</v>
      </c>
      <c r="U7" s="101" t="s">
        <v>515</v>
      </c>
      <c r="V7" s="101" t="s">
        <v>515</v>
      </c>
      <c r="Y7" s="101" t="s">
        <v>513</v>
      </c>
      <c r="Z7" s="101" t="s">
        <v>516</v>
      </c>
      <c r="AA7" s="101" t="s">
        <v>516</v>
      </c>
      <c r="AB7" s="101" t="s">
        <v>516</v>
      </c>
      <c r="AC7" s="101" t="s">
        <v>516</v>
      </c>
    </row>
    <row r="8" spans="1:38" s="1" customFormat="1" ht="187.2" x14ac:dyDescent="0.3">
      <c r="A8" s="1" t="s">
        <v>306</v>
      </c>
      <c r="B8" s="1" t="s">
        <v>307</v>
      </c>
      <c r="C8" s="1" t="s">
        <v>308</v>
      </c>
      <c r="D8" s="1" t="s">
        <v>309</v>
      </c>
      <c r="E8" s="1" t="s">
        <v>517</v>
      </c>
      <c r="F8" s="1" t="s">
        <v>311</v>
      </c>
      <c r="G8" s="94" t="s">
        <v>565</v>
      </c>
      <c r="H8" s="94" t="s">
        <v>518</v>
      </c>
      <c r="I8" s="94" t="s">
        <v>315</v>
      </c>
      <c r="J8" s="94" t="s">
        <v>316</v>
      </c>
      <c r="K8" s="123" t="s">
        <v>519</v>
      </c>
      <c r="L8" s="123" t="s">
        <v>520</v>
      </c>
      <c r="M8" s="1" t="s">
        <v>521</v>
      </c>
      <c r="N8" s="1" t="s">
        <v>521</v>
      </c>
      <c r="O8" s="1" t="s">
        <v>522</v>
      </c>
      <c r="P8" s="1" t="s">
        <v>523</v>
      </c>
      <c r="Q8" s="1" t="s">
        <v>524</v>
      </c>
      <c r="S8" s="19" t="s">
        <v>525</v>
      </c>
      <c r="T8" s="1" t="s">
        <v>526</v>
      </c>
      <c r="U8" s="124" t="s">
        <v>527</v>
      </c>
      <c r="V8" s="124" t="s">
        <v>528</v>
      </c>
      <c r="W8" s="1" t="s">
        <v>529</v>
      </c>
      <c r="Y8" s="1" t="s">
        <v>530</v>
      </c>
      <c r="Z8" s="1" t="s">
        <v>531</v>
      </c>
      <c r="AA8" s="124" t="s">
        <v>532</v>
      </c>
      <c r="AB8" s="1" t="s">
        <v>533</v>
      </c>
      <c r="AC8" s="1" t="s">
        <v>534</v>
      </c>
      <c r="AF8" s="1" t="s">
        <v>535</v>
      </c>
      <c r="AG8" s="1" t="s">
        <v>531</v>
      </c>
      <c r="AH8" s="124" t="s">
        <v>532</v>
      </c>
      <c r="AI8" s="1" t="s">
        <v>533</v>
      </c>
      <c r="AJ8" s="1" t="s">
        <v>536</v>
      </c>
    </row>
    <row r="9" spans="1:38" ht="15.6" x14ac:dyDescent="0.3">
      <c r="G9" s="121"/>
      <c r="H9" s="121"/>
      <c r="I9" s="121"/>
      <c r="J9" s="121" t="s">
        <v>537</v>
      </c>
      <c r="K9" s="122"/>
      <c r="L9" s="122"/>
      <c r="O9" s="101" t="s">
        <v>538</v>
      </c>
      <c r="S9" s="8" t="s">
        <v>497</v>
      </c>
      <c r="Y9" s="101" t="s">
        <v>539</v>
      </c>
      <c r="Z9" s="101" t="s">
        <v>540</v>
      </c>
      <c r="AA9" s="101" t="s">
        <v>541</v>
      </c>
      <c r="AB9" s="101" t="s">
        <v>542</v>
      </c>
      <c r="AC9" s="101" t="s">
        <v>543</v>
      </c>
      <c r="AD9" s="125" t="s">
        <v>544</v>
      </c>
      <c r="AE9" s="125"/>
      <c r="AF9" s="125"/>
      <c r="AG9" s="125"/>
      <c r="AH9" s="101" t="s">
        <v>541</v>
      </c>
      <c r="AI9" s="125"/>
      <c r="AJ9" s="125"/>
      <c r="AK9" s="125" t="s">
        <v>545</v>
      </c>
    </row>
    <row r="10" spans="1:38" ht="15.6" x14ac:dyDescent="0.3">
      <c r="G10" s="121"/>
      <c r="H10" s="121"/>
      <c r="I10" s="121"/>
      <c r="J10" s="121" t="s">
        <v>546</v>
      </c>
      <c r="K10" s="122"/>
      <c r="L10" s="122"/>
      <c r="O10" s="101" t="s">
        <v>547</v>
      </c>
      <c r="Q10" s="125"/>
      <c r="R10" s="125"/>
      <c r="AD10" s="126" t="s">
        <v>548</v>
      </c>
      <c r="AE10" s="125"/>
      <c r="AG10" s="125"/>
      <c r="AH10" s="125"/>
      <c r="AI10" s="125"/>
      <c r="AJ10" s="125"/>
      <c r="AK10" s="126" t="s">
        <v>548</v>
      </c>
    </row>
    <row r="11" spans="1:38" ht="15.6" x14ac:dyDescent="0.3">
      <c r="G11" s="121"/>
      <c r="H11" s="121"/>
      <c r="I11" s="121"/>
      <c r="J11" s="121"/>
      <c r="K11" s="122"/>
      <c r="L11" s="122"/>
      <c r="Q11" s="101" t="s">
        <v>549</v>
      </c>
      <c r="AD11" s="125" t="s">
        <v>550</v>
      </c>
      <c r="AE11" s="125"/>
      <c r="AF11" s="125"/>
      <c r="AG11" s="125"/>
      <c r="AH11" s="125"/>
      <c r="AI11" s="125"/>
      <c r="AJ11" s="125"/>
      <c r="AK11" s="125" t="s">
        <v>550</v>
      </c>
    </row>
    <row r="12" spans="1:38" x14ac:dyDescent="0.3">
      <c r="A12" s="6" t="s">
        <v>551</v>
      </c>
      <c r="B12" s="1" t="s">
        <v>552</v>
      </c>
      <c r="C12" s="7" t="s">
        <v>553</v>
      </c>
      <c r="D12" s="101" t="s">
        <v>300</v>
      </c>
      <c r="E12" s="102">
        <v>42123</v>
      </c>
      <c r="F12" s="1" t="s">
        <v>44</v>
      </c>
      <c r="G12" s="121">
        <v>20</v>
      </c>
      <c r="H12" s="121">
        <v>30</v>
      </c>
      <c r="I12" s="121">
        <v>8.2465538447769063E-2</v>
      </c>
      <c r="J12" s="121">
        <v>32.387354888507979</v>
      </c>
      <c r="K12" s="139">
        <f>1000000*(AC12-AA12)/U12</f>
        <v>4.7457270655357729E-4</v>
      </c>
      <c r="L12" s="141">
        <f t="shared" ref="L12:L27" si="3">1000000*(AJ12-AH12)/U12</f>
        <v>1.2865939702372602</v>
      </c>
      <c r="M12" s="101">
        <f>(K12*16)</f>
        <v>7.5931633048572367E-3</v>
      </c>
      <c r="N12" s="101">
        <f>(L12*44)</f>
        <v>56.610134690439452</v>
      </c>
      <c r="O12" s="101">
        <f t="shared" ref="O12:O27" si="4">1000000*(((AC12-AA12)*0.082057*T12)/(S12-W12))/U12</f>
        <v>1.2514568175174184E-2</v>
      </c>
      <c r="P12" s="101">
        <f>1000000*(((AJ12-AH12)*0.082057*T12)/(S12-W12))/U12</f>
        <v>33.927715884108608</v>
      </c>
      <c r="Q12" s="101">
        <f>L12*((1*0.082057*T12)/(S12-W12))</f>
        <v>33.927715884108608</v>
      </c>
      <c r="S12" s="8">
        <f>0.001316*((H12*25.4)-(2.5*2053/100))</f>
        <v>0.93524829999999992</v>
      </c>
      <c r="T12" s="101">
        <f>G12+273.15</f>
        <v>293.14999999999998</v>
      </c>
      <c r="U12" s="101">
        <v>1.7999999999999999E-2</v>
      </c>
      <c r="V12" s="101">
        <v>2E-3</v>
      </c>
      <c r="W12" s="101">
        <f t="shared" ref="W12:W27" si="5">(0.001316*10^(8.07131-(1730.63/(233.46+G12))))</f>
        <v>2.3043353850768673E-2</v>
      </c>
      <c r="Y12" s="101">
        <f>S12*(I12/10^6)</f>
        <v>7.7125754641860649E-8</v>
      </c>
      <c r="Z12" s="101">
        <f>(Y12*V12)/(0.082057*T12)</f>
        <v>6.4124484741150841E-12</v>
      </c>
      <c r="AA12" s="101">
        <v>0</v>
      </c>
      <c r="AB12" s="101">
        <f>Y12*AD12*U12</f>
        <v>2.1298602438493072E-12</v>
      </c>
      <c r="AC12" s="101">
        <f>Z12+AB12</f>
        <v>8.5423087179643905E-12</v>
      </c>
      <c r="AD12" s="127">
        <f>100*(0.000014*EXP(1600*((1/T12)-(1/298.15))))</f>
        <v>1.53419009839441E-3</v>
      </c>
      <c r="AF12" s="101">
        <f>S12*(J12/10^6)</f>
        <v>3.0290218600973775E-5</v>
      </c>
      <c r="AG12" s="101">
        <f>(AF12*V12)/(0.082057*T12)</f>
        <v>2.5184125192728328E-9</v>
      </c>
      <c r="AH12" s="101">
        <v>0</v>
      </c>
      <c r="AI12" s="101">
        <f>AF12*AK12*U12</f>
        <v>2.0640278944997851E-8</v>
      </c>
      <c r="AJ12" s="101">
        <f>AG12+AI12</f>
        <v>2.3158691464270683E-8</v>
      </c>
      <c r="AK12" s="127">
        <f>100*(0.00033*EXP(2400*((1/T12)-(1/298.15))))</f>
        <v>3.7856516610749319E-2</v>
      </c>
      <c r="AL12" s="127"/>
    </row>
    <row r="13" spans="1:38" s="135" customFormat="1" x14ac:dyDescent="0.3">
      <c r="A13" s="129" t="s">
        <v>551</v>
      </c>
      <c r="B13" s="130" t="s">
        <v>552</v>
      </c>
      <c r="C13" s="131" t="s">
        <v>553</v>
      </c>
      <c r="D13" s="135" t="s">
        <v>300</v>
      </c>
      <c r="E13" s="138">
        <v>42130</v>
      </c>
      <c r="F13" s="130" t="s">
        <v>44</v>
      </c>
      <c r="G13" s="134">
        <v>20</v>
      </c>
      <c r="H13" s="134">
        <v>30</v>
      </c>
      <c r="I13" s="134">
        <v>0.16570742859355495</v>
      </c>
      <c r="J13" s="134">
        <v>53.581968176482995</v>
      </c>
      <c r="K13" s="140">
        <f>1000000*(AC13-AA13)/U13</f>
        <v>9.5361316210267803E-4</v>
      </c>
      <c r="L13" s="142">
        <f t="shared" si="3"/>
        <v>2.1285541041133049</v>
      </c>
      <c r="M13" s="135">
        <f>(K13*16)</f>
        <v>1.5257810593642849E-2</v>
      </c>
      <c r="N13" s="135">
        <f>(L13*44)</f>
        <v>93.656380580985413</v>
      </c>
      <c r="O13" s="135">
        <f t="shared" si="4"/>
        <v>2.5146951700076515E-2</v>
      </c>
      <c r="P13" s="135">
        <f>1000000*(((AJ13-AH13)*0.082057*T13)/(S13-W13))/U13</f>
        <v>56.130357019310487</v>
      </c>
      <c r="Q13" s="135">
        <f>L13*((1*0.082057*T13)/(S13-W13))</f>
        <v>56.130357019310487</v>
      </c>
      <c r="S13" s="136">
        <f>0.001316*((H13*25.4)-(2.5*2053/100))</f>
        <v>0.93524829999999992</v>
      </c>
      <c r="T13" s="135">
        <f>G13+273.15</f>
        <v>293.14999999999998</v>
      </c>
      <c r="U13" s="135">
        <v>1.7999999999999999E-2</v>
      </c>
      <c r="V13" s="135">
        <v>2E-3</v>
      </c>
      <c r="W13" s="135">
        <f t="shared" si="5"/>
        <v>2.3043353850768673E-2</v>
      </c>
      <c r="Y13" s="135">
        <f>S13*(I13/10^6)</f>
        <v>1.5497759088949364E-7</v>
      </c>
      <c r="Z13" s="135">
        <f>(Y13*V13)/(0.082057*T13)</f>
        <v>1.2885265380365948E-11</v>
      </c>
      <c r="AA13" s="135">
        <v>0</v>
      </c>
      <c r="AB13" s="135">
        <f>Y13*AD13*U13</f>
        <v>4.2797715374822557E-12</v>
      </c>
      <c r="AC13" s="135">
        <f>Z13+AB13</f>
        <v>1.7165036917848204E-11</v>
      </c>
      <c r="AD13" s="137">
        <f>100*(0.000014*EXP(1600*((1/T13)-(1/298.15))))</f>
        <v>1.53419009839441E-3</v>
      </c>
      <c r="AF13" s="135">
        <f>S13*(J13/10^6)</f>
        <v>5.0112444647709817E-5</v>
      </c>
      <c r="AG13" s="135">
        <f>(AF13*V13)/(0.082057*T13)</f>
        <v>4.1664871962364123E-9</v>
      </c>
      <c r="AH13" s="135">
        <v>0</v>
      </c>
      <c r="AI13" s="135">
        <f>AF13*AK13*U13</f>
        <v>3.4147486677803081E-8</v>
      </c>
      <c r="AJ13" s="135">
        <f>AG13+AI13</f>
        <v>3.831397387403949E-8</v>
      </c>
      <c r="AK13" s="137">
        <f>100*(0.00033*EXP(2400*((1/T13)-(1/298.15))))</f>
        <v>3.7856516610749319E-2</v>
      </c>
      <c r="AL13" s="137"/>
    </row>
    <row r="14" spans="1:38" x14ac:dyDescent="0.3">
      <c r="A14" s="6" t="s">
        <v>551</v>
      </c>
      <c r="B14" s="1" t="s">
        <v>552</v>
      </c>
      <c r="C14" s="7" t="s">
        <v>553</v>
      </c>
      <c r="D14" s="101" t="s">
        <v>300</v>
      </c>
      <c r="E14" s="102">
        <v>42592</v>
      </c>
      <c r="F14" s="1" t="s">
        <v>44</v>
      </c>
      <c r="G14" s="121">
        <v>20</v>
      </c>
      <c r="H14" s="121">
        <v>30</v>
      </c>
      <c r="I14" s="121">
        <v>0.61099959287167505</v>
      </c>
      <c r="J14" s="121">
        <v>159.8463448237238</v>
      </c>
      <c r="K14" s="139">
        <f t="shared" ref="K14:K27" si="6">1000000*(AC14-AA14)/U14</f>
        <v>3.516180648913098E-3</v>
      </c>
      <c r="L14" s="141">
        <f t="shared" si="3"/>
        <v>6.3499271281225376</v>
      </c>
      <c r="M14" s="101">
        <f>(K14*16)</f>
        <v>5.6258890382609568E-2</v>
      </c>
      <c r="N14" s="101">
        <f t="shared" ref="N14:N27" si="7">(L14*44)</f>
        <v>279.39679363739162</v>
      </c>
      <c r="O14" s="101">
        <f t="shared" si="4"/>
        <v>9.2722320182741819E-2</v>
      </c>
      <c r="P14" s="101">
        <f t="shared" ref="P14:P27" si="8">1000000*(((AJ14-AH14)*0.082057*T14)/(S14-W14))/U14</f>
        <v>167.44872778162193</v>
      </c>
      <c r="Q14" s="101">
        <f t="shared" ref="Q14:Q27" si="9">L14*((1*0.082057*T14)/(S14-W14))</f>
        <v>167.44872778162195</v>
      </c>
      <c r="S14" s="8">
        <f t="shared" ref="S14:S27" si="10">0.001316*((H14*25.4)-(2.5*2053/100))</f>
        <v>0.93524829999999992</v>
      </c>
      <c r="T14" s="101">
        <f t="shared" ref="T14:T27" si="11">G14+273.15</f>
        <v>293.14999999999998</v>
      </c>
      <c r="U14" s="101">
        <v>1.7999999999999999E-2</v>
      </c>
      <c r="V14" s="101">
        <v>2E-3</v>
      </c>
      <c r="W14" s="101">
        <f t="shared" si="5"/>
        <v>2.3043353850768673E-2</v>
      </c>
      <c r="Y14" s="101">
        <f t="shared" ref="Y14:Y27" si="12">S14*(I14/10^6)</f>
        <v>5.7143633053392607E-7</v>
      </c>
      <c r="Z14" s="101">
        <f t="shared" ref="Z14:Z27" si="13">(Y14*V14)/(0.082057*T14)</f>
        <v>4.7510796397412036E-11</v>
      </c>
      <c r="AA14" s="101">
        <v>0</v>
      </c>
      <c r="AB14" s="101">
        <f t="shared" ref="AB14:AB27" si="14">Y14*AD14*U14</f>
        <v>1.5780455283023721E-11</v>
      </c>
      <c r="AC14" s="101">
        <f>Z14+AB14</f>
        <v>6.3291251680435761E-11</v>
      </c>
      <c r="AD14" s="127">
        <f t="shared" ref="AD14:AD27" si="15">100*(0.000014*EXP(1600*((1/T14)-(1/298.15))))</f>
        <v>1.53419009839441E-3</v>
      </c>
      <c r="AF14" s="101">
        <f t="shared" ref="AF14:AF27" si="16">S14*(J14/10^6)</f>
        <v>1.4949602225760146E-4</v>
      </c>
      <c r="AG14" s="101">
        <f t="shared" ref="AG14:AG27" si="17">(AF14*V14)/(0.082057*T14)</f>
        <v>1.242951260916057E-8</v>
      </c>
      <c r="AH14" s="101">
        <v>0</v>
      </c>
      <c r="AI14" s="101">
        <f>AF14*AK14*U14</f>
        <v>1.018691756970451E-7</v>
      </c>
      <c r="AJ14" s="101">
        <f t="shared" ref="AJ14:AJ27" si="18">AG14+AI14</f>
        <v>1.1429868830620567E-7</v>
      </c>
      <c r="AK14" s="127">
        <f t="shared" ref="AK14:AK27" si="19">100*(0.00033*EXP(2400*((1/T14)-(1/298.15))))</f>
        <v>3.7856516610749319E-2</v>
      </c>
      <c r="AL14" s="127"/>
    </row>
    <row r="15" spans="1:38" x14ac:dyDescent="0.3">
      <c r="A15" s="6" t="s">
        <v>551</v>
      </c>
      <c r="B15" s="1" t="s">
        <v>552</v>
      </c>
      <c r="C15" s="7" t="s">
        <v>553</v>
      </c>
      <c r="D15" s="101" t="s">
        <v>300</v>
      </c>
      <c r="E15" s="6">
        <v>42929</v>
      </c>
      <c r="F15" s="1" t="s">
        <v>44</v>
      </c>
      <c r="G15" s="121">
        <v>20</v>
      </c>
      <c r="H15" s="121">
        <v>30</v>
      </c>
      <c r="I15" s="121">
        <v>0.25047012419281217</v>
      </c>
      <c r="J15" s="121">
        <v>62.10128985167303</v>
      </c>
      <c r="K15" s="139">
        <f t="shared" si="6"/>
        <v>1.441405549352952E-3</v>
      </c>
      <c r="L15" s="141">
        <f t="shared" si="3"/>
        <v>2.4669858141292527</v>
      </c>
      <c r="M15" s="101">
        <f t="shared" ref="M15:M27" si="20">(K15*16)</f>
        <v>2.3062488789647232E-2</v>
      </c>
      <c r="N15" s="101">
        <f t="shared" si="7"/>
        <v>108.54737582168711</v>
      </c>
      <c r="O15" s="101">
        <f t="shared" si="4"/>
        <v>3.8010125248143484E-2</v>
      </c>
      <c r="P15" s="101">
        <f t="shared" si="8"/>
        <v>65.054862472632848</v>
      </c>
      <c r="Q15" s="101">
        <f t="shared" si="9"/>
        <v>65.054862472632863</v>
      </c>
      <c r="S15" s="8">
        <f t="shared" si="10"/>
        <v>0.93524829999999992</v>
      </c>
      <c r="T15" s="101">
        <f t="shared" si="11"/>
        <v>293.14999999999998</v>
      </c>
      <c r="U15" s="101">
        <v>1.7999999999999999E-2</v>
      </c>
      <c r="V15" s="101">
        <v>2E-3</v>
      </c>
      <c r="W15" s="101">
        <f t="shared" si="5"/>
        <v>2.3043353850768673E-2</v>
      </c>
      <c r="Y15" s="101">
        <f t="shared" si="12"/>
        <v>2.3425175785211646E-7</v>
      </c>
      <c r="Z15" s="101">
        <f t="shared" si="13"/>
        <v>1.9476338794645498E-11</v>
      </c>
      <c r="AA15" s="101">
        <v>0</v>
      </c>
      <c r="AB15" s="101">
        <f t="shared" si="14"/>
        <v>6.4689610937076364E-12</v>
      </c>
      <c r="AC15" s="101">
        <f t="shared" ref="AC15:AC27" si="21">Z15+AB15</f>
        <v>2.5945299888353135E-11</v>
      </c>
      <c r="AD15" s="127">
        <f t="shared" si="15"/>
        <v>1.53419009839441E-3</v>
      </c>
      <c r="AF15" s="101">
        <f t="shared" si="16"/>
        <v>5.8080125761584441E-5</v>
      </c>
      <c r="AG15" s="101">
        <f t="shared" si="17"/>
        <v>4.8289422326655811E-9</v>
      </c>
      <c r="AH15" s="101">
        <v>0</v>
      </c>
      <c r="AI15" s="101">
        <f>AF15*AK15*U15</f>
        <v>3.9576802421660956E-8</v>
      </c>
      <c r="AJ15" s="101">
        <f t="shared" si="18"/>
        <v>4.4405744654326538E-8</v>
      </c>
      <c r="AK15" s="127">
        <f t="shared" si="19"/>
        <v>3.7856516610749319E-2</v>
      </c>
      <c r="AL15" s="127"/>
    </row>
    <row r="16" spans="1:38" x14ac:dyDescent="0.3">
      <c r="A16" s="6" t="s">
        <v>551</v>
      </c>
      <c r="B16" s="1" t="s">
        <v>552</v>
      </c>
      <c r="C16" s="7" t="s">
        <v>553</v>
      </c>
      <c r="D16" s="101" t="s">
        <v>300</v>
      </c>
      <c r="E16" s="102">
        <v>43327</v>
      </c>
      <c r="F16" s="1" t="s">
        <v>44</v>
      </c>
      <c r="G16" s="121">
        <v>20</v>
      </c>
      <c r="H16" s="121">
        <v>30</v>
      </c>
      <c r="I16" s="121">
        <v>1.4228917691331124</v>
      </c>
      <c r="J16" s="121">
        <v>305.39441855843387</v>
      </c>
      <c r="K16" s="139">
        <f t="shared" si="6"/>
        <v>8.1884579997983029E-3</v>
      </c>
      <c r="L16" s="141">
        <f t="shared" si="3"/>
        <v>12.131852657124972</v>
      </c>
      <c r="M16" s="101">
        <f t="shared" si="20"/>
        <v>0.13101532799677285</v>
      </c>
      <c r="N16" s="101">
        <f t="shared" si="7"/>
        <v>533.80151691349874</v>
      </c>
      <c r="O16" s="101">
        <f t="shared" si="4"/>
        <v>0.21593111966386813</v>
      </c>
      <c r="P16" s="101">
        <f t="shared" si="8"/>
        <v>319.91915057933943</v>
      </c>
      <c r="Q16" s="101">
        <f t="shared" si="9"/>
        <v>319.91915057933937</v>
      </c>
      <c r="S16" s="8">
        <f t="shared" si="10"/>
        <v>0.93524829999999992</v>
      </c>
      <c r="T16" s="101">
        <f t="shared" si="11"/>
        <v>293.14999999999998</v>
      </c>
      <c r="U16" s="101">
        <v>1.7999999999999999E-2</v>
      </c>
      <c r="V16" s="101">
        <v>2E-3</v>
      </c>
      <c r="W16" s="101">
        <f t="shared" si="5"/>
        <v>2.3043353850768673E-2</v>
      </c>
      <c r="Y16" s="101">
        <f t="shared" si="12"/>
        <v>1.3307571081657356E-6</v>
      </c>
      <c r="Z16" s="101">
        <f t="shared" si="13"/>
        <v>1.1064282517948413E-10</v>
      </c>
      <c r="AA16" s="101">
        <v>0</v>
      </c>
      <c r="AB16" s="101">
        <f t="shared" si="14"/>
        <v>3.6749418816885299E-11</v>
      </c>
      <c r="AC16" s="101">
        <f t="shared" si="21"/>
        <v>1.4739224399636942E-10</v>
      </c>
      <c r="AD16" s="127">
        <f t="shared" si="15"/>
        <v>1.53419009839441E-3</v>
      </c>
      <c r="AF16" s="101">
        <f t="shared" si="16"/>
        <v>2.8561961078626367E-4</v>
      </c>
      <c r="AG16" s="101">
        <f t="shared" si="17"/>
        <v>2.3747204106702477E-8</v>
      </c>
      <c r="AH16" s="101">
        <v>0</v>
      </c>
      <c r="AI16" s="101">
        <f t="shared" ref="AI16:AI27" si="22">AF16*AK16*U16</f>
        <v>1.94626143721547E-7</v>
      </c>
      <c r="AJ16" s="101">
        <f t="shared" si="18"/>
        <v>2.1837334782824947E-7</v>
      </c>
      <c r="AK16" s="127">
        <f t="shared" si="19"/>
        <v>3.7856516610749319E-2</v>
      </c>
      <c r="AL16" s="127"/>
    </row>
    <row r="17" spans="1:38" x14ac:dyDescent="0.3">
      <c r="A17" s="6" t="s">
        <v>551</v>
      </c>
      <c r="B17" s="1" t="s">
        <v>552</v>
      </c>
      <c r="C17" s="7" t="s">
        <v>553</v>
      </c>
      <c r="D17" s="101" t="s">
        <v>301</v>
      </c>
      <c r="E17" s="102">
        <v>43601</v>
      </c>
      <c r="F17" s="1" t="s">
        <v>44</v>
      </c>
      <c r="G17" s="121">
        <v>40</v>
      </c>
      <c r="H17" s="121">
        <v>30</v>
      </c>
      <c r="I17" s="121">
        <v>0.27852424170360435</v>
      </c>
      <c r="J17" s="121">
        <v>113.14731203699921</v>
      </c>
      <c r="K17" s="139">
        <f t="shared" si="6"/>
        <v>1.4083862291446006E-3</v>
      </c>
      <c r="L17" s="141">
        <f t="shared" si="3"/>
        <v>2.8323869232151027</v>
      </c>
      <c r="M17" s="101">
        <f t="shared" si="20"/>
        <v>2.253417966631361E-2</v>
      </c>
      <c r="N17" s="101">
        <f t="shared" si="7"/>
        <v>124.62502462146452</v>
      </c>
      <c r="O17" s="101">
        <f t="shared" si="4"/>
        <v>4.1960376559779265E-2</v>
      </c>
      <c r="P17" s="101">
        <f t="shared" si="8"/>
        <v>84.385958483337348</v>
      </c>
      <c r="Q17" s="101">
        <f t="shared" si="9"/>
        <v>84.385958483337362</v>
      </c>
      <c r="S17" s="8">
        <f t="shared" si="10"/>
        <v>0.93524829999999992</v>
      </c>
      <c r="T17" s="101">
        <f t="shared" si="11"/>
        <v>313.14999999999998</v>
      </c>
      <c r="U17" s="101">
        <v>1.7999999999999999E-2</v>
      </c>
      <c r="V17" s="101">
        <v>2E-3</v>
      </c>
      <c r="W17" s="101">
        <f t="shared" si="5"/>
        <v>7.2765497523200454E-2</v>
      </c>
      <c r="Y17" s="101">
        <f t="shared" si="12"/>
        <v>2.6048932356208503E-7</v>
      </c>
      <c r="Z17" s="101">
        <f t="shared" si="13"/>
        <v>2.0274580287231012E-11</v>
      </c>
      <c r="AA17" s="101">
        <v>0</v>
      </c>
      <c r="AB17" s="101">
        <f t="shared" si="14"/>
        <v>5.0763718373717958E-12</v>
      </c>
      <c r="AC17" s="101">
        <f t="shared" si="21"/>
        <v>2.5350952124602809E-11</v>
      </c>
      <c r="AD17" s="127">
        <f t="shared" si="15"/>
        <v>1.0826572612468305E-3</v>
      </c>
      <c r="AF17" s="101">
        <f t="shared" si="16"/>
        <v>1.0582083123217303E-4</v>
      </c>
      <c r="AG17" s="101">
        <f t="shared" si="17"/>
        <v>8.2363181321205405E-9</v>
      </c>
      <c r="AH17" s="101">
        <v>0</v>
      </c>
      <c r="AI17" s="101">
        <f t="shared" si="22"/>
        <v>4.2746646485751305E-8</v>
      </c>
      <c r="AJ17" s="101">
        <f t="shared" si="18"/>
        <v>5.0982964617871845E-8</v>
      </c>
      <c r="AK17" s="127">
        <f t="shared" si="19"/>
        <v>2.2441835563004237E-2</v>
      </c>
      <c r="AL17" s="127"/>
    </row>
    <row r="18" spans="1:38" x14ac:dyDescent="0.3">
      <c r="A18" s="6" t="s">
        <v>551</v>
      </c>
      <c r="B18" s="1" t="s">
        <v>552</v>
      </c>
      <c r="C18" s="7" t="s">
        <v>553</v>
      </c>
      <c r="D18" s="101" t="s">
        <v>301</v>
      </c>
      <c r="E18" s="102">
        <v>43642</v>
      </c>
      <c r="F18" s="1" t="s">
        <v>44</v>
      </c>
      <c r="G18" s="121">
        <v>40</v>
      </c>
      <c r="H18" s="121">
        <v>30</v>
      </c>
      <c r="I18" s="121">
        <v>1.5722436362178027</v>
      </c>
      <c r="J18" s="121">
        <v>134.13921986904737</v>
      </c>
      <c r="K18" s="139">
        <f t="shared" si="6"/>
        <v>7.9502102673913531E-3</v>
      </c>
      <c r="L18" s="141">
        <f t="shared" si="3"/>
        <v>3.3578718345790368</v>
      </c>
      <c r="M18" s="101">
        <f t="shared" si="20"/>
        <v>0.12720336427826165</v>
      </c>
      <c r="N18" s="101">
        <f t="shared" si="7"/>
        <v>147.74636072147763</v>
      </c>
      <c r="O18" s="101">
        <f t="shared" si="4"/>
        <v>0.23686245267519876</v>
      </c>
      <c r="P18" s="101">
        <f t="shared" si="8"/>
        <v>100.04185194567611</v>
      </c>
      <c r="Q18" s="101">
        <f t="shared" si="9"/>
        <v>100.04185194567613</v>
      </c>
      <c r="S18" s="8">
        <f t="shared" si="10"/>
        <v>0.93524829999999992</v>
      </c>
      <c r="T18" s="101">
        <f t="shared" si="11"/>
        <v>313.14999999999998</v>
      </c>
      <c r="U18" s="101">
        <v>1.7999999999999999E-2</v>
      </c>
      <c r="V18" s="101">
        <v>2E-3</v>
      </c>
      <c r="W18" s="101">
        <f t="shared" si="5"/>
        <v>7.2765497523200454E-2</v>
      </c>
      <c r="Y18" s="101">
        <f t="shared" si="12"/>
        <v>1.4704381879585182E-6</v>
      </c>
      <c r="Z18" s="101">
        <f t="shared" si="13"/>
        <v>1.1444813434770176E-10</v>
      </c>
      <c r="AA18" s="101">
        <v>0</v>
      </c>
      <c r="AB18" s="101">
        <f t="shared" si="14"/>
        <v>2.8655650465342584E-11</v>
      </c>
      <c r="AC18" s="101">
        <f t="shared" si="21"/>
        <v>1.4310378481304434E-10</v>
      </c>
      <c r="AD18" s="127">
        <f t="shared" si="15"/>
        <v>1.0826572612468305E-3</v>
      </c>
      <c r="AF18" s="101">
        <f t="shared" si="16"/>
        <v>1.2545347734585277E-4</v>
      </c>
      <c r="AG18" s="101">
        <f t="shared" si="17"/>
        <v>9.7643794531739697E-9</v>
      </c>
      <c r="AH18" s="101">
        <v>0</v>
      </c>
      <c r="AI18" s="101">
        <f t="shared" si="22"/>
        <v>5.0677313569248686E-8</v>
      </c>
      <c r="AJ18" s="101">
        <f t="shared" si="18"/>
        <v>6.044169302242266E-8</v>
      </c>
      <c r="AK18" s="127">
        <f t="shared" si="19"/>
        <v>2.2441835563004237E-2</v>
      </c>
      <c r="AL18" s="127"/>
    </row>
    <row r="19" spans="1:38" x14ac:dyDescent="0.3">
      <c r="A19" s="6" t="s">
        <v>551</v>
      </c>
      <c r="B19" s="1" t="s">
        <v>552</v>
      </c>
      <c r="C19" s="7" t="s">
        <v>553</v>
      </c>
      <c r="D19" s="101" t="s">
        <v>301</v>
      </c>
      <c r="E19" s="102">
        <v>44595</v>
      </c>
      <c r="F19" s="1" t="s">
        <v>44</v>
      </c>
      <c r="G19" s="121">
        <v>40</v>
      </c>
      <c r="H19" s="121">
        <v>30</v>
      </c>
      <c r="I19" s="121">
        <v>0.79578909293114264</v>
      </c>
      <c r="J19" s="121">
        <v>189.59359325416827</v>
      </c>
      <c r="K19" s="139">
        <f t="shared" si="6"/>
        <v>4.0239886946012654E-3</v>
      </c>
      <c r="L19" s="141">
        <f t="shared" si="3"/>
        <v>4.7460465882112111</v>
      </c>
      <c r="M19" s="101">
        <f t="shared" si="20"/>
        <v>6.4383819113620247E-2</v>
      </c>
      <c r="N19" s="101">
        <f t="shared" si="7"/>
        <v>208.82604988129327</v>
      </c>
      <c r="O19" s="101">
        <f t="shared" si="4"/>
        <v>0.11988762557009346</v>
      </c>
      <c r="P19" s="101">
        <f t="shared" si="8"/>
        <v>141.40006334239123</v>
      </c>
      <c r="Q19" s="101">
        <f t="shared" si="9"/>
        <v>141.40006334239123</v>
      </c>
      <c r="S19" s="8">
        <f t="shared" si="10"/>
        <v>0.93524829999999992</v>
      </c>
      <c r="T19" s="101">
        <f t="shared" si="11"/>
        <v>313.14999999999998</v>
      </c>
      <c r="U19" s="101">
        <v>1.7999999999999999E-2</v>
      </c>
      <c r="V19" s="101">
        <v>2E-3</v>
      </c>
      <c r="W19" s="101">
        <f t="shared" si="5"/>
        <v>7.2765497523200454E-2</v>
      </c>
      <c r="Y19" s="101">
        <f t="shared" si="12"/>
        <v>7.4426039632239316E-7</v>
      </c>
      <c r="Z19" s="101">
        <f t="shared" si="13"/>
        <v>5.7927775900758886E-11</v>
      </c>
      <c r="AA19" s="101">
        <v>0</v>
      </c>
      <c r="AB19" s="101">
        <f t="shared" si="14"/>
        <v>1.4504020602063889E-11</v>
      </c>
      <c r="AC19" s="101">
        <f t="shared" si="21"/>
        <v>7.2431796502822782E-11</v>
      </c>
      <c r="AD19" s="127">
        <f t="shared" si="15"/>
        <v>1.0826572612468305E-3</v>
      </c>
      <c r="AF19" s="101">
        <f t="shared" si="16"/>
        <v>1.7731708578185232E-4</v>
      </c>
      <c r="AG19" s="101">
        <f t="shared" si="17"/>
        <v>1.3801062718507747E-8</v>
      </c>
      <c r="AH19" s="101">
        <v>0</v>
      </c>
      <c r="AI19" s="101">
        <f t="shared" si="22"/>
        <v>7.1627775869294034E-8</v>
      </c>
      <c r="AJ19" s="101">
        <f t="shared" si="18"/>
        <v>8.5428838587801781E-8</v>
      </c>
      <c r="AK19" s="127">
        <f t="shared" si="19"/>
        <v>2.2441835563004237E-2</v>
      </c>
      <c r="AL19" s="127"/>
    </row>
    <row r="20" spans="1:38" s="135" customFormat="1" x14ac:dyDescent="0.3">
      <c r="A20" s="129" t="s">
        <v>551</v>
      </c>
      <c r="B20" s="130" t="s">
        <v>552</v>
      </c>
      <c r="C20" s="131" t="s">
        <v>554</v>
      </c>
      <c r="D20" s="132" t="s">
        <v>300</v>
      </c>
      <c r="E20" s="133" t="s">
        <v>297</v>
      </c>
      <c r="F20" s="130" t="s">
        <v>44</v>
      </c>
      <c r="G20" s="134">
        <v>20</v>
      </c>
      <c r="H20" s="134">
        <v>30</v>
      </c>
      <c r="I20" s="134">
        <v>0.99346200941018481</v>
      </c>
      <c r="J20" s="134">
        <v>111.89906219204632</v>
      </c>
      <c r="K20" s="140">
        <f t="shared" si="6"/>
        <v>5.7171754837029342E-3</v>
      </c>
      <c r="L20" s="142">
        <f t="shared" si="3"/>
        <v>4.4452120028664472</v>
      </c>
      <c r="M20" s="135">
        <f t="shared" si="20"/>
        <v>9.1474807739246947E-2</v>
      </c>
      <c r="N20" s="135">
        <f t="shared" si="7"/>
        <v>195.58932812612369</v>
      </c>
      <c r="O20" s="135">
        <f t="shared" si="4"/>
        <v>0.15076295238263421</v>
      </c>
      <c r="P20" s="135">
        <f t="shared" si="8"/>
        <v>117.22104515231818</v>
      </c>
      <c r="Q20" s="135">
        <f t="shared" si="9"/>
        <v>117.2210451523182</v>
      </c>
      <c r="S20" s="136">
        <f t="shared" si="10"/>
        <v>0.93524829999999992</v>
      </c>
      <c r="T20" s="135">
        <f t="shared" si="11"/>
        <v>293.14999999999998</v>
      </c>
      <c r="U20" s="135">
        <v>1.7999999999999999E-2</v>
      </c>
      <c r="V20" s="135">
        <v>2E-3</v>
      </c>
      <c r="W20" s="135">
        <f t="shared" si="5"/>
        <v>2.3043353850768673E-2</v>
      </c>
      <c r="Y20" s="135">
        <f t="shared" si="12"/>
        <v>9.2913365541545932E-7</v>
      </c>
      <c r="Z20" s="135">
        <f t="shared" si="13"/>
        <v>7.7250740930631586E-11</v>
      </c>
      <c r="AA20" s="135">
        <v>0</v>
      </c>
      <c r="AB20" s="135">
        <f t="shared" si="14"/>
        <v>2.5658417776021223E-11</v>
      </c>
      <c r="AC20" s="135">
        <f t="shared" si="21"/>
        <v>1.0290915870665281E-10</v>
      </c>
      <c r="AD20" s="137">
        <f t="shared" si="15"/>
        <v>1.53419009839441E-3</v>
      </c>
      <c r="AF20" s="135">
        <f t="shared" si="16"/>
        <v>1.0465340768670559E-4</v>
      </c>
      <c r="AG20" s="135">
        <f t="shared" si="17"/>
        <v>8.7011736552568184E-9</v>
      </c>
      <c r="AH20" s="135">
        <v>0</v>
      </c>
      <c r="AI20" s="135">
        <f t="shared" si="22"/>
        <v>7.1312642396339233E-8</v>
      </c>
      <c r="AJ20" s="135">
        <f t="shared" si="18"/>
        <v>8.0013816051596044E-8</v>
      </c>
      <c r="AK20" s="137">
        <f t="shared" si="19"/>
        <v>3.7856516610749319E-2</v>
      </c>
      <c r="AL20" s="137"/>
    </row>
    <row r="21" spans="1:38" s="135" customFormat="1" x14ac:dyDescent="0.3">
      <c r="A21" s="129" t="s">
        <v>551</v>
      </c>
      <c r="B21" s="130" t="s">
        <v>552</v>
      </c>
      <c r="C21" s="131" t="s">
        <v>554</v>
      </c>
      <c r="D21" s="132" t="s">
        <v>300</v>
      </c>
      <c r="E21" s="133" t="s">
        <v>296</v>
      </c>
      <c r="F21" s="130" t="s">
        <v>44</v>
      </c>
      <c r="G21" s="134">
        <v>20</v>
      </c>
      <c r="H21" s="134">
        <v>30</v>
      </c>
      <c r="I21" s="134">
        <v>0.83896199079988265</v>
      </c>
      <c r="J21" s="134">
        <v>319.76001644913305</v>
      </c>
      <c r="K21" s="140">
        <f t="shared" si="6"/>
        <v>4.828058728091029E-3</v>
      </c>
      <c r="L21" s="142">
        <f t="shared" si="3"/>
        <v>12.702528826532834</v>
      </c>
      <c r="M21" s="135">
        <f t="shared" si="20"/>
        <v>7.7248939649456463E-2</v>
      </c>
      <c r="N21" s="135">
        <f t="shared" si="7"/>
        <v>558.91126836744468</v>
      </c>
      <c r="O21" s="135">
        <f t="shared" si="4"/>
        <v>0.1273167825963431</v>
      </c>
      <c r="P21" s="135">
        <f t="shared" si="8"/>
        <v>334.96798446586143</v>
      </c>
      <c r="Q21" s="135">
        <f t="shared" si="9"/>
        <v>334.96798446586143</v>
      </c>
      <c r="S21" s="136">
        <f t="shared" si="10"/>
        <v>0.93524829999999992</v>
      </c>
      <c r="T21" s="135">
        <f t="shared" si="11"/>
        <v>293.14999999999998</v>
      </c>
      <c r="U21" s="135">
        <v>1.7999999999999999E-2</v>
      </c>
      <c r="V21" s="135">
        <v>2E-3</v>
      </c>
      <c r="W21" s="135">
        <f t="shared" si="5"/>
        <v>2.3043353850768673E-2</v>
      </c>
      <c r="Y21" s="135">
        <f t="shared" si="12"/>
        <v>7.8463777566020585E-7</v>
      </c>
      <c r="Z21" s="135">
        <f t="shared" si="13"/>
        <v>6.5236953993244686E-11</v>
      </c>
      <c r="AA21" s="135">
        <v>0</v>
      </c>
      <c r="AB21" s="135">
        <f t="shared" si="14"/>
        <v>2.1668103112393836E-11</v>
      </c>
      <c r="AC21" s="135">
        <f t="shared" si="21"/>
        <v>8.6905057105638522E-11</v>
      </c>
      <c r="AD21" s="137">
        <f t="shared" si="15"/>
        <v>1.53419009839441E-3</v>
      </c>
      <c r="AF21" s="135">
        <f t="shared" si="16"/>
        <v>2.9905501179202369E-4</v>
      </c>
      <c r="AG21" s="135">
        <f t="shared" si="17"/>
        <v>2.4864260491804601E-8</v>
      </c>
      <c r="AH21" s="135">
        <v>0</v>
      </c>
      <c r="AI21" s="135">
        <f t="shared" si="22"/>
        <v>2.037812583857864E-7</v>
      </c>
      <c r="AJ21" s="135">
        <f t="shared" si="18"/>
        <v>2.28645518877591E-7</v>
      </c>
      <c r="AK21" s="137">
        <f t="shared" si="19"/>
        <v>3.7856516610749319E-2</v>
      </c>
      <c r="AL21" s="137"/>
    </row>
    <row r="22" spans="1:38" s="135" customFormat="1" x14ac:dyDescent="0.3">
      <c r="A22" s="129" t="s">
        <v>551</v>
      </c>
      <c r="B22" s="130" t="s">
        <v>552</v>
      </c>
      <c r="C22" s="131" t="s">
        <v>554</v>
      </c>
      <c r="D22" s="132" t="s">
        <v>300</v>
      </c>
      <c r="E22" s="133" t="s">
        <v>341</v>
      </c>
      <c r="F22" s="130" t="s">
        <v>44</v>
      </c>
      <c r="G22" s="134">
        <v>20</v>
      </c>
      <c r="H22" s="134">
        <v>30</v>
      </c>
      <c r="I22" s="134">
        <v>0.89798195798745162</v>
      </c>
      <c r="J22" s="134">
        <v>549.88058893226298</v>
      </c>
      <c r="K22" s="140">
        <f t="shared" si="6"/>
        <v>5.1677068537944468E-3</v>
      </c>
      <c r="L22" s="142">
        <f t="shared" si="3"/>
        <v>21.8441133123161</v>
      </c>
      <c r="M22" s="135">
        <f t="shared" si="20"/>
        <v>8.2683309660711149E-2</v>
      </c>
      <c r="N22" s="135">
        <f t="shared" si="7"/>
        <v>961.14098574190837</v>
      </c>
      <c r="O22" s="135">
        <f t="shared" si="4"/>
        <v>0.13627336515152993</v>
      </c>
      <c r="P22" s="135">
        <f t="shared" si="8"/>
        <v>576.03322209248779</v>
      </c>
      <c r="Q22" s="135">
        <f t="shared" si="9"/>
        <v>576.03322209248779</v>
      </c>
      <c r="S22" s="136">
        <f t="shared" si="10"/>
        <v>0.93524829999999992</v>
      </c>
      <c r="T22" s="135">
        <f t="shared" si="11"/>
        <v>293.14999999999998</v>
      </c>
      <c r="U22" s="135">
        <v>1.7999999999999999E-2</v>
      </c>
      <c r="V22" s="135">
        <v>2E-3</v>
      </c>
      <c r="W22" s="135">
        <f t="shared" si="5"/>
        <v>2.3043353850768673E-2</v>
      </c>
      <c r="Y22" s="135">
        <f t="shared" si="12"/>
        <v>8.3983609963843549E-7</v>
      </c>
      <c r="Z22" s="135">
        <f t="shared" si="13"/>
        <v>6.982629525818961E-11</v>
      </c>
      <c r="AA22" s="135">
        <v>0</v>
      </c>
      <c r="AB22" s="135">
        <f t="shared" si="14"/>
        <v>2.3192428110110437E-11</v>
      </c>
      <c r="AC22" s="135">
        <f t="shared" si="21"/>
        <v>9.3018723368300047E-11</v>
      </c>
      <c r="AD22" s="137">
        <f t="shared" si="15"/>
        <v>1.53419009839441E-3</v>
      </c>
      <c r="AF22" s="135">
        <f t="shared" si="16"/>
        <v>5.1427488600189772E-4</v>
      </c>
      <c r="AG22" s="135">
        <f t="shared" si="17"/>
        <v>4.2758235862092826E-8</v>
      </c>
      <c r="AH22" s="135">
        <v>0</v>
      </c>
      <c r="AI22" s="135">
        <f t="shared" si="22"/>
        <v>3.5043580375959694E-7</v>
      </c>
      <c r="AJ22" s="135">
        <f t="shared" si="18"/>
        <v>3.9319403962168976E-7</v>
      </c>
      <c r="AK22" s="137">
        <f t="shared" si="19"/>
        <v>3.7856516610749319E-2</v>
      </c>
      <c r="AL22" s="137"/>
    </row>
    <row r="23" spans="1:38" s="135" customFormat="1" x14ac:dyDescent="0.3">
      <c r="A23" s="129" t="s">
        <v>551</v>
      </c>
      <c r="B23" s="130" t="s">
        <v>552</v>
      </c>
      <c r="C23" s="131" t="s">
        <v>554</v>
      </c>
      <c r="D23" s="132" t="s">
        <v>301</v>
      </c>
      <c r="E23" s="133" t="s">
        <v>298</v>
      </c>
      <c r="F23" s="130" t="s">
        <v>44</v>
      </c>
      <c r="G23" s="134">
        <v>40</v>
      </c>
      <c r="H23" s="134">
        <v>30</v>
      </c>
      <c r="I23" s="134">
        <v>2.1476876586275635</v>
      </c>
      <c r="J23" s="134">
        <v>202.75350593160329</v>
      </c>
      <c r="K23" s="140">
        <f t="shared" si="6"/>
        <v>1.0860001644430389E-2</v>
      </c>
      <c r="L23" s="142">
        <f t="shared" si="3"/>
        <v>5.0754752233875466</v>
      </c>
      <c r="M23" s="135">
        <f t="shared" si="20"/>
        <v>0.17376002631088622</v>
      </c>
      <c r="N23" s="135">
        <f t="shared" si="7"/>
        <v>223.32090982905206</v>
      </c>
      <c r="O23" s="135">
        <f t="shared" si="4"/>
        <v>0.32355453994810046</v>
      </c>
      <c r="P23" s="135">
        <f t="shared" si="8"/>
        <v>151.21480683783759</v>
      </c>
      <c r="Q23" s="135">
        <f t="shared" si="9"/>
        <v>151.21480683783759</v>
      </c>
      <c r="S23" s="136">
        <f t="shared" si="10"/>
        <v>0.93524829999999992</v>
      </c>
      <c r="T23" s="135">
        <f t="shared" si="11"/>
        <v>313.14999999999998</v>
      </c>
      <c r="U23" s="135">
        <v>1.7999999999999999E-2</v>
      </c>
      <c r="V23" s="135">
        <v>2E-3</v>
      </c>
      <c r="W23" s="135">
        <f t="shared" si="5"/>
        <v>7.2765497523200454E-2</v>
      </c>
      <c r="Y23" s="135">
        <f t="shared" si="12"/>
        <v>2.0086212316624087E-6</v>
      </c>
      <c r="Z23" s="135">
        <f t="shared" si="13"/>
        <v>1.5633635909177752E-10</v>
      </c>
      <c r="AA23" s="135">
        <v>0</v>
      </c>
      <c r="AB23" s="135">
        <f t="shared" si="14"/>
        <v>3.9143670507969461E-11</v>
      </c>
      <c r="AC23" s="135">
        <f t="shared" si="21"/>
        <v>1.9548002959974698E-10</v>
      </c>
      <c r="AD23" s="137">
        <f t="shared" si="15"/>
        <v>1.0826572612468305E-3</v>
      </c>
      <c r="AF23" s="135">
        <f t="shared" si="16"/>
        <v>1.8962487174157189E-4</v>
      </c>
      <c r="AG23" s="135">
        <f t="shared" si="17"/>
        <v>1.4759010595933574E-8</v>
      </c>
      <c r="AH23" s="135">
        <v>0</v>
      </c>
      <c r="AI23" s="135">
        <f t="shared" si="22"/>
        <v>7.6599543425042252E-8</v>
      </c>
      <c r="AJ23" s="135">
        <f t="shared" si="18"/>
        <v>9.1358554020975832E-8</v>
      </c>
      <c r="AK23" s="137">
        <f t="shared" si="19"/>
        <v>2.2441835563004237E-2</v>
      </c>
    </row>
    <row r="24" spans="1:38" s="135" customFormat="1" x14ac:dyDescent="0.3">
      <c r="A24" s="129" t="s">
        <v>551</v>
      </c>
      <c r="B24" s="130" t="s">
        <v>552</v>
      </c>
      <c r="C24" s="131" t="s">
        <v>554</v>
      </c>
      <c r="D24" s="132" t="s">
        <v>301</v>
      </c>
      <c r="E24" s="132" t="s">
        <v>303</v>
      </c>
      <c r="F24" s="130" t="s">
        <v>44</v>
      </c>
      <c r="G24" s="134">
        <v>40</v>
      </c>
      <c r="H24" s="134">
        <v>30</v>
      </c>
      <c r="I24" s="134">
        <v>2.5243917150889703</v>
      </c>
      <c r="J24" s="134">
        <v>246.62131833437789</v>
      </c>
      <c r="K24" s="140">
        <f t="shared" si="6"/>
        <v>1.2764844118241849E-2</v>
      </c>
      <c r="L24" s="142">
        <f t="shared" si="3"/>
        <v>6.1736066412955735</v>
      </c>
      <c r="M24" s="135">
        <f t="shared" si="20"/>
        <v>0.20423750589186959</v>
      </c>
      <c r="N24" s="135">
        <f t="shared" si="7"/>
        <v>271.63869221700526</v>
      </c>
      <c r="O24" s="135">
        <f t="shared" si="4"/>
        <v>0.38030595219155544</v>
      </c>
      <c r="P24" s="135">
        <f t="shared" si="8"/>
        <v>183.93169007201345</v>
      </c>
      <c r="Q24" s="135">
        <f t="shared" si="9"/>
        <v>183.93169007201345</v>
      </c>
      <c r="S24" s="136">
        <f t="shared" si="10"/>
        <v>0.93524829999999992</v>
      </c>
      <c r="T24" s="135">
        <f t="shared" si="11"/>
        <v>313.14999999999998</v>
      </c>
      <c r="U24" s="135">
        <v>1.7999999999999999E-2</v>
      </c>
      <c r="V24" s="135">
        <v>2E-3</v>
      </c>
      <c r="W24" s="135">
        <f t="shared" si="5"/>
        <v>7.2765497523200454E-2</v>
      </c>
      <c r="Y24" s="135">
        <f t="shared" si="12"/>
        <v>2.3609330600710434E-6</v>
      </c>
      <c r="Z24" s="135">
        <f t="shared" si="13"/>
        <v>1.8375773035388822E-10</v>
      </c>
      <c r="AA24" s="135">
        <v>0</v>
      </c>
      <c r="AB24" s="135">
        <f t="shared" si="14"/>
        <v>4.6009463774465056E-11</v>
      </c>
      <c r="AC24" s="135">
        <f t="shared" si="21"/>
        <v>2.2976719412835327E-10</v>
      </c>
      <c r="AD24" s="137">
        <f t="shared" si="15"/>
        <v>1.0826572612468305E-3</v>
      </c>
      <c r="AF24" s="135">
        <f t="shared" si="16"/>
        <v>2.3065216871598574E-4</v>
      </c>
      <c r="AG24" s="135">
        <f t="shared" si="17"/>
        <v>1.7952274776980019E-8</v>
      </c>
      <c r="AH24" s="135">
        <v>0</v>
      </c>
      <c r="AI24" s="135">
        <f t="shared" si="22"/>
        <v>9.3172644766340303E-8</v>
      </c>
      <c r="AJ24" s="135">
        <f t="shared" si="18"/>
        <v>1.1112491954332032E-7</v>
      </c>
      <c r="AK24" s="137">
        <f t="shared" si="19"/>
        <v>2.2441835563004237E-2</v>
      </c>
    </row>
    <row r="25" spans="1:38" s="135" customFormat="1" x14ac:dyDescent="0.3">
      <c r="A25" s="129" t="s">
        <v>551</v>
      </c>
      <c r="B25" s="130" t="s">
        <v>552</v>
      </c>
      <c r="C25" s="131" t="s">
        <v>554</v>
      </c>
      <c r="D25" s="132" t="s">
        <v>301</v>
      </c>
      <c r="E25" s="132" t="s">
        <v>302</v>
      </c>
      <c r="F25" s="130" t="s">
        <v>44</v>
      </c>
      <c r="G25" s="134">
        <v>40</v>
      </c>
      <c r="H25" s="134">
        <v>30</v>
      </c>
      <c r="I25" s="134">
        <v>4.1797097636375744</v>
      </c>
      <c r="J25" s="134">
        <v>229.43069791702095</v>
      </c>
      <c r="K25" s="140">
        <f t="shared" si="6"/>
        <v>2.1135128622638E-2</v>
      </c>
      <c r="L25" s="142">
        <f t="shared" si="3"/>
        <v>5.743278358674468</v>
      </c>
      <c r="M25" s="135">
        <f t="shared" si="20"/>
        <v>0.338162057962208</v>
      </c>
      <c r="N25" s="135">
        <f t="shared" si="7"/>
        <v>252.7042477816766</v>
      </c>
      <c r="O25" s="135">
        <f t="shared" si="4"/>
        <v>0.62968377373576745</v>
      </c>
      <c r="P25" s="135">
        <f t="shared" si="8"/>
        <v>171.11082005110188</v>
      </c>
      <c r="Q25" s="135">
        <f t="shared" si="9"/>
        <v>171.11082005110188</v>
      </c>
      <c r="S25" s="136">
        <f t="shared" si="10"/>
        <v>0.93524829999999992</v>
      </c>
      <c r="T25" s="135">
        <f t="shared" si="11"/>
        <v>313.14999999999998</v>
      </c>
      <c r="U25" s="135">
        <v>1.7999999999999999E-2</v>
      </c>
      <c r="V25" s="135">
        <v>2E-3</v>
      </c>
      <c r="W25" s="135">
        <f t="shared" si="5"/>
        <v>7.2765497523200454E-2</v>
      </c>
      <c r="Y25" s="135">
        <f t="shared" si="12"/>
        <v>3.9090664509354425E-6</v>
      </c>
      <c r="Z25" s="135">
        <f t="shared" si="13"/>
        <v>3.0425309000705453E-10</v>
      </c>
      <c r="AA25" s="135">
        <v>0</v>
      </c>
      <c r="AB25" s="135">
        <f t="shared" si="14"/>
        <v>7.6179225200429404E-11</v>
      </c>
      <c r="AC25" s="135">
        <f t="shared" si="21"/>
        <v>3.8043231520748396E-10</v>
      </c>
      <c r="AD25" s="137">
        <f t="shared" si="15"/>
        <v>1.0826572612468305E-3</v>
      </c>
      <c r="AF25" s="135">
        <f t="shared" si="16"/>
        <v>2.1457467019470736E-4</v>
      </c>
      <c r="AG25" s="135">
        <f t="shared" si="17"/>
        <v>1.6700920095221607E-8</v>
      </c>
      <c r="AH25" s="135">
        <v>0</v>
      </c>
      <c r="AI25" s="135">
        <f t="shared" si="22"/>
        <v>8.6678090360918806E-8</v>
      </c>
      <c r="AJ25" s="135">
        <f t="shared" si="18"/>
        <v>1.0337901045614041E-7</v>
      </c>
      <c r="AK25" s="137">
        <f t="shared" si="19"/>
        <v>2.2441835563004237E-2</v>
      </c>
    </row>
    <row r="26" spans="1:38" x14ac:dyDescent="0.3">
      <c r="A26" s="6" t="s">
        <v>551</v>
      </c>
      <c r="B26" s="1" t="s">
        <v>552</v>
      </c>
      <c r="C26" s="7" t="s">
        <v>553</v>
      </c>
      <c r="D26" s="101" t="s">
        <v>301</v>
      </c>
      <c r="E26" s="102">
        <v>44595</v>
      </c>
      <c r="F26" s="1" t="s">
        <v>44</v>
      </c>
      <c r="G26" s="121">
        <v>40</v>
      </c>
      <c r="H26" s="121">
        <v>30</v>
      </c>
      <c r="I26" s="121">
        <v>1.3140000000000001</v>
      </c>
      <c r="J26" s="121">
        <v>169.88200000000001</v>
      </c>
      <c r="K26" s="139">
        <f t="shared" si="6"/>
        <v>6.6443749878883759E-3</v>
      </c>
      <c r="L26" s="141">
        <f t="shared" si="3"/>
        <v>4.2526114551646161</v>
      </c>
      <c r="M26" s="101">
        <f t="shared" si="20"/>
        <v>0.10630999980621401</v>
      </c>
      <c r="N26" s="101">
        <f t="shared" si="7"/>
        <v>187.11490402724311</v>
      </c>
      <c r="O26" s="101">
        <f t="shared" si="4"/>
        <v>0.19795740026903536</v>
      </c>
      <c r="P26" s="101">
        <f t="shared" si="8"/>
        <v>126.6990363357333</v>
      </c>
      <c r="Q26" s="101">
        <f t="shared" si="9"/>
        <v>126.69903633573331</v>
      </c>
      <c r="S26" s="8">
        <f t="shared" si="10"/>
        <v>0.93524829999999992</v>
      </c>
      <c r="T26" s="101">
        <f t="shared" si="11"/>
        <v>313.14999999999998</v>
      </c>
      <c r="U26" s="101">
        <v>1.7999999999999999E-2</v>
      </c>
      <c r="V26" s="101">
        <v>2E-3</v>
      </c>
      <c r="W26" s="101">
        <f t="shared" si="5"/>
        <v>7.2765497523200454E-2</v>
      </c>
      <c r="Y26" s="101">
        <f t="shared" si="12"/>
        <v>1.2289162661999999E-6</v>
      </c>
      <c r="Z26" s="101">
        <f t="shared" si="13"/>
        <v>9.5649837638806853E-11</v>
      </c>
      <c r="AA26" s="101">
        <v>0</v>
      </c>
      <c r="AB26" s="101">
        <f t="shared" si="14"/>
        <v>2.3948912143183908E-11</v>
      </c>
      <c r="AC26" s="101">
        <f t="shared" si="21"/>
        <v>1.1959874978199075E-10</v>
      </c>
      <c r="AD26" s="127">
        <f t="shared" si="15"/>
        <v>1.0826572612468305E-3</v>
      </c>
      <c r="AF26" s="101">
        <f t="shared" si="16"/>
        <v>1.5888185170059998E-4</v>
      </c>
      <c r="AG26" s="101">
        <f t="shared" si="17"/>
        <v>1.2366199176374265E-8</v>
      </c>
      <c r="AH26" s="101">
        <v>0</v>
      </c>
      <c r="AI26" s="101">
        <f t="shared" si="22"/>
        <v>6.4180807016588808E-8</v>
      </c>
      <c r="AJ26" s="101">
        <f t="shared" si="18"/>
        <v>7.6547006192963078E-8</v>
      </c>
      <c r="AK26" s="127">
        <f t="shared" si="19"/>
        <v>2.2441835563004237E-2</v>
      </c>
    </row>
    <row r="27" spans="1:38" s="135" customFormat="1" x14ac:dyDescent="0.3">
      <c r="A27" s="129" t="s">
        <v>551</v>
      </c>
      <c r="B27" s="130" t="s">
        <v>552</v>
      </c>
      <c r="C27" s="131" t="s">
        <v>554</v>
      </c>
      <c r="D27" s="132" t="s">
        <v>301</v>
      </c>
      <c r="E27" s="133" t="s">
        <v>555</v>
      </c>
      <c r="F27" s="130" t="s">
        <v>44</v>
      </c>
      <c r="G27" s="134">
        <v>40</v>
      </c>
      <c r="H27" s="134">
        <v>30</v>
      </c>
      <c r="I27" s="134">
        <v>2.4380000000000002</v>
      </c>
      <c r="J27" s="134">
        <v>192.08699999999999</v>
      </c>
      <c r="K27" s="140">
        <f t="shared" si="6"/>
        <v>1.2327995601576757E-2</v>
      </c>
      <c r="L27" s="142">
        <f t="shared" si="3"/>
        <v>4.8084633839265232</v>
      </c>
      <c r="M27" s="135">
        <f t="shared" si="20"/>
        <v>0.19724792962522811</v>
      </c>
      <c r="N27" s="135">
        <f t="shared" si="7"/>
        <v>211.57238889276701</v>
      </c>
      <c r="O27" s="135">
        <f t="shared" si="4"/>
        <v>0.36729082333021934</v>
      </c>
      <c r="P27" s="135">
        <f t="shared" si="8"/>
        <v>143.25966136860882</v>
      </c>
      <c r="Q27" s="135">
        <f t="shared" si="9"/>
        <v>143.25966136860882</v>
      </c>
      <c r="S27" s="136">
        <f t="shared" si="10"/>
        <v>0.93524829999999992</v>
      </c>
      <c r="T27" s="135">
        <f t="shared" si="11"/>
        <v>313.14999999999998</v>
      </c>
      <c r="U27" s="135">
        <v>1.7999999999999999E-2</v>
      </c>
      <c r="V27" s="135">
        <v>2E-3</v>
      </c>
      <c r="W27" s="135">
        <f t="shared" si="5"/>
        <v>7.2765497523200454E-2</v>
      </c>
      <c r="Y27" s="135">
        <f t="shared" si="12"/>
        <v>2.2801353553999999E-6</v>
      </c>
      <c r="Z27" s="135">
        <f t="shared" si="13"/>
        <v>1.7746902904369185E-10</v>
      </c>
      <c r="AA27" s="135">
        <v>0</v>
      </c>
      <c r="AB27" s="135">
        <f t="shared" si="14"/>
        <v>4.443489178468978E-11</v>
      </c>
      <c r="AC27" s="135">
        <f t="shared" si="21"/>
        <v>2.2190392082838162E-10</v>
      </c>
      <c r="AD27" s="137">
        <f t="shared" si="15"/>
        <v>1.0826572612468305E-3</v>
      </c>
      <c r="AF27" s="135">
        <f t="shared" si="16"/>
        <v>1.7964904020209999E-4</v>
      </c>
      <c r="AG27" s="135">
        <f t="shared" si="17"/>
        <v>1.3982564963870239E-8</v>
      </c>
      <c r="AH27" s="135">
        <v>0</v>
      </c>
      <c r="AI27" s="135">
        <f t="shared" si="22"/>
        <v>7.2569775946807167E-8</v>
      </c>
      <c r="AJ27" s="135">
        <f t="shared" si="18"/>
        <v>8.655234091067741E-8</v>
      </c>
      <c r="AK27" s="137">
        <f t="shared" si="19"/>
        <v>2.2441835563004237E-2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9C09-4B6B-42D7-A9FC-892BA5EB592E}">
  <sheetPr>
    <pageSetUpPr fitToPage="1"/>
  </sheetPr>
  <dimension ref="A3:BE27"/>
  <sheetViews>
    <sheetView topLeftCell="AJ1" zoomScale="80" zoomScaleNormal="80" zoomScalePageLayoutView="80" workbookViewId="0">
      <selection activeCell="AO44" sqref="AO44"/>
    </sheetView>
  </sheetViews>
  <sheetFormatPr defaultColWidth="8.77734375" defaultRowHeight="14.4" x14ac:dyDescent="0.3"/>
  <cols>
    <col min="1" max="1" width="6" style="101" customWidth="1"/>
    <col min="2" max="2" width="28.77734375" style="101" customWidth="1"/>
    <col min="3" max="3" width="12.77734375" style="13" customWidth="1"/>
    <col min="4" max="4" width="12.44140625" style="13" customWidth="1"/>
    <col min="5" max="5" width="18.21875" style="7" customWidth="1"/>
    <col min="6" max="6" width="6.44140625" style="101" customWidth="1"/>
    <col min="7" max="7" width="9.21875" style="101" customWidth="1"/>
    <col min="8" max="9" width="12.21875" style="101" customWidth="1"/>
    <col min="10" max="10" width="9.44140625" style="101" customWidth="1"/>
    <col min="11" max="11" width="9" style="101" bestFit="1" customWidth="1"/>
    <col min="12" max="12" width="11.44140625" style="101" customWidth="1"/>
    <col min="13" max="13" width="11.21875" style="7" bestFit="1" customWidth="1"/>
    <col min="14" max="14" width="8.77734375" style="7"/>
    <col min="15" max="15" width="6" style="7" customWidth="1"/>
    <col min="16" max="16" width="28.77734375" style="7" bestFit="1" customWidth="1"/>
    <col min="17" max="17" width="15" style="101" bestFit="1" customWidth="1"/>
    <col min="18" max="18" width="12.44140625" style="101" bestFit="1" customWidth="1"/>
    <col min="19" max="19" width="18.21875" style="9" bestFit="1" customWidth="1"/>
    <col min="20" max="20" width="6.44140625" style="101" customWidth="1"/>
    <col min="21" max="21" width="9.21875" style="101" customWidth="1"/>
    <col min="22" max="23" width="12.21875" style="101" bestFit="1" customWidth="1"/>
    <col min="24" max="24" width="9.44140625" style="17" customWidth="1"/>
    <col min="25" max="25" width="9" style="17" bestFit="1" customWidth="1"/>
    <col min="26" max="26" width="11.44140625" style="101" bestFit="1" customWidth="1"/>
    <col min="27" max="27" width="9.44140625" style="101" customWidth="1"/>
    <col min="28" max="28" width="5.44140625" style="101" customWidth="1"/>
    <col min="29" max="29" width="7.5546875" style="101" customWidth="1"/>
    <col min="30" max="30" width="16.5546875" style="101" customWidth="1"/>
    <col min="31" max="31" width="21.21875" style="101" customWidth="1"/>
    <col min="32" max="32" width="12.21875" style="101" bestFit="1" customWidth="1"/>
    <col min="33" max="33" width="12.21875" style="7" bestFit="1" customWidth="1"/>
    <col min="34" max="35" width="12.21875" style="101" bestFit="1" customWidth="1"/>
    <col min="36" max="39" width="8.77734375" style="101"/>
    <col min="40" max="40" width="9.77734375" style="101" customWidth="1"/>
    <col min="41" max="41" width="10.77734375" style="101" customWidth="1"/>
    <col min="42" max="42" width="6.21875" style="101" customWidth="1"/>
    <col min="43" max="45" width="8.77734375" style="101"/>
    <col min="46" max="46" width="11.5546875" style="101" customWidth="1"/>
    <col min="47" max="57" width="8.77734375" style="101"/>
    <col min="58" max="62" width="8.77734375" style="1"/>
    <col min="63" max="63" width="10.5546875" style="1" customWidth="1"/>
    <col min="64" max="16384" width="8.77734375" style="1"/>
  </cols>
  <sheetData>
    <row r="3" spans="1:53" ht="144" x14ac:dyDescent="0.3">
      <c r="B3" s="101" t="s">
        <v>7</v>
      </c>
      <c r="C3" s="13" t="s">
        <v>8</v>
      </c>
      <c r="D3" s="13" t="s">
        <v>9</v>
      </c>
      <c r="E3" s="7" t="s">
        <v>10</v>
      </c>
      <c r="F3" s="101" t="s">
        <v>11</v>
      </c>
      <c r="G3" s="101" t="s">
        <v>12</v>
      </c>
      <c r="H3" s="101" t="s">
        <v>13</v>
      </c>
      <c r="I3" s="101" t="s">
        <v>51</v>
      </c>
      <c r="J3" s="101" t="s">
        <v>15</v>
      </c>
      <c r="K3" s="101" t="s">
        <v>16</v>
      </c>
      <c r="L3" s="101" t="s">
        <v>22</v>
      </c>
      <c r="M3" s="7" t="s">
        <v>23</v>
      </c>
      <c r="P3" s="101" t="s">
        <v>7</v>
      </c>
      <c r="Q3" s="13" t="s">
        <v>8</v>
      </c>
      <c r="R3" s="13" t="s">
        <v>9</v>
      </c>
      <c r="S3" s="7" t="s">
        <v>10</v>
      </c>
      <c r="T3" s="101" t="s">
        <v>11</v>
      </c>
      <c r="U3" s="101" t="s">
        <v>12</v>
      </c>
      <c r="V3" s="101" t="s">
        <v>13</v>
      </c>
      <c r="W3" s="101" t="s">
        <v>51</v>
      </c>
      <c r="X3" s="101" t="s">
        <v>15</v>
      </c>
      <c r="Y3" s="101" t="s">
        <v>16</v>
      </c>
      <c r="Z3" s="101" t="s">
        <v>22</v>
      </c>
      <c r="AA3" s="7" t="s">
        <v>23</v>
      </c>
      <c r="AD3" s="101" t="s">
        <v>7</v>
      </c>
      <c r="AE3" s="13" t="s">
        <v>8</v>
      </c>
      <c r="AF3" s="13" t="s">
        <v>9</v>
      </c>
      <c r="AG3" s="7" t="s">
        <v>10</v>
      </c>
      <c r="AH3" s="101" t="s">
        <v>11</v>
      </c>
      <c r="AI3" s="101" t="s">
        <v>12</v>
      </c>
      <c r="AJ3" s="101" t="s">
        <v>13</v>
      </c>
      <c r="AK3" s="101" t="s">
        <v>51</v>
      </c>
      <c r="AL3" s="101" t="s">
        <v>15</v>
      </c>
      <c r="AM3" s="101" t="s">
        <v>16</v>
      </c>
      <c r="AN3" s="101" t="s">
        <v>22</v>
      </c>
      <c r="AO3" s="7" t="s">
        <v>23</v>
      </c>
      <c r="AQ3" s="1" t="s">
        <v>359</v>
      </c>
      <c r="AR3" s="1" t="s">
        <v>360</v>
      </c>
      <c r="AT3" s="19" t="s">
        <v>361</v>
      </c>
      <c r="AU3" s="19" t="s">
        <v>362</v>
      </c>
      <c r="AW3" s="19" t="s">
        <v>363</v>
      </c>
      <c r="AX3" s="19" t="s">
        <v>364</v>
      </c>
      <c r="AZ3" s="19" t="s">
        <v>369</v>
      </c>
      <c r="BA3" s="19" t="s">
        <v>370</v>
      </c>
    </row>
    <row r="4" spans="1:53" x14ac:dyDescent="0.3">
      <c r="A4" s="101" t="s">
        <v>52</v>
      </c>
      <c r="AZ4" s="104"/>
      <c r="BA4" s="105"/>
    </row>
    <row r="5" spans="1:53" s="101" customFormat="1" x14ac:dyDescent="0.3">
      <c r="A5" s="101">
        <v>30</v>
      </c>
      <c r="B5" s="101" t="s">
        <v>343</v>
      </c>
      <c r="C5" s="20">
        <v>44595.60193287037</v>
      </c>
      <c r="D5" s="101" t="s">
        <v>344</v>
      </c>
      <c r="E5" s="101" t="s">
        <v>17</v>
      </c>
      <c r="F5" s="101">
        <v>0</v>
      </c>
      <c r="G5" s="101">
        <v>6.0890000000000004</v>
      </c>
      <c r="H5" s="12">
        <v>3001</v>
      </c>
      <c r="I5" s="101">
        <v>0</v>
      </c>
      <c r="J5" s="101" t="s">
        <v>18</v>
      </c>
      <c r="K5" s="101" t="s">
        <v>18</v>
      </c>
      <c r="L5" s="101" t="s">
        <v>18</v>
      </c>
      <c r="M5" s="101" t="s">
        <v>18</v>
      </c>
      <c r="O5" s="101">
        <v>30</v>
      </c>
      <c r="P5" s="101" t="s">
        <v>343</v>
      </c>
      <c r="Q5" s="20">
        <v>44595.60193287037</v>
      </c>
      <c r="R5" s="101" t="s">
        <v>344</v>
      </c>
      <c r="S5" s="101" t="s">
        <v>17</v>
      </c>
      <c r="T5" s="101">
        <v>0</v>
      </c>
      <c r="U5" s="101" t="s">
        <v>18</v>
      </c>
      <c r="V5" s="12" t="s">
        <v>18</v>
      </c>
      <c r="W5" s="101" t="s">
        <v>18</v>
      </c>
      <c r="X5" s="101" t="s">
        <v>18</v>
      </c>
      <c r="Y5" s="101" t="s">
        <v>18</v>
      </c>
      <c r="Z5" s="101" t="s">
        <v>18</v>
      </c>
      <c r="AA5" s="101" t="s">
        <v>18</v>
      </c>
      <c r="AC5" s="101">
        <v>30</v>
      </c>
      <c r="AD5" s="101" t="s">
        <v>343</v>
      </c>
      <c r="AE5" s="20">
        <v>44595.60193287037</v>
      </c>
      <c r="AF5" s="101" t="s">
        <v>344</v>
      </c>
      <c r="AG5" s="101" t="s">
        <v>17</v>
      </c>
      <c r="AH5" s="101">
        <v>0</v>
      </c>
      <c r="AI5" s="101">
        <v>12.265000000000001</v>
      </c>
      <c r="AJ5" s="12">
        <v>2217</v>
      </c>
      <c r="AK5" s="101">
        <v>0.40400000000000003</v>
      </c>
      <c r="AL5" s="101" t="s">
        <v>18</v>
      </c>
      <c r="AM5" s="101" t="s">
        <v>18</v>
      </c>
      <c r="AN5" s="101" t="s">
        <v>18</v>
      </c>
      <c r="AO5" s="101" t="s">
        <v>18</v>
      </c>
      <c r="AQ5" s="101">
        <v>1</v>
      </c>
      <c r="AT5" s="60">
        <f t="shared" ref="AT5:AT12" si="0">IF(H5&lt;15000,((0.00000002125*H5^2)+(0.002705*H5)+(-4.371)),(IF(H5&lt;700000,((-0.0000000008162*H5^2)+(0.003141*H5)+(0.4702)), ((0.000000003285*V5^2)+(0.1899*V5)+(559.5)))))</f>
        <v>3.9380825212499992</v>
      </c>
      <c r="AU5" s="61">
        <f t="shared" ref="AU5:AU12" si="1">((-0.00000006277*AJ5^2)+(0.1854*AJ5)+(34.83))</f>
        <v>445.55327986347004</v>
      </c>
      <c r="AW5" s="23">
        <f t="shared" ref="AW5:AW12" si="2">IF(H5&lt;10000,((-0.00000005795*H5^2)+(0.003823*H5)+(-6.715)),(IF(H5&lt;700000,((-0.0000000001209*H5^2)+(0.002635*H5)+(-0.4111)), ((-0.00000002007*V5^2)+(0.2564*V5)+(286.1)))))</f>
        <v>4.2359252420499995</v>
      </c>
      <c r="AX5" s="103">
        <f t="shared" ref="AX5:AX12" si="3">(-0.00000001626*AJ5^2)+(0.1912*AJ5)+(-3.858)</f>
        <v>419.95248065286</v>
      </c>
      <c r="AZ5" s="104">
        <f t="shared" ref="AZ5:AZ8" si="4">IF(H5&lt;10000,((0.0000001453*H5^2)+(0.0008349*H5)+(-1.805)),(IF(H5&lt;700000,((-0.00000000008054*H5^2)+(0.002348*H5)+(-2.47)), ((-0.00000001938*V5^2)+(0.2471*V5)+(226.8)))))</f>
        <v>2.0091068452999998</v>
      </c>
      <c r="BA5" s="105">
        <f t="shared" ref="BA5:BA8" si="5">(-0.00000002552*AJ5^2)+(0.2067*AJ5)+(-103.7)</f>
        <v>354.42846692872001</v>
      </c>
    </row>
    <row r="6" spans="1:53" s="101" customFormat="1" x14ac:dyDescent="0.3">
      <c r="A6" s="101">
        <v>31</v>
      </c>
      <c r="B6" s="101" t="s">
        <v>345</v>
      </c>
      <c r="C6" s="20">
        <v>44595.623171296298</v>
      </c>
      <c r="D6" s="101" t="s">
        <v>346</v>
      </c>
      <c r="E6" s="101" t="s">
        <v>17</v>
      </c>
      <c r="F6" s="101">
        <v>0</v>
      </c>
      <c r="G6" s="101">
        <v>6.0810000000000004</v>
      </c>
      <c r="H6" s="12">
        <v>2804</v>
      </c>
      <c r="I6" s="101">
        <v>-1E-3</v>
      </c>
      <c r="J6" s="101" t="s">
        <v>18</v>
      </c>
      <c r="K6" s="101" t="s">
        <v>18</v>
      </c>
      <c r="L6" s="101" t="s">
        <v>18</v>
      </c>
      <c r="M6" s="101" t="s">
        <v>18</v>
      </c>
      <c r="O6" s="101">
        <v>31</v>
      </c>
      <c r="P6" s="101" t="s">
        <v>345</v>
      </c>
      <c r="Q6" s="20">
        <v>44595.623171296298</v>
      </c>
      <c r="R6" s="101" t="s">
        <v>346</v>
      </c>
      <c r="S6" s="101" t="s">
        <v>17</v>
      </c>
      <c r="T6" s="101">
        <v>0</v>
      </c>
      <c r="U6" s="101" t="s">
        <v>18</v>
      </c>
      <c r="V6" s="12" t="s">
        <v>18</v>
      </c>
      <c r="W6" s="101" t="s">
        <v>18</v>
      </c>
      <c r="X6" s="101" t="s">
        <v>18</v>
      </c>
      <c r="Y6" s="101" t="s">
        <v>18</v>
      </c>
      <c r="Z6" s="101" t="s">
        <v>18</v>
      </c>
      <c r="AA6" s="101" t="s">
        <v>18</v>
      </c>
      <c r="AC6" s="101">
        <v>31</v>
      </c>
      <c r="AD6" s="101" t="s">
        <v>345</v>
      </c>
      <c r="AE6" s="20">
        <v>44595.623171296298</v>
      </c>
      <c r="AF6" s="101" t="s">
        <v>346</v>
      </c>
      <c r="AG6" s="101" t="s">
        <v>17</v>
      </c>
      <c r="AH6" s="101">
        <v>0</v>
      </c>
      <c r="AI6" s="101">
        <v>12.243</v>
      </c>
      <c r="AJ6" s="12">
        <v>2051</v>
      </c>
      <c r="AK6" s="101">
        <v>0.372</v>
      </c>
      <c r="AL6" s="101" t="s">
        <v>18</v>
      </c>
      <c r="AM6" s="101" t="s">
        <v>18</v>
      </c>
      <c r="AN6" s="101" t="s">
        <v>18</v>
      </c>
      <c r="AO6" s="101" t="s">
        <v>18</v>
      </c>
      <c r="AQ6" s="101">
        <v>1</v>
      </c>
      <c r="AT6" s="60">
        <f t="shared" si="0"/>
        <v>3.3808963399999996</v>
      </c>
      <c r="AU6" s="61">
        <f t="shared" si="1"/>
        <v>414.82135165522999</v>
      </c>
      <c r="AW6" s="23">
        <f t="shared" si="2"/>
        <v>3.5490649928</v>
      </c>
      <c r="AX6" s="103">
        <f t="shared" si="3"/>
        <v>388.22480066774</v>
      </c>
      <c r="AZ6" s="104">
        <f t="shared" si="4"/>
        <v>1.6784686448000004</v>
      </c>
      <c r="BA6" s="105">
        <f t="shared" si="5"/>
        <v>320.13434754247999</v>
      </c>
    </row>
    <row r="7" spans="1:53" s="101" customFormat="1" x14ac:dyDescent="0.3">
      <c r="A7" s="101">
        <v>32</v>
      </c>
      <c r="B7" s="101" t="s">
        <v>347</v>
      </c>
      <c r="C7" s="20">
        <v>44595.644409722219</v>
      </c>
      <c r="D7" s="101" t="s">
        <v>348</v>
      </c>
      <c r="E7" s="101" t="s">
        <v>17</v>
      </c>
      <c r="F7" s="101">
        <v>0</v>
      </c>
      <c r="G7" s="101">
        <v>6.0860000000000003</v>
      </c>
      <c r="H7" s="12">
        <v>2898</v>
      </c>
      <c r="I7" s="101">
        <v>-1E-3</v>
      </c>
      <c r="J7" s="101" t="s">
        <v>18</v>
      </c>
      <c r="K7" s="101" t="s">
        <v>18</v>
      </c>
      <c r="L7" s="101" t="s">
        <v>18</v>
      </c>
      <c r="M7" s="101" t="s">
        <v>18</v>
      </c>
      <c r="O7" s="101">
        <v>32</v>
      </c>
      <c r="P7" s="101" t="s">
        <v>347</v>
      </c>
      <c r="Q7" s="20">
        <v>44595.644409722219</v>
      </c>
      <c r="R7" s="101" t="s">
        <v>348</v>
      </c>
      <c r="S7" s="101" t="s">
        <v>17</v>
      </c>
      <c r="T7" s="101">
        <v>0</v>
      </c>
      <c r="U7" s="101" t="s">
        <v>18</v>
      </c>
      <c r="V7" s="12" t="s">
        <v>18</v>
      </c>
      <c r="W7" s="101" t="s">
        <v>18</v>
      </c>
      <c r="X7" s="101" t="s">
        <v>18</v>
      </c>
      <c r="Y7" s="101" t="s">
        <v>18</v>
      </c>
      <c r="Z7" s="101" t="s">
        <v>18</v>
      </c>
      <c r="AA7" s="101" t="s">
        <v>18</v>
      </c>
      <c r="AC7" s="101">
        <v>32</v>
      </c>
      <c r="AD7" s="101" t="s">
        <v>347</v>
      </c>
      <c r="AE7" s="20">
        <v>44595.644409722219</v>
      </c>
      <c r="AF7" s="101" t="s">
        <v>348</v>
      </c>
      <c r="AG7" s="101" t="s">
        <v>17</v>
      </c>
      <c r="AH7" s="101">
        <v>0</v>
      </c>
      <c r="AI7" s="101">
        <v>12.241</v>
      </c>
      <c r="AJ7" s="12">
        <v>2281</v>
      </c>
      <c r="AK7" s="101">
        <v>0.41599999999999998</v>
      </c>
      <c r="AL7" s="101" t="s">
        <v>18</v>
      </c>
      <c r="AM7" s="101" t="s">
        <v>18</v>
      </c>
      <c r="AN7" s="101" t="s">
        <v>18</v>
      </c>
      <c r="AO7" s="101" t="s">
        <v>18</v>
      </c>
      <c r="AQ7" s="101">
        <v>1</v>
      </c>
      <c r="AT7" s="60">
        <f t="shared" si="0"/>
        <v>3.6465560849999985</v>
      </c>
      <c r="AU7" s="61">
        <f t="shared" si="1"/>
        <v>457.40081013803001</v>
      </c>
      <c r="AW7" s="23">
        <f t="shared" si="2"/>
        <v>3.8773664881999998</v>
      </c>
      <c r="AX7" s="103">
        <f t="shared" si="3"/>
        <v>432.18459985414</v>
      </c>
      <c r="AZ7" s="104">
        <f t="shared" si="4"/>
        <v>1.8348283011999997</v>
      </c>
      <c r="BA7" s="105">
        <f t="shared" si="5"/>
        <v>367.64992043527997</v>
      </c>
    </row>
    <row r="8" spans="1:53" s="101" customFormat="1" x14ac:dyDescent="0.3">
      <c r="A8" s="101">
        <v>33</v>
      </c>
      <c r="B8" s="101" t="s">
        <v>349</v>
      </c>
      <c r="C8" s="20">
        <v>44595.665671296294</v>
      </c>
      <c r="D8" s="101" t="s">
        <v>350</v>
      </c>
      <c r="E8" s="101" t="s">
        <v>17</v>
      </c>
      <c r="F8" s="101">
        <v>0</v>
      </c>
      <c r="G8" s="101">
        <v>6.07</v>
      </c>
      <c r="H8" s="12">
        <v>3284</v>
      </c>
      <c r="I8" s="101">
        <v>0</v>
      </c>
      <c r="J8" s="101" t="s">
        <v>18</v>
      </c>
      <c r="K8" s="101" t="s">
        <v>18</v>
      </c>
      <c r="L8" s="101" t="s">
        <v>18</v>
      </c>
      <c r="M8" s="101" t="s">
        <v>18</v>
      </c>
      <c r="O8" s="101">
        <v>33</v>
      </c>
      <c r="P8" s="101" t="s">
        <v>349</v>
      </c>
      <c r="Q8" s="20">
        <v>44595.665671296294</v>
      </c>
      <c r="R8" s="101" t="s">
        <v>350</v>
      </c>
      <c r="S8" s="101" t="s">
        <v>17</v>
      </c>
      <c r="T8" s="101">
        <v>0</v>
      </c>
      <c r="U8" s="101" t="s">
        <v>18</v>
      </c>
      <c r="V8" s="12" t="s">
        <v>18</v>
      </c>
      <c r="W8" s="101" t="s">
        <v>18</v>
      </c>
      <c r="X8" s="101" t="s">
        <v>18</v>
      </c>
      <c r="Y8" s="101" t="s">
        <v>18</v>
      </c>
      <c r="Z8" s="101" t="s">
        <v>18</v>
      </c>
      <c r="AA8" s="101" t="s">
        <v>18</v>
      </c>
      <c r="AC8" s="101">
        <v>33</v>
      </c>
      <c r="AD8" s="101" t="s">
        <v>349</v>
      </c>
      <c r="AE8" s="20">
        <v>44595.665671296294</v>
      </c>
      <c r="AF8" s="101" t="s">
        <v>350</v>
      </c>
      <c r="AG8" s="101" t="s">
        <v>17</v>
      </c>
      <c r="AH8" s="101">
        <v>0</v>
      </c>
      <c r="AI8" s="101">
        <v>12.236000000000001</v>
      </c>
      <c r="AJ8" s="12">
        <v>2852</v>
      </c>
      <c r="AK8" s="101">
        <v>0.52700000000000002</v>
      </c>
      <c r="AL8" s="101" t="s">
        <v>18</v>
      </c>
      <c r="AM8" s="101" t="s">
        <v>18</v>
      </c>
      <c r="AN8" s="101" t="s">
        <v>18</v>
      </c>
      <c r="AO8" s="101" t="s">
        <v>18</v>
      </c>
      <c r="AQ8" s="101">
        <v>1</v>
      </c>
      <c r="AT8" s="60">
        <f t="shared" si="0"/>
        <v>4.74139394</v>
      </c>
      <c r="AU8" s="61">
        <f t="shared" si="1"/>
        <v>563.08023484592002</v>
      </c>
      <c r="AW8" s="23">
        <f t="shared" si="2"/>
        <v>5.2147611848000004</v>
      </c>
      <c r="AX8" s="103">
        <f t="shared" si="3"/>
        <v>541.31214272096008</v>
      </c>
      <c r="AZ8" s="104">
        <f t="shared" si="4"/>
        <v>2.5038221168000003</v>
      </c>
      <c r="BA8" s="105">
        <f t="shared" si="5"/>
        <v>485.60082276991994</v>
      </c>
    </row>
    <row r="9" spans="1:53" s="101" customFormat="1" x14ac:dyDescent="0.3">
      <c r="A9" s="101">
        <v>34</v>
      </c>
      <c r="B9" s="101" t="s">
        <v>351</v>
      </c>
      <c r="C9" s="20">
        <v>44595.686909722222</v>
      </c>
      <c r="D9" s="101" t="s">
        <v>352</v>
      </c>
      <c r="E9" s="101" t="s">
        <v>17</v>
      </c>
      <c r="F9" s="101">
        <v>0</v>
      </c>
      <c r="G9" s="101">
        <v>6.0780000000000003</v>
      </c>
      <c r="H9" s="12">
        <v>3124</v>
      </c>
      <c r="I9" s="101">
        <v>0</v>
      </c>
      <c r="J9" s="101" t="s">
        <v>18</v>
      </c>
      <c r="K9" s="101" t="s">
        <v>18</v>
      </c>
      <c r="L9" s="101" t="s">
        <v>18</v>
      </c>
      <c r="M9" s="101" t="s">
        <v>18</v>
      </c>
      <c r="O9" s="101">
        <v>34</v>
      </c>
      <c r="P9" s="101" t="s">
        <v>351</v>
      </c>
      <c r="Q9" s="20">
        <v>44595.686909722222</v>
      </c>
      <c r="R9" s="101" t="s">
        <v>352</v>
      </c>
      <c r="S9" s="101" t="s">
        <v>17</v>
      </c>
      <c r="T9" s="101">
        <v>0</v>
      </c>
      <c r="U9" s="101" t="s">
        <v>18</v>
      </c>
      <c r="V9" s="12" t="s">
        <v>18</v>
      </c>
      <c r="W9" s="101" t="s">
        <v>18</v>
      </c>
      <c r="X9" s="101" t="s">
        <v>18</v>
      </c>
      <c r="Y9" s="101" t="s">
        <v>18</v>
      </c>
      <c r="Z9" s="101" t="s">
        <v>18</v>
      </c>
      <c r="AA9" s="101" t="s">
        <v>18</v>
      </c>
      <c r="AC9" s="101">
        <v>34</v>
      </c>
      <c r="AD9" s="101" t="s">
        <v>351</v>
      </c>
      <c r="AE9" s="20">
        <v>44595.686909722222</v>
      </c>
      <c r="AF9" s="101" t="s">
        <v>352</v>
      </c>
      <c r="AG9" s="101" t="s">
        <v>17</v>
      </c>
      <c r="AH9" s="101">
        <v>0</v>
      </c>
      <c r="AI9" s="101">
        <v>12.228</v>
      </c>
      <c r="AJ9" s="12">
        <v>2032</v>
      </c>
      <c r="AK9" s="101">
        <v>0.36799999999999999</v>
      </c>
      <c r="AL9" s="101" t="s">
        <v>18</v>
      </c>
      <c r="AM9" s="101" t="s">
        <v>18</v>
      </c>
      <c r="AN9" s="101" t="s">
        <v>18</v>
      </c>
      <c r="AO9" s="101" t="s">
        <v>18</v>
      </c>
      <c r="AQ9" s="101">
        <v>1</v>
      </c>
      <c r="AT9" s="60">
        <f t="shared" si="0"/>
        <v>4.2868067399999994</v>
      </c>
      <c r="AU9" s="61">
        <f t="shared" si="1"/>
        <v>411.30362116352001</v>
      </c>
      <c r="AW9" s="23">
        <f t="shared" si="2"/>
        <v>4.6624961608</v>
      </c>
      <c r="AX9" s="103">
        <f t="shared" si="3"/>
        <v>384.59326206976004</v>
      </c>
      <c r="AZ9" s="104">
        <f t="shared" ref="AZ9:AZ12" si="6">IF(H9&lt;10000,((0.0000001453*H9^2)+(0.0008349*H9)+(-1.805)),(IF(H9&lt;700000,((-0.00000000008054*H9^2)+(0.002348*H9)+(-2.47)), ((-0.00000001938*V9^2)+(0.2471*V9)+(226.8)))))</f>
        <v>2.2212649328000005</v>
      </c>
      <c r="BA9" s="105">
        <f t="shared" ref="BA9:BA12" si="7">(-0.00000002552*AJ9^2)+(0.2067*AJ9)+(-103.7)</f>
        <v>316.20902730751999</v>
      </c>
    </row>
    <row r="10" spans="1:53" s="101" customFormat="1" x14ac:dyDescent="0.3">
      <c r="A10" s="101">
        <v>35</v>
      </c>
      <c r="B10" s="101" t="s">
        <v>353</v>
      </c>
      <c r="C10" s="20">
        <v>44595.70815972222</v>
      </c>
      <c r="D10" s="101" t="s">
        <v>354</v>
      </c>
      <c r="E10" s="101" t="s">
        <v>17</v>
      </c>
      <c r="F10" s="101">
        <v>0</v>
      </c>
      <c r="G10" s="101">
        <v>6.0839999999999996</v>
      </c>
      <c r="H10" s="12">
        <v>3113</v>
      </c>
      <c r="I10" s="101">
        <v>0</v>
      </c>
      <c r="J10" s="101" t="s">
        <v>18</v>
      </c>
      <c r="K10" s="101" t="s">
        <v>18</v>
      </c>
      <c r="L10" s="101" t="s">
        <v>18</v>
      </c>
      <c r="M10" s="101" t="s">
        <v>18</v>
      </c>
      <c r="O10" s="101">
        <v>35</v>
      </c>
      <c r="P10" s="101" t="s">
        <v>353</v>
      </c>
      <c r="Q10" s="20">
        <v>44595.70815972222</v>
      </c>
      <c r="R10" s="101" t="s">
        <v>354</v>
      </c>
      <c r="S10" s="101" t="s">
        <v>17</v>
      </c>
      <c r="T10" s="101">
        <v>0</v>
      </c>
      <c r="U10" s="101" t="s">
        <v>18</v>
      </c>
      <c r="V10" s="12" t="s">
        <v>18</v>
      </c>
      <c r="W10" s="101" t="s">
        <v>18</v>
      </c>
      <c r="X10" s="101" t="s">
        <v>18</v>
      </c>
      <c r="Y10" s="101" t="s">
        <v>18</v>
      </c>
      <c r="Z10" s="101" t="s">
        <v>18</v>
      </c>
      <c r="AA10" s="101" t="s">
        <v>18</v>
      </c>
      <c r="AC10" s="101">
        <v>35</v>
      </c>
      <c r="AD10" s="101" t="s">
        <v>353</v>
      </c>
      <c r="AE10" s="20">
        <v>44595.70815972222</v>
      </c>
      <c r="AF10" s="101" t="s">
        <v>354</v>
      </c>
      <c r="AG10" s="101" t="s">
        <v>17</v>
      </c>
      <c r="AH10" s="101">
        <v>0</v>
      </c>
      <c r="AI10" s="101">
        <v>12.23</v>
      </c>
      <c r="AJ10" s="12">
        <v>2184</v>
      </c>
      <c r="AK10" s="101">
        <v>0.39700000000000002</v>
      </c>
      <c r="AL10" s="101" t="s">
        <v>18</v>
      </c>
      <c r="AM10" s="101" t="s">
        <v>18</v>
      </c>
      <c r="AN10" s="101" t="s">
        <v>18</v>
      </c>
      <c r="AO10" s="101" t="s">
        <v>18</v>
      </c>
      <c r="AQ10" s="101">
        <v>1</v>
      </c>
      <c r="AT10" s="60">
        <f t="shared" si="0"/>
        <v>4.2555938412499987</v>
      </c>
      <c r="AU10" s="61">
        <f t="shared" si="1"/>
        <v>439.44419613887999</v>
      </c>
      <c r="AW10" s="23">
        <f t="shared" si="2"/>
        <v>4.6244189364500006</v>
      </c>
      <c r="AX10" s="103">
        <f t="shared" si="3"/>
        <v>413.64524214144001</v>
      </c>
      <c r="AZ10" s="104">
        <f t="shared" si="6"/>
        <v>2.2021124357000001</v>
      </c>
      <c r="BA10" s="105">
        <f t="shared" si="7"/>
        <v>347.61107327487997</v>
      </c>
    </row>
    <row r="11" spans="1:53" s="101" customFormat="1" x14ac:dyDescent="0.3">
      <c r="A11" s="101">
        <v>36</v>
      </c>
      <c r="B11" s="101" t="s">
        <v>355</v>
      </c>
      <c r="C11" s="20">
        <v>44595.729398148149</v>
      </c>
      <c r="D11" s="101" t="s">
        <v>356</v>
      </c>
      <c r="E11" s="101" t="s">
        <v>17</v>
      </c>
      <c r="F11" s="101">
        <v>0</v>
      </c>
      <c r="G11" s="101">
        <v>6.0759999999999996</v>
      </c>
      <c r="H11" s="12">
        <v>3075</v>
      </c>
      <c r="I11" s="101">
        <v>0</v>
      </c>
      <c r="J11" s="101" t="s">
        <v>18</v>
      </c>
      <c r="K11" s="101" t="s">
        <v>18</v>
      </c>
      <c r="L11" s="101" t="s">
        <v>18</v>
      </c>
      <c r="M11" s="101" t="s">
        <v>18</v>
      </c>
      <c r="O11" s="101">
        <v>36</v>
      </c>
      <c r="P11" s="101" t="s">
        <v>355</v>
      </c>
      <c r="Q11" s="20">
        <v>44595.729398148149</v>
      </c>
      <c r="R11" s="101" t="s">
        <v>356</v>
      </c>
      <c r="S11" s="101" t="s">
        <v>17</v>
      </c>
      <c r="T11" s="101">
        <v>0</v>
      </c>
      <c r="U11" s="101" t="s">
        <v>18</v>
      </c>
      <c r="V11" s="12" t="s">
        <v>18</v>
      </c>
      <c r="W11" s="101" t="s">
        <v>18</v>
      </c>
      <c r="X11" s="101" t="s">
        <v>18</v>
      </c>
      <c r="Y11" s="101" t="s">
        <v>18</v>
      </c>
      <c r="Z11" s="101" t="s">
        <v>18</v>
      </c>
      <c r="AA11" s="101" t="s">
        <v>18</v>
      </c>
      <c r="AC11" s="101">
        <v>36</v>
      </c>
      <c r="AD11" s="101" t="s">
        <v>355</v>
      </c>
      <c r="AE11" s="20">
        <v>44595.729398148149</v>
      </c>
      <c r="AF11" s="101" t="s">
        <v>356</v>
      </c>
      <c r="AG11" s="101" t="s">
        <v>17</v>
      </c>
      <c r="AH11" s="101">
        <v>0</v>
      </c>
      <c r="AI11" s="101">
        <v>12.234999999999999</v>
      </c>
      <c r="AJ11" s="12">
        <v>1861</v>
      </c>
      <c r="AK11" s="101">
        <v>0.33500000000000002</v>
      </c>
      <c r="AL11" s="101" t="s">
        <v>18</v>
      </c>
      <c r="AM11" s="101" t="s">
        <v>18</v>
      </c>
      <c r="AN11" s="101" t="s">
        <v>18</v>
      </c>
      <c r="AO11" s="101" t="s">
        <v>18</v>
      </c>
      <c r="AQ11" s="101">
        <v>1</v>
      </c>
      <c r="AT11" s="60">
        <f t="shared" si="0"/>
        <v>4.1478070312499984</v>
      </c>
      <c r="AU11" s="61">
        <f t="shared" si="1"/>
        <v>379.64200734082999</v>
      </c>
      <c r="AW11" s="23">
        <f t="shared" si="2"/>
        <v>4.4927715312499998</v>
      </c>
      <c r="AX11" s="103">
        <f t="shared" si="3"/>
        <v>351.90888640054004</v>
      </c>
      <c r="AZ11" s="104">
        <f t="shared" si="6"/>
        <v>2.1362198125000003</v>
      </c>
      <c r="BA11" s="105">
        <f t="shared" si="7"/>
        <v>280.88031604808003</v>
      </c>
    </row>
    <row r="12" spans="1:53" s="101" customFormat="1" x14ac:dyDescent="0.3">
      <c r="A12" s="101">
        <v>37</v>
      </c>
      <c r="B12" s="101" t="s">
        <v>357</v>
      </c>
      <c r="C12" s="20">
        <v>44595.750659722224</v>
      </c>
      <c r="D12" s="101" t="s">
        <v>358</v>
      </c>
      <c r="E12" s="101" t="s">
        <v>17</v>
      </c>
      <c r="F12" s="101">
        <v>0</v>
      </c>
      <c r="G12" s="101">
        <v>6.0839999999999996</v>
      </c>
      <c r="H12" s="12">
        <v>3088</v>
      </c>
      <c r="I12" s="101">
        <v>0</v>
      </c>
      <c r="J12" s="101" t="s">
        <v>18</v>
      </c>
      <c r="K12" s="101" t="s">
        <v>18</v>
      </c>
      <c r="L12" s="101" t="s">
        <v>18</v>
      </c>
      <c r="M12" s="101" t="s">
        <v>18</v>
      </c>
      <c r="O12" s="101">
        <v>37</v>
      </c>
      <c r="P12" s="101" t="s">
        <v>357</v>
      </c>
      <c r="Q12" s="20">
        <v>44595.750659722224</v>
      </c>
      <c r="R12" s="101" t="s">
        <v>358</v>
      </c>
      <c r="S12" s="101" t="s">
        <v>17</v>
      </c>
      <c r="T12" s="101">
        <v>0</v>
      </c>
      <c r="U12" s="101" t="s">
        <v>18</v>
      </c>
      <c r="V12" s="12" t="s">
        <v>18</v>
      </c>
      <c r="W12" s="101" t="s">
        <v>18</v>
      </c>
      <c r="X12" s="101" t="s">
        <v>18</v>
      </c>
      <c r="Y12" s="101" t="s">
        <v>18</v>
      </c>
      <c r="Z12" s="101" t="s">
        <v>18</v>
      </c>
      <c r="AA12" s="101" t="s">
        <v>18</v>
      </c>
      <c r="AC12" s="101">
        <v>37</v>
      </c>
      <c r="AD12" s="101" t="s">
        <v>357</v>
      </c>
      <c r="AE12" s="20">
        <v>44595.750659722224</v>
      </c>
      <c r="AF12" s="101" t="s">
        <v>358</v>
      </c>
      <c r="AG12" s="101" t="s">
        <v>17</v>
      </c>
      <c r="AH12" s="101">
        <v>0</v>
      </c>
      <c r="AI12" s="101">
        <v>12.244</v>
      </c>
      <c r="AJ12" s="12">
        <v>2192</v>
      </c>
      <c r="AK12" s="101">
        <v>0.39900000000000002</v>
      </c>
      <c r="AL12" s="101" t="s">
        <v>18</v>
      </c>
      <c r="AM12" s="101" t="s">
        <v>18</v>
      </c>
      <c r="AN12" s="101" t="s">
        <v>18</v>
      </c>
      <c r="AO12" s="101" t="s">
        <v>18</v>
      </c>
      <c r="AQ12" s="101">
        <v>1</v>
      </c>
      <c r="AT12" s="60">
        <f t="shared" si="0"/>
        <v>4.1846745599999995</v>
      </c>
      <c r="AU12" s="61">
        <f t="shared" si="1"/>
        <v>440.92519868672002</v>
      </c>
      <c r="AW12" s="23">
        <f t="shared" si="2"/>
        <v>4.5378276352000011</v>
      </c>
      <c r="AX12" s="103">
        <f t="shared" si="3"/>
        <v>415.17427291136005</v>
      </c>
      <c r="AZ12" s="104">
        <f t="shared" si="6"/>
        <v>2.1587148032000005</v>
      </c>
      <c r="BA12" s="105">
        <f t="shared" si="7"/>
        <v>349.26377987071999</v>
      </c>
    </row>
    <row r="13" spans="1:53" s="101" customFormat="1" x14ac:dyDescent="0.3">
      <c r="C13" s="20"/>
      <c r="H13" s="12"/>
      <c r="Q13" s="20"/>
      <c r="AE13" s="20"/>
      <c r="AJ13" s="12"/>
      <c r="AS13" s="20"/>
      <c r="AX13" s="12"/>
    </row>
    <row r="14" spans="1:53" s="101" customFormat="1" x14ac:dyDescent="0.3">
      <c r="C14" s="20"/>
      <c r="H14" s="12"/>
      <c r="Q14" s="20"/>
      <c r="AE14" s="20"/>
      <c r="AJ14" s="12"/>
      <c r="AS14" s="20"/>
      <c r="AX14" s="12"/>
    </row>
    <row r="17" spans="7:53" x14ac:dyDescent="0.3">
      <c r="G17" s="20" t="s">
        <v>39</v>
      </c>
      <c r="I17" s="101">
        <v>1.8</v>
      </c>
      <c r="AI17" s="20" t="s">
        <v>39</v>
      </c>
      <c r="AK17" s="101">
        <v>400</v>
      </c>
      <c r="AR17" s="20" t="s">
        <v>39</v>
      </c>
      <c r="AT17" s="101">
        <v>1.8</v>
      </c>
      <c r="AU17" s="101">
        <v>400</v>
      </c>
      <c r="AW17" s="101">
        <v>1.8</v>
      </c>
      <c r="AX17" s="101">
        <v>400</v>
      </c>
      <c r="AZ17" s="101">
        <v>1.8</v>
      </c>
      <c r="BA17" s="101">
        <v>400</v>
      </c>
    </row>
    <row r="18" spans="7:53" x14ac:dyDescent="0.3">
      <c r="G18" s="101" t="s">
        <v>40</v>
      </c>
      <c r="I18" s="101">
        <f>AVERAGE(I5:I12)</f>
        <v>-2.5000000000000001E-4</v>
      </c>
      <c r="AI18" s="101" t="s">
        <v>40</v>
      </c>
      <c r="AK18" s="101">
        <f>AVERAGE(AK5:AK12)</f>
        <v>0.40225</v>
      </c>
      <c r="AR18" s="101" t="s">
        <v>40</v>
      </c>
      <c r="AT18" s="101">
        <f>AVERAGE(AT5:AT12)</f>
        <v>4.072726382343749</v>
      </c>
      <c r="AU18" s="101">
        <f t="shared" ref="AU18:AX18" si="8">AVERAGE(AU5:AU12)</f>
        <v>444.02133747907499</v>
      </c>
      <c r="AW18" s="101">
        <f t="shared" si="8"/>
        <v>4.3993290214437506</v>
      </c>
      <c r="AX18" s="101">
        <f t="shared" si="8"/>
        <v>418.37446092735013</v>
      </c>
      <c r="AZ18" s="101">
        <f t="shared" ref="AZ18:BA18" si="9">AVERAGE(AZ5:AZ12)</f>
        <v>2.0930672365375003</v>
      </c>
      <c r="BA18" s="101">
        <f t="shared" si="9"/>
        <v>352.72221927219999</v>
      </c>
    </row>
    <row r="19" spans="7:53" x14ac:dyDescent="0.3">
      <c r="G19" s="101" t="s">
        <v>41</v>
      </c>
      <c r="I19" s="101">
        <f>STDEV(I5:I12)</f>
        <v>4.6291004988627575E-4</v>
      </c>
      <c r="AI19" s="101" t="s">
        <v>41</v>
      </c>
      <c r="AK19" s="101">
        <f>STDEV(AK5:AK12)</f>
        <v>5.6572961739686518E-2</v>
      </c>
      <c r="AR19" s="101" t="s">
        <v>41</v>
      </c>
      <c r="AT19" s="101">
        <f>STDEV(AT5:AT12)</f>
        <v>0.41797737587465178</v>
      </c>
      <c r="AU19" s="101">
        <f t="shared" ref="AU19:AX19" si="10">STDEV(AU5:AU12)</f>
        <v>54.056452976292</v>
      </c>
      <c r="AW19" s="101">
        <f t="shared" si="10"/>
        <v>0.51197935148060081</v>
      </c>
      <c r="AX19" s="101">
        <f t="shared" si="10"/>
        <v>55.815172552023498</v>
      </c>
      <c r="AZ19" s="101">
        <f t="shared" ref="AZ19:BA19" si="11">STDEV(AZ5:AZ12)</f>
        <v>0.25322082727461709</v>
      </c>
      <c r="BA19" s="101">
        <f t="shared" si="11"/>
        <v>60.32885717615865</v>
      </c>
    </row>
    <row r="20" spans="7:53" x14ac:dyDescent="0.3">
      <c r="G20" s="101" t="s">
        <v>42</v>
      </c>
      <c r="I20" s="101">
        <f>100*I19/I18</f>
        <v>-185.16401995451028</v>
      </c>
      <c r="AI20" s="101" t="s">
        <v>42</v>
      </c>
      <c r="AK20" s="101">
        <f>100*AK19/AK18</f>
        <v>14.064129705329153</v>
      </c>
      <c r="AR20" s="101" t="s">
        <v>42</v>
      </c>
      <c r="AT20" s="101">
        <f>100*AT19/AT18</f>
        <v>10.2628395977369</v>
      </c>
      <c r="AU20" s="101">
        <f t="shared" ref="AU20:AX20" si="12">100*AU19/AU18</f>
        <v>12.174291731833602</v>
      </c>
      <c r="AW20" s="101">
        <f t="shared" si="12"/>
        <v>11.637669039643276</v>
      </c>
      <c r="AX20" s="101">
        <f t="shared" si="12"/>
        <v>13.340960733670521</v>
      </c>
      <c r="AZ20" s="101">
        <f t="shared" ref="AZ20:BA20" si="13">100*AZ19/AZ18</f>
        <v>12.098074197249051</v>
      </c>
      <c r="BA20" s="101">
        <f t="shared" si="13"/>
        <v>17.103787025563634</v>
      </c>
    </row>
    <row r="21" spans="7:53" x14ac:dyDescent="0.3">
      <c r="G21" s="101" t="s">
        <v>43</v>
      </c>
      <c r="H21" s="28"/>
      <c r="I21" s="28">
        <f t="shared" ref="I21" si="14">TINV(0.02,6)</f>
        <v>3.1426684032909828</v>
      </c>
      <c r="AI21" s="101" t="s">
        <v>43</v>
      </c>
      <c r="AJ21" s="28"/>
      <c r="AK21" s="28">
        <f t="shared" ref="AK21" si="15">TINV(0.02,6)</f>
        <v>3.1426684032909828</v>
      </c>
      <c r="AR21" s="101" t="s">
        <v>43</v>
      </c>
      <c r="AS21" s="28"/>
      <c r="AT21" s="28">
        <f t="shared" ref="AT21:BA21" si="16">TINV(0.02,6)</f>
        <v>3.1426684032909828</v>
      </c>
      <c r="AU21" s="28">
        <f t="shared" si="16"/>
        <v>3.1426684032909828</v>
      </c>
      <c r="AV21" s="28"/>
      <c r="AW21" s="28">
        <f t="shared" si="16"/>
        <v>3.1426684032909828</v>
      </c>
      <c r="AX21" s="28">
        <f t="shared" si="16"/>
        <v>3.1426684032909828</v>
      </c>
      <c r="AY21" s="28"/>
      <c r="AZ21" s="28">
        <f t="shared" si="16"/>
        <v>3.1426684032909828</v>
      </c>
      <c r="BA21" s="28">
        <f t="shared" si="16"/>
        <v>3.1426684032909828</v>
      </c>
    </row>
    <row r="22" spans="7:53" x14ac:dyDescent="0.3">
      <c r="G22" s="29" t="s">
        <v>44</v>
      </c>
      <c r="H22" s="30"/>
      <c r="I22" s="30">
        <f>I19*I21</f>
        <v>1.4547727873434515E-3</v>
      </c>
      <c r="AI22" s="29" t="s">
        <v>44</v>
      </c>
      <c r="AJ22" s="30"/>
      <c r="AK22" s="30">
        <f>AK19*AK21</f>
        <v>0.1777900593399025</v>
      </c>
      <c r="AR22" s="29" t="s">
        <v>44</v>
      </c>
      <c r="AS22" s="30"/>
      <c r="AT22" s="30">
        <f>AT19*AT21</f>
        <v>1.3135642924517468</v>
      </c>
      <c r="AU22" s="30">
        <f t="shared" ref="AU22:AX22" si="17">AU19*AU21</f>
        <v>169.88150676257769</v>
      </c>
      <c r="AV22" s="30"/>
      <c r="AW22" s="30">
        <f t="shared" si="17"/>
        <v>1.6089813310354926</v>
      </c>
      <c r="AX22" s="30">
        <f t="shared" si="17"/>
        <v>175.40857920347838</v>
      </c>
      <c r="AY22" s="30"/>
      <c r="AZ22" s="30">
        <f t="shared" ref="AZ22:BA22" si="18">AZ19*AZ21</f>
        <v>0.79578909293114264</v>
      </c>
      <c r="BA22" s="30">
        <f t="shared" si="18"/>
        <v>189.59359325416827</v>
      </c>
    </row>
    <row r="23" spans="7:53" x14ac:dyDescent="0.3">
      <c r="G23" s="29" t="s">
        <v>45</v>
      </c>
      <c r="H23" s="30"/>
      <c r="I23" s="30">
        <f>10*I19</f>
        <v>4.6291004988627572E-3</v>
      </c>
      <c r="AI23" s="29" t="s">
        <v>45</v>
      </c>
      <c r="AJ23" s="30"/>
      <c r="AK23" s="30">
        <f>10*AK19</f>
        <v>0.56572961739686523</v>
      </c>
      <c r="AR23" s="29" t="s">
        <v>45</v>
      </c>
      <c r="AS23" s="30"/>
      <c r="AT23" s="30">
        <f>10*AT19</f>
        <v>4.179773758746518</v>
      </c>
      <c r="AU23" s="30">
        <f t="shared" ref="AU23:AX23" si="19">10*AU19</f>
        <v>540.56452976291996</v>
      </c>
      <c r="AV23" s="30"/>
      <c r="AW23" s="30">
        <f t="shared" si="19"/>
        <v>5.1197935148060081</v>
      </c>
      <c r="AX23" s="30">
        <f t="shared" si="19"/>
        <v>558.151725520235</v>
      </c>
      <c r="AY23" s="30"/>
      <c r="AZ23" s="30">
        <f t="shared" ref="AZ23:BA23" si="20">10*AZ19</f>
        <v>2.5322082727461708</v>
      </c>
      <c r="BA23" s="30">
        <f t="shared" si="20"/>
        <v>603.28857176158647</v>
      </c>
    </row>
    <row r="24" spans="7:53" x14ac:dyDescent="0.3">
      <c r="G24" s="101" t="s">
        <v>46</v>
      </c>
      <c r="H24" s="31"/>
      <c r="I24" s="31">
        <f>100*(I18-I17)/I17</f>
        <v>-100.01388888888889</v>
      </c>
      <c r="AI24" s="101" t="s">
        <v>46</v>
      </c>
      <c r="AJ24" s="31"/>
      <c r="AK24" s="31">
        <f>100*(AK18-AK17)/AK17</f>
        <v>-99.899437500000005</v>
      </c>
      <c r="AR24" s="101" t="s">
        <v>46</v>
      </c>
      <c r="AS24" s="31"/>
      <c r="AT24" s="31">
        <f>100*(AT18-AT17)/AT17</f>
        <v>126.26257679687495</v>
      </c>
      <c r="AU24" s="31">
        <f t="shared" ref="AU24:AX24" si="21">100*(AU18-AU17)/AU17</f>
        <v>11.005334369768748</v>
      </c>
      <c r="AV24" s="31"/>
      <c r="AW24" s="31">
        <f t="shared" si="21"/>
        <v>144.40716785798614</v>
      </c>
      <c r="AX24" s="31">
        <f t="shared" si="21"/>
        <v>4.5936152318375321</v>
      </c>
      <c r="AY24" s="31"/>
      <c r="AZ24" s="31">
        <f t="shared" ref="AZ24:BA24" si="22">100*(AZ18-AZ17)/AZ17</f>
        <v>16.281513140972233</v>
      </c>
      <c r="BA24" s="31">
        <f t="shared" si="22"/>
        <v>-11.819445181950002</v>
      </c>
    </row>
    <row r="25" spans="7:53" x14ac:dyDescent="0.3">
      <c r="G25" s="101" t="s">
        <v>47</v>
      </c>
      <c r="H25" s="31"/>
      <c r="I25" s="31">
        <f>I17/I22</f>
        <v>1237.3066197416058</v>
      </c>
      <c r="AI25" s="101" t="s">
        <v>47</v>
      </c>
      <c r="AJ25" s="31"/>
      <c r="AK25" s="31">
        <f>AK17/AK22</f>
        <v>2249.844572216899</v>
      </c>
      <c r="AR25" s="101" t="s">
        <v>47</v>
      </c>
      <c r="AS25" s="31"/>
      <c r="AT25" s="31">
        <f>AT17/AT22</f>
        <v>1.3703173954586789</v>
      </c>
      <c r="AU25" s="31">
        <f t="shared" ref="AU25:AX25" si="23">AU17/AU22</f>
        <v>2.3545823652190134</v>
      </c>
      <c r="AV25" s="31"/>
      <c r="AW25" s="31">
        <f t="shared" si="23"/>
        <v>1.1187202519258403</v>
      </c>
      <c r="AX25" s="31">
        <f t="shared" si="23"/>
        <v>2.2803901714293571</v>
      </c>
      <c r="AY25" s="31"/>
      <c r="AZ25" s="31">
        <f t="shared" ref="AZ25:BA25" si="24">AZ17/AZ22</f>
        <v>2.2619058441351982</v>
      </c>
      <c r="BA25" s="31">
        <f t="shared" si="24"/>
        <v>2.1097759324797538</v>
      </c>
    </row>
    <row r="26" spans="7:53" x14ac:dyDescent="0.3">
      <c r="G26" s="101" t="s">
        <v>48</v>
      </c>
      <c r="H26" s="31"/>
      <c r="I26" s="31">
        <f>100*I18/I17</f>
        <v>-1.388888888888889E-2</v>
      </c>
      <c r="AI26" s="101" t="s">
        <v>48</v>
      </c>
      <c r="AJ26" s="31"/>
      <c r="AK26" s="31">
        <f>100*AK18/AK17</f>
        <v>0.1005625</v>
      </c>
      <c r="AR26" s="101" t="s">
        <v>48</v>
      </c>
      <c r="AS26" s="31"/>
      <c r="AT26" s="31">
        <f>100*AT18/AT17</f>
        <v>226.26257679687492</v>
      </c>
      <c r="AU26" s="31">
        <f t="shared" ref="AU26:AX26" si="25">100*AU18/AU17</f>
        <v>111.00533436976875</v>
      </c>
      <c r="AV26" s="31"/>
      <c r="AW26" s="31">
        <f t="shared" si="25"/>
        <v>244.40716785798614</v>
      </c>
      <c r="AX26" s="31">
        <f t="shared" si="25"/>
        <v>104.59361523183753</v>
      </c>
      <c r="AY26" s="31"/>
      <c r="AZ26" s="31">
        <f t="shared" ref="AZ26:BA26" si="26">100*AZ18/AZ17</f>
        <v>116.28151314097224</v>
      </c>
      <c r="BA26" s="31">
        <f t="shared" si="26"/>
        <v>88.180554818049998</v>
      </c>
    </row>
    <row r="27" spans="7:53" x14ac:dyDescent="0.3">
      <c r="G27" s="101" t="s">
        <v>49</v>
      </c>
      <c r="H27" s="31"/>
      <c r="I27" s="31">
        <f>I18/I19</f>
        <v>-0.54006172486732174</v>
      </c>
      <c r="AI27" s="101" t="s">
        <v>49</v>
      </c>
      <c r="AJ27" s="31"/>
      <c r="AK27" s="31">
        <f>AK18/AK19</f>
        <v>7.1102870988247631</v>
      </c>
      <c r="AR27" s="101" t="s">
        <v>49</v>
      </c>
      <c r="AS27" s="31"/>
      <c r="AT27" s="31">
        <f>AT18/AT19</f>
        <v>9.7438919363069267</v>
      </c>
      <c r="AU27" s="31">
        <f t="shared" ref="AU27:AX27" si="27">AU18/AU19</f>
        <v>8.2140302041980675</v>
      </c>
      <c r="AV27" s="31"/>
      <c r="AW27" s="31">
        <f t="shared" si="27"/>
        <v>8.5927860346735958</v>
      </c>
      <c r="AX27" s="31">
        <f t="shared" si="27"/>
        <v>7.4957120402592494</v>
      </c>
      <c r="AY27" s="31"/>
      <c r="AZ27" s="31">
        <f t="shared" ref="AZ27:BA27" si="28">AZ18/AZ19</f>
        <v>8.26577836848932</v>
      </c>
      <c r="BA27" s="31">
        <f t="shared" si="28"/>
        <v>5.8466583950407109</v>
      </c>
    </row>
  </sheetData>
  <printOptions gridLines="1"/>
  <pageMargins left="0.7" right="0.7" top="0.75" bottom="0.75" header="0.3" footer="0.3"/>
  <pageSetup scale="3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1696-B35B-4F99-B1F8-7C52045A0489}">
  <sheetPr>
    <pageSetUpPr fitToPage="1"/>
  </sheetPr>
  <dimension ref="A1:DI167"/>
  <sheetViews>
    <sheetView topLeftCell="B115" zoomScale="85" zoomScaleNormal="85" workbookViewId="0">
      <selection activeCell="AL162" sqref="AL162"/>
    </sheetView>
  </sheetViews>
  <sheetFormatPr defaultRowHeight="15" x14ac:dyDescent="0.25"/>
  <cols>
    <col min="1" max="1" width="14.21875" style="53" customWidth="1"/>
    <col min="2" max="2" width="9.21875" style="88" customWidth="1"/>
    <col min="3" max="3" width="7.77734375" style="53" customWidth="1"/>
    <col min="4" max="4" width="8.77734375" style="53"/>
    <col min="5" max="5" width="21.21875" style="53" customWidth="1"/>
    <col min="6" max="6" width="6.44140625" style="53" customWidth="1"/>
    <col min="7" max="7" width="8.21875" style="53" customWidth="1"/>
    <col min="8" max="8" width="6.77734375" style="53" customWidth="1"/>
    <col min="9" max="9" width="9.77734375" style="53" customWidth="1"/>
    <col min="10" max="10" width="5" style="53" customWidth="1"/>
    <col min="11" max="11" width="8.77734375" style="53" customWidth="1"/>
    <col min="12" max="12" width="13.21875" style="58" customWidth="1"/>
    <col min="13" max="13" width="7.21875" style="58" customWidth="1"/>
    <col min="14" max="14" width="6" style="53" customWidth="1"/>
    <col min="15" max="15" width="12" style="36" bestFit="1" customWidth="1"/>
    <col min="16" max="16" width="9.21875" style="36" bestFit="1" customWidth="1"/>
    <col min="17" max="17" width="7.21875" style="36" customWidth="1"/>
    <col min="18" max="20" width="9.21875" style="36" bestFit="1" customWidth="1"/>
    <col min="21" max="21" width="9.77734375" style="36" bestFit="1" customWidth="1"/>
    <col min="22" max="22" width="10.77734375" style="36" bestFit="1" customWidth="1"/>
    <col min="23" max="23" width="9.21875" style="36" bestFit="1" customWidth="1"/>
    <col min="24" max="24" width="11.21875" style="36" bestFit="1" customWidth="1"/>
    <col min="25" max="25" width="9.21875" style="85" bestFit="1" customWidth="1"/>
    <col min="26" max="26" width="8.77734375" style="85"/>
    <col min="27" max="27" width="11.5546875" style="36" customWidth="1"/>
    <col min="28" max="28" width="9.21875" style="36" customWidth="1"/>
    <col min="29" max="29" width="11" style="36" customWidth="1"/>
    <col min="30" max="30" width="9.21875" style="36" customWidth="1"/>
    <col min="31" max="31" width="11.77734375" style="36" customWidth="1"/>
    <col min="32" max="36" width="9.21875" style="36" customWidth="1"/>
    <col min="37" max="40" width="8.77734375" style="53"/>
    <col min="41" max="41" width="11" style="53" customWidth="1"/>
    <col min="42" max="44" width="8.77734375" style="53"/>
    <col min="45" max="254" width="8.77734375" style="56"/>
    <col min="255" max="255" width="24.77734375" style="56" customWidth="1"/>
    <col min="256" max="256" width="13.5546875" style="56" customWidth="1"/>
    <col min="257" max="257" width="8.77734375" style="56"/>
    <col min="258" max="258" width="6.77734375" style="56" customWidth="1"/>
    <col min="259" max="259" width="6.44140625" style="56" customWidth="1"/>
    <col min="260" max="260" width="8.21875" style="56" customWidth="1"/>
    <col min="261" max="261" width="6.77734375" style="56" customWidth="1"/>
    <col min="262" max="262" width="4.77734375" style="56" customWidth="1"/>
    <col min="263" max="264" width="5" style="56" customWidth="1"/>
    <col min="265" max="265" width="8.77734375" style="56"/>
    <col min="266" max="266" width="10.5546875" style="56" customWidth="1"/>
    <col min="267" max="267" width="3.77734375" style="56" customWidth="1"/>
    <col min="268" max="269" width="8.77734375" style="56"/>
    <col min="270" max="270" width="3.77734375" style="56" customWidth="1"/>
    <col min="271" max="510" width="8.77734375" style="56"/>
    <col min="511" max="511" width="24.77734375" style="56" customWidth="1"/>
    <col min="512" max="512" width="13.5546875" style="56" customWidth="1"/>
    <col min="513" max="513" width="8.77734375" style="56"/>
    <col min="514" max="514" width="6.77734375" style="56" customWidth="1"/>
    <col min="515" max="515" width="6.44140625" style="56" customWidth="1"/>
    <col min="516" max="516" width="8.21875" style="56" customWidth="1"/>
    <col min="517" max="517" width="6.77734375" style="56" customWidth="1"/>
    <col min="518" max="518" width="4.77734375" style="56" customWidth="1"/>
    <col min="519" max="520" width="5" style="56" customWidth="1"/>
    <col min="521" max="521" width="8.77734375" style="56"/>
    <col min="522" max="522" width="10.5546875" style="56" customWidth="1"/>
    <col min="523" max="523" width="3.77734375" style="56" customWidth="1"/>
    <col min="524" max="525" width="8.77734375" style="56"/>
    <col min="526" max="526" width="3.77734375" style="56" customWidth="1"/>
    <col min="527" max="766" width="8.77734375" style="56"/>
    <col min="767" max="767" width="24.77734375" style="56" customWidth="1"/>
    <col min="768" max="768" width="13.5546875" style="56" customWidth="1"/>
    <col min="769" max="769" width="8.77734375" style="56"/>
    <col min="770" max="770" width="6.77734375" style="56" customWidth="1"/>
    <col min="771" max="771" width="6.44140625" style="56" customWidth="1"/>
    <col min="772" max="772" width="8.21875" style="56" customWidth="1"/>
    <col min="773" max="773" width="6.77734375" style="56" customWidth="1"/>
    <col min="774" max="774" width="4.77734375" style="56" customWidth="1"/>
    <col min="775" max="776" width="5" style="56" customWidth="1"/>
    <col min="777" max="777" width="8.77734375" style="56"/>
    <col min="778" max="778" width="10.5546875" style="56" customWidth="1"/>
    <col min="779" max="779" width="3.77734375" style="56" customWidth="1"/>
    <col min="780" max="781" width="8.77734375" style="56"/>
    <col min="782" max="782" width="3.77734375" style="56" customWidth="1"/>
    <col min="783" max="1022" width="8.77734375" style="56"/>
    <col min="1023" max="1023" width="24.77734375" style="56" customWidth="1"/>
    <col min="1024" max="1024" width="13.5546875" style="56" customWidth="1"/>
    <col min="1025" max="1025" width="8.77734375" style="56"/>
    <col min="1026" max="1026" width="6.77734375" style="56" customWidth="1"/>
    <col min="1027" max="1027" width="6.44140625" style="56" customWidth="1"/>
    <col min="1028" max="1028" width="8.21875" style="56" customWidth="1"/>
    <col min="1029" max="1029" width="6.77734375" style="56" customWidth="1"/>
    <col min="1030" max="1030" width="4.77734375" style="56" customWidth="1"/>
    <col min="1031" max="1032" width="5" style="56" customWidth="1"/>
    <col min="1033" max="1033" width="8.77734375" style="56"/>
    <col min="1034" max="1034" width="10.5546875" style="56" customWidth="1"/>
    <col min="1035" max="1035" width="3.77734375" style="56" customWidth="1"/>
    <col min="1036" max="1037" width="8.77734375" style="56"/>
    <col min="1038" max="1038" width="3.77734375" style="56" customWidth="1"/>
    <col min="1039" max="1278" width="8.77734375" style="56"/>
    <col min="1279" max="1279" width="24.77734375" style="56" customWidth="1"/>
    <col min="1280" max="1280" width="13.5546875" style="56" customWidth="1"/>
    <col min="1281" max="1281" width="8.77734375" style="56"/>
    <col min="1282" max="1282" width="6.77734375" style="56" customWidth="1"/>
    <col min="1283" max="1283" width="6.44140625" style="56" customWidth="1"/>
    <col min="1284" max="1284" width="8.21875" style="56" customWidth="1"/>
    <col min="1285" max="1285" width="6.77734375" style="56" customWidth="1"/>
    <col min="1286" max="1286" width="4.77734375" style="56" customWidth="1"/>
    <col min="1287" max="1288" width="5" style="56" customWidth="1"/>
    <col min="1289" max="1289" width="8.77734375" style="56"/>
    <col min="1290" max="1290" width="10.5546875" style="56" customWidth="1"/>
    <col min="1291" max="1291" width="3.77734375" style="56" customWidth="1"/>
    <col min="1292" max="1293" width="8.77734375" style="56"/>
    <col min="1294" max="1294" width="3.77734375" style="56" customWidth="1"/>
    <col min="1295" max="1534" width="8.77734375" style="56"/>
    <col min="1535" max="1535" width="24.77734375" style="56" customWidth="1"/>
    <col min="1536" max="1536" width="13.5546875" style="56" customWidth="1"/>
    <col min="1537" max="1537" width="8.77734375" style="56"/>
    <col min="1538" max="1538" width="6.77734375" style="56" customWidth="1"/>
    <col min="1539" max="1539" width="6.44140625" style="56" customWidth="1"/>
    <col min="1540" max="1540" width="8.21875" style="56" customWidth="1"/>
    <col min="1541" max="1541" width="6.77734375" style="56" customWidth="1"/>
    <col min="1542" max="1542" width="4.77734375" style="56" customWidth="1"/>
    <col min="1543" max="1544" width="5" style="56" customWidth="1"/>
    <col min="1545" max="1545" width="8.77734375" style="56"/>
    <col min="1546" max="1546" width="10.5546875" style="56" customWidth="1"/>
    <col min="1547" max="1547" width="3.77734375" style="56" customWidth="1"/>
    <col min="1548" max="1549" width="8.77734375" style="56"/>
    <col min="1550" max="1550" width="3.77734375" style="56" customWidth="1"/>
    <col min="1551" max="1790" width="8.77734375" style="56"/>
    <col min="1791" max="1791" width="24.77734375" style="56" customWidth="1"/>
    <col min="1792" max="1792" width="13.5546875" style="56" customWidth="1"/>
    <col min="1793" max="1793" width="8.77734375" style="56"/>
    <col min="1794" max="1794" width="6.77734375" style="56" customWidth="1"/>
    <col min="1795" max="1795" width="6.44140625" style="56" customWidth="1"/>
    <col min="1796" max="1796" width="8.21875" style="56" customWidth="1"/>
    <col min="1797" max="1797" width="6.77734375" style="56" customWidth="1"/>
    <col min="1798" max="1798" width="4.77734375" style="56" customWidth="1"/>
    <col min="1799" max="1800" width="5" style="56" customWidth="1"/>
    <col min="1801" max="1801" width="8.77734375" style="56"/>
    <col min="1802" max="1802" width="10.5546875" style="56" customWidth="1"/>
    <col min="1803" max="1803" width="3.77734375" style="56" customWidth="1"/>
    <col min="1804" max="1805" width="8.77734375" style="56"/>
    <col min="1806" max="1806" width="3.77734375" style="56" customWidth="1"/>
    <col min="1807" max="2046" width="8.77734375" style="56"/>
    <col min="2047" max="2047" width="24.77734375" style="56" customWidth="1"/>
    <col min="2048" max="2048" width="13.5546875" style="56" customWidth="1"/>
    <col min="2049" max="2049" width="8.77734375" style="56"/>
    <col min="2050" max="2050" width="6.77734375" style="56" customWidth="1"/>
    <col min="2051" max="2051" width="6.44140625" style="56" customWidth="1"/>
    <col min="2052" max="2052" width="8.21875" style="56" customWidth="1"/>
    <col min="2053" max="2053" width="6.77734375" style="56" customWidth="1"/>
    <col min="2054" max="2054" width="4.77734375" style="56" customWidth="1"/>
    <col min="2055" max="2056" width="5" style="56" customWidth="1"/>
    <col min="2057" max="2057" width="8.77734375" style="56"/>
    <col min="2058" max="2058" width="10.5546875" style="56" customWidth="1"/>
    <col min="2059" max="2059" width="3.77734375" style="56" customWidth="1"/>
    <col min="2060" max="2061" width="8.77734375" style="56"/>
    <col min="2062" max="2062" width="3.77734375" style="56" customWidth="1"/>
    <col min="2063" max="2302" width="8.77734375" style="56"/>
    <col min="2303" max="2303" width="24.77734375" style="56" customWidth="1"/>
    <col min="2304" max="2304" width="13.5546875" style="56" customWidth="1"/>
    <col min="2305" max="2305" width="8.77734375" style="56"/>
    <col min="2306" max="2306" width="6.77734375" style="56" customWidth="1"/>
    <col min="2307" max="2307" width="6.44140625" style="56" customWidth="1"/>
    <col min="2308" max="2308" width="8.21875" style="56" customWidth="1"/>
    <col min="2309" max="2309" width="6.77734375" style="56" customWidth="1"/>
    <col min="2310" max="2310" width="4.77734375" style="56" customWidth="1"/>
    <col min="2311" max="2312" width="5" style="56" customWidth="1"/>
    <col min="2313" max="2313" width="8.77734375" style="56"/>
    <col min="2314" max="2314" width="10.5546875" style="56" customWidth="1"/>
    <col min="2315" max="2315" width="3.77734375" style="56" customWidth="1"/>
    <col min="2316" max="2317" width="8.77734375" style="56"/>
    <col min="2318" max="2318" width="3.77734375" style="56" customWidth="1"/>
    <col min="2319" max="2558" width="8.77734375" style="56"/>
    <col min="2559" max="2559" width="24.77734375" style="56" customWidth="1"/>
    <col min="2560" max="2560" width="13.5546875" style="56" customWidth="1"/>
    <col min="2561" max="2561" width="8.77734375" style="56"/>
    <col min="2562" max="2562" width="6.77734375" style="56" customWidth="1"/>
    <col min="2563" max="2563" width="6.44140625" style="56" customWidth="1"/>
    <col min="2564" max="2564" width="8.21875" style="56" customWidth="1"/>
    <col min="2565" max="2565" width="6.77734375" style="56" customWidth="1"/>
    <col min="2566" max="2566" width="4.77734375" style="56" customWidth="1"/>
    <col min="2567" max="2568" width="5" style="56" customWidth="1"/>
    <col min="2569" max="2569" width="8.77734375" style="56"/>
    <col min="2570" max="2570" width="10.5546875" style="56" customWidth="1"/>
    <col min="2571" max="2571" width="3.77734375" style="56" customWidth="1"/>
    <col min="2572" max="2573" width="8.77734375" style="56"/>
    <col min="2574" max="2574" width="3.77734375" style="56" customWidth="1"/>
    <col min="2575" max="2814" width="8.77734375" style="56"/>
    <col min="2815" max="2815" width="24.77734375" style="56" customWidth="1"/>
    <col min="2816" max="2816" width="13.5546875" style="56" customWidth="1"/>
    <col min="2817" max="2817" width="8.77734375" style="56"/>
    <col min="2818" max="2818" width="6.77734375" style="56" customWidth="1"/>
    <col min="2819" max="2819" width="6.44140625" style="56" customWidth="1"/>
    <col min="2820" max="2820" width="8.21875" style="56" customWidth="1"/>
    <col min="2821" max="2821" width="6.77734375" style="56" customWidth="1"/>
    <col min="2822" max="2822" width="4.77734375" style="56" customWidth="1"/>
    <col min="2823" max="2824" width="5" style="56" customWidth="1"/>
    <col min="2825" max="2825" width="8.77734375" style="56"/>
    <col min="2826" max="2826" width="10.5546875" style="56" customWidth="1"/>
    <col min="2827" max="2827" width="3.77734375" style="56" customWidth="1"/>
    <col min="2828" max="2829" width="8.77734375" style="56"/>
    <col min="2830" max="2830" width="3.77734375" style="56" customWidth="1"/>
    <col min="2831" max="3070" width="8.77734375" style="56"/>
    <col min="3071" max="3071" width="24.77734375" style="56" customWidth="1"/>
    <col min="3072" max="3072" width="13.5546875" style="56" customWidth="1"/>
    <col min="3073" max="3073" width="8.77734375" style="56"/>
    <col min="3074" max="3074" width="6.77734375" style="56" customWidth="1"/>
    <col min="3075" max="3075" width="6.44140625" style="56" customWidth="1"/>
    <col min="3076" max="3076" width="8.21875" style="56" customWidth="1"/>
    <col min="3077" max="3077" width="6.77734375" style="56" customWidth="1"/>
    <col min="3078" max="3078" width="4.77734375" style="56" customWidth="1"/>
    <col min="3079" max="3080" width="5" style="56" customWidth="1"/>
    <col min="3081" max="3081" width="8.77734375" style="56"/>
    <col min="3082" max="3082" width="10.5546875" style="56" customWidth="1"/>
    <col min="3083" max="3083" width="3.77734375" style="56" customWidth="1"/>
    <col min="3084" max="3085" width="8.77734375" style="56"/>
    <col min="3086" max="3086" width="3.77734375" style="56" customWidth="1"/>
    <col min="3087" max="3326" width="8.77734375" style="56"/>
    <col min="3327" max="3327" width="24.77734375" style="56" customWidth="1"/>
    <col min="3328" max="3328" width="13.5546875" style="56" customWidth="1"/>
    <col min="3329" max="3329" width="8.77734375" style="56"/>
    <col min="3330" max="3330" width="6.77734375" style="56" customWidth="1"/>
    <col min="3331" max="3331" width="6.44140625" style="56" customWidth="1"/>
    <col min="3332" max="3332" width="8.21875" style="56" customWidth="1"/>
    <col min="3333" max="3333" width="6.77734375" style="56" customWidth="1"/>
    <col min="3334" max="3334" width="4.77734375" style="56" customWidth="1"/>
    <col min="3335" max="3336" width="5" style="56" customWidth="1"/>
    <col min="3337" max="3337" width="8.77734375" style="56"/>
    <col min="3338" max="3338" width="10.5546875" style="56" customWidth="1"/>
    <col min="3339" max="3339" width="3.77734375" style="56" customWidth="1"/>
    <col min="3340" max="3341" width="8.77734375" style="56"/>
    <col min="3342" max="3342" width="3.77734375" style="56" customWidth="1"/>
    <col min="3343" max="3582" width="8.77734375" style="56"/>
    <col min="3583" max="3583" width="24.77734375" style="56" customWidth="1"/>
    <col min="3584" max="3584" width="13.5546875" style="56" customWidth="1"/>
    <col min="3585" max="3585" width="8.77734375" style="56"/>
    <col min="3586" max="3586" width="6.77734375" style="56" customWidth="1"/>
    <col min="3587" max="3587" width="6.44140625" style="56" customWidth="1"/>
    <col min="3588" max="3588" width="8.21875" style="56" customWidth="1"/>
    <col min="3589" max="3589" width="6.77734375" style="56" customWidth="1"/>
    <col min="3590" max="3590" width="4.77734375" style="56" customWidth="1"/>
    <col min="3591" max="3592" width="5" style="56" customWidth="1"/>
    <col min="3593" max="3593" width="8.77734375" style="56"/>
    <col min="3594" max="3594" width="10.5546875" style="56" customWidth="1"/>
    <col min="3595" max="3595" width="3.77734375" style="56" customWidth="1"/>
    <col min="3596" max="3597" width="8.77734375" style="56"/>
    <col min="3598" max="3598" width="3.77734375" style="56" customWidth="1"/>
    <col min="3599" max="3838" width="8.77734375" style="56"/>
    <col min="3839" max="3839" width="24.77734375" style="56" customWidth="1"/>
    <col min="3840" max="3840" width="13.5546875" style="56" customWidth="1"/>
    <col min="3841" max="3841" width="8.77734375" style="56"/>
    <col min="3842" max="3842" width="6.77734375" style="56" customWidth="1"/>
    <col min="3843" max="3843" width="6.44140625" style="56" customWidth="1"/>
    <col min="3844" max="3844" width="8.21875" style="56" customWidth="1"/>
    <col min="3845" max="3845" width="6.77734375" style="56" customWidth="1"/>
    <col min="3846" max="3846" width="4.77734375" style="56" customWidth="1"/>
    <col min="3847" max="3848" width="5" style="56" customWidth="1"/>
    <col min="3849" max="3849" width="8.77734375" style="56"/>
    <col min="3850" max="3850" width="10.5546875" style="56" customWidth="1"/>
    <col min="3851" max="3851" width="3.77734375" style="56" customWidth="1"/>
    <col min="3852" max="3853" width="8.77734375" style="56"/>
    <col min="3854" max="3854" width="3.77734375" style="56" customWidth="1"/>
    <col min="3855" max="4094" width="8.77734375" style="56"/>
    <col min="4095" max="4095" width="24.77734375" style="56" customWidth="1"/>
    <col min="4096" max="4096" width="13.5546875" style="56" customWidth="1"/>
    <col min="4097" max="4097" width="8.77734375" style="56"/>
    <col min="4098" max="4098" width="6.77734375" style="56" customWidth="1"/>
    <col min="4099" max="4099" width="6.44140625" style="56" customWidth="1"/>
    <col min="4100" max="4100" width="8.21875" style="56" customWidth="1"/>
    <col min="4101" max="4101" width="6.77734375" style="56" customWidth="1"/>
    <col min="4102" max="4102" width="4.77734375" style="56" customWidth="1"/>
    <col min="4103" max="4104" width="5" style="56" customWidth="1"/>
    <col min="4105" max="4105" width="8.77734375" style="56"/>
    <col min="4106" max="4106" width="10.5546875" style="56" customWidth="1"/>
    <col min="4107" max="4107" width="3.77734375" style="56" customWidth="1"/>
    <col min="4108" max="4109" width="8.77734375" style="56"/>
    <col min="4110" max="4110" width="3.77734375" style="56" customWidth="1"/>
    <col min="4111" max="4350" width="8.77734375" style="56"/>
    <col min="4351" max="4351" width="24.77734375" style="56" customWidth="1"/>
    <col min="4352" max="4352" width="13.5546875" style="56" customWidth="1"/>
    <col min="4353" max="4353" width="8.77734375" style="56"/>
    <col min="4354" max="4354" width="6.77734375" style="56" customWidth="1"/>
    <col min="4355" max="4355" width="6.44140625" style="56" customWidth="1"/>
    <col min="4356" max="4356" width="8.21875" style="56" customWidth="1"/>
    <col min="4357" max="4357" width="6.77734375" style="56" customWidth="1"/>
    <col min="4358" max="4358" width="4.77734375" style="56" customWidth="1"/>
    <col min="4359" max="4360" width="5" style="56" customWidth="1"/>
    <col min="4361" max="4361" width="8.77734375" style="56"/>
    <col min="4362" max="4362" width="10.5546875" style="56" customWidth="1"/>
    <col min="4363" max="4363" width="3.77734375" style="56" customWidth="1"/>
    <col min="4364" max="4365" width="8.77734375" style="56"/>
    <col min="4366" max="4366" width="3.77734375" style="56" customWidth="1"/>
    <col min="4367" max="4606" width="8.77734375" style="56"/>
    <col min="4607" max="4607" width="24.77734375" style="56" customWidth="1"/>
    <col min="4608" max="4608" width="13.5546875" style="56" customWidth="1"/>
    <col min="4609" max="4609" width="8.77734375" style="56"/>
    <col min="4610" max="4610" width="6.77734375" style="56" customWidth="1"/>
    <col min="4611" max="4611" width="6.44140625" style="56" customWidth="1"/>
    <col min="4612" max="4612" width="8.21875" style="56" customWidth="1"/>
    <col min="4613" max="4613" width="6.77734375" style="56" customWidth="1"/>
    <col min="4614" max="4614" width="4.77734375" style="56" customWidth="1"/>
    <col min="4615" max="4616" width="5" style="56" customWidth="1"/>
    <col min="4617" max="4617" width="8.77734375" style="56"/>
    <col min="4618" max="4618" width="10.5546875" style="56" customWidth="1"/>
    <col min="4619" max="4619" width="3.77734375" style="56" customWidth="1"/>
    <col min="4620" max="4621" width="8.77734375" style="56"/>
    <col min="4622" max="4622" width="3.77734375" style="56" customWidth="1"/>
    <col min="4623" max="4862" width="8.77734375" style="56"/>
    <col min="4863" max="4863" width="24.77734375" style="56" customWidth="1"/>
    <col min="4864" max="4864" width="13.5546875" style="56" customWidth="1"/>
    <col min="4865" max="4865" width="8.77734375" style="56"/>
    <col min="4866" max="4866" width="6.77734375" style="56" customWidth="1"/>
    <col min="4867" max="4867" width="6.44140625" style="56" customWidth="1"/>
    <col min="4868" max="4868" width="8.21875" style="56" customWidth="1"/>
    <col min="4869" max="4869" width="6.77734375" style="56" customWidth="1"/>
    <col min="4870" max="4870" width="4.77734375" style="56" customWidth="1"/>
    <col min="4871" max="4872" width="5" style="56" customWidth="1"/>
    <col min="4873" max="4873" width="8.77734375" style="56"/>
    <col min="4874" max="4874" width="10.5546875" style="56" customWidth="1"/>
    <col min="4875" max="4875" width="3.77734375" style="56" customWidth="1"/>
    <col min="4876" max="4877" width="8.77734375" style="56"/>
    <col min="4878" max="4878" width="3.77734375" style="56" customWidth="1"/>
    <col min="4879" max="5118" width="8.77734375" style="56"/>
    <col min="5119" max="5119" width="24.77734375" style="56" customWidth="1"/>
    <col min="5120" max="5120" width="13.5546875" style="56" customWidth="1"/>
    <col min="5121" max="5121" width="8.77734375" style="56"/>
    <col min="5122" max="5122" width="6.77734375" style="56" customWidth="1"/>
    <col min="5123" max="5123" width="6.44140625" style="56" customWidth="1"/>
    <col min="5124" max="5124" width="8.21875" style="56" customWidth="1"/>
    <col min="5125" max="5125" width="6.77734375" style="56" customWidth="1"/>
    <col min="5126" max="5126" width="4.77734375" style="56" customWidth="1"/>
    <col min="5127" max="5128" width="5" style="56" customWidth="1"/>
    <col min="5129" max="5129" width="8.77734375" style="56"/>
    <col min="5130" max="5130" width="10.5546875" style="56" customWidth="1"/>
    <col min="5131" max="5131" width="3.77734375" style="56" customWidth="1"/>
    <col min="5132" max="5133" width="8.77734375" style="56"/>
    <col min="5134" max="5134" width="3.77734375" style="56" customWidth="1"/>
    <col min="5135" max="5374" width="8.77734375" style="56"/>
    <col min="5375" max="5375" width="24.77734375" style="56" customWidth="1"/>
    <col min="5376" max="5376" width="13.5546875" style="56" customWidth="1"/>
    <col min="5377" max="5377" width="8.77734375" style="56"/>
    <col min="5378" max="5378" width="6.77734375" style="56" customWidth="1"/>
    <col min="5379" max="5379" width="6.44140625" style="56" customWidth="1"/>
    <col min="5380" max="5380" width="8.21875" style="56" customWidth="1"/>
    <col min="5381" max="5381" width="6.77734375" style="56" customWidth="1"/>
    <col min="5382" max="5382" width="4.77734375" style="56" customWidth="1"/>
    <col min="5383" max="5384" width="5" style="56" customWidth="1"/>
    <col min="5385" max="5385" width="8.77734375" style="56"/>
    <col min="5386" max="5386" width="10.5546875" style="56" customWidth="1"/>
    <col min="5387" max="5387" width="3.77734375" style="56" customWidth="1"/>
    <col min="5388" max="5389" width="8.77734375" style="56"/>
    <col min="5390" max="5390" width="3.77734375" style="56" customWidth="1"/>
    <col min="5391" max="5630" width="8.77734375" style="56"/>
    <col min="5631" max="5631" width="24.77734375" style="56" customWidth="1"/>
    <col min="5632" max="5632" width="13.5546875" style="56" customWidth="1"/>
    <col min="5633" max="5633" width="8.77734375" style="56"/>
    <col min="5634" max="5634" width="6.77734375" style="56" customWidth="1"/>
    <col min="5635" max="5635" width="6.44140625" style="56" customWidth="1"/>
    <col min="5636" max="5636" width="8.21875" style="56" customWidth="1"/>
    <col min="5637" max="5637" width="6.77734375" style="56" customWidth="1"/>
    <col min="5638" max="5638" width="4.77734375" style="56" customWidth="1"/>
    <col min="5639" max="5640" width="5" style="56" customWidth="1"/>
    <col min="5641" max="5641" width="8.77734375" style="56"/>
    <col min="5642" max="5642" width="10.5546875" style="56" customWidth="1"/>
    <col min="5643" max="5643" width="3.77734375" style="56" customWidth="1"/>
    <col min="5644" max="5645" width="8.77734375" style="56"/>
    <col min="5646" max="5646" width="3.77734375" style="56" customWidth="1"/>
    <col min="5647" max="5886" width="8.77734375" style="56"/>
    <col min="5887" max="5887" width="24.77734375" style="56" customWidth="1"/>
    <col min="5888" max="5888" width="13.5546875" style="56" customWidth="1"/>
    <col min="5889" max="5889" width="8.77734375" style="56"/>
    <col min="5890" max="5890" width="6.77734375" style="56" customWidth="1"/>
    <col min="5891" max="5891" width="6.44140625" style="56" customWidth="1"/>
    <col min="5892" max="5892" width="8.21875" style="56" customWidth="1"/>
    <col min="5893" max="5893" width="6.77734375" style="56" customWidth="1"/>
    <col min="5894" max="5894" width="4.77734375" style="56" customWidth="1"/>
    <col min="5895" max="5896" width="5" style="56" customWidth="1"/>
    <col min="5897" max="5897" width="8.77734375" style="56"/>
    <col min="5898" max="5898" width="10.5546875" style="56" customWidth="1"/>
    <col min="5899" max="5899" width="3.77734375" style="56" customWidth="1"/>
    <col min="5900" max="5901" width="8.77734375" style="56"/>
    <col min="5902" max="5902" width="3.77734375" style="56" customWidth="1"/>
    <col min="5903" max="6142" width="8.77734375" style="56"/>
    <col min="6143" max="6143" width="24.77734375" style="56" customWidth="1"/>
    <col min="6144" max="6144" width="13.5546875" style="56" customWidth="1"/>
    <col min="6145" max="6145" width="8.77734375" style="56"/>
    <col min="6146" max="6146" width="6.77734375" style="56" customWidth="1"/>
    <col min="6147" max="6147" width="6.44140625" style="56" customWidth="1"/>
    <col min="6148" max="6148" width="8.21875" style="56" customWidth="1"/>
    <col min="6149" max="6149" width="6.77734375" style="56" customWidth="1"/>
    <col min="6150" max="6150" width="4.77734375" style="56" customWidth="1"/>
    <col min="6151" max="6152" width="5" style="56" customWidth="1"/>
    <col min="6153" max="6153" width="8.77734375" style="56"/>
    <col min="6154" max="6154" width="10.5546875" style="56" customWidth="1"/>
    <col min="6155" max="6155" width="3.77734375" style="56" customWidth="1"/>
    <col min="6156" max="6157" width="8.77734375" style="56"/>
    <col min="6158" max="6158" width="3.77734375" style="56" customWidth="1"/>
    <col min="6159" max="6398" width="8.77734375" style="56"/>
    <col min="6399" max="6399" width="24.77734375" style="56" customWidth="1"/>
    <col min="6400" max="6400" width="13.5546875" style="56" customWidth="1"/>
    <col min="6401" max="6401" width="8.77734375" style="56"/>
    <col min="6402" max="6402" width="6.77734375" style="56" customWidth="1"/>
    <col min="6403" max="6403" width="6.44140625" style="56" customWidth="1"/>
    <col min="6404" max="6404" width="8.21875" style="56" customWidth="1"/>
    <col min="6405" max="6405" width="6.77734375" style="56" customWidth="1"/>
    <col min="6406" max="6406" width="4.77734375" style="56" customWidth="1"/>
    <col min="6407" max="6408" width="5" style="56" customWidth="1"/>
    <col min="6409" max="6409" width="8.77734375" style="56"/>
    <col min="6410" max="6410" width="10.5546875" style="56" customWidth="1"/>
    <col min="6411" max="6411" width="3.77734375" style="56" customWidth="1"/>
    <col min="6412" max="6413" width="8.77734375" style="56"/>
    <col min="6414" max="6414" width="3.77734375" style="56" customWidth="1"/>
    <col min="6415" max="6654" width="8.77734375" style="56"/>
    <col min="6655" max="6655" width="24.77734375" style="56" customWidth="1"/>
    <col min="6656" max="6656" width="13.5546875" style="56" customWidth="1"/>
    <col min="6657" max="6657" width="8.77734375" style="56"/>
    <col min="6658" max="6658" width="6.77734375" style="56" customWidth="1"/>
    <col min="6659" max="6659" width="6.44140625" style="56" customWidth="1"/>
    <col min="6660" max="6660" width="8.21875" style="56" customWidth="1"/>
    <col min="6661" max="6661" width="6.77734375" style="56" customWidth="1"/>
    <col min="6662" max="6662" width="4.77734375" style="56" customWidth="1"/>
    <col min="6663" max="6664" width="5" style="56" customWidth="1"/>
    <col min="6665" max="6665" width="8.77734375" style="56"/>
    <col min="6666" max="6666" width="10.5546875" style="56" customWidth="1"/>
    <col min="6667" max="6667" width="3.77734375" style="56" customWidth="1"/>
    <col min="6668" max="6669" width="8.77734375" style="56"/>
    <col min="6670" max="6670" width="3.77734375" style="56" customWidth="1"/>
    <col min="6671" max="6910" width="8.77734375" style="56"/>
    <col min="6911" max="6911" width="24.77734375" style="56" customWidth="1"/>
    <col min="6912" max="6912" width="13.5546875" style="56" customWidth="1"/>
    <col min="6913" max="6913" width="8.77734375" style="56"/>
    <col min="6914" max="6914" width="6.77734375" style="56" customWidth="1"/>
    <col min="6915" max="6915" width="6.44140625" style="56" customWidth="1"/>
    <col min="6916" max="6916" width="8.21875" style="56" customWidth="1"/>
    <col min="6917" max="6917" width="6.77734375" style="56" customWidth="1"/>
    <col min="6918" max="6918" width="4.77734375" style="56" customWidth="1"/>
    <col min="6919" max="6920" width="5" style="56" customWidth="1"/>
    <col min="6921" max="6921" width="8.77734375" style="56"/>
    <col min="6922" max="6922" width="10.5546875" style="56" customWidth="1"/>
    <col min="6923" max="6923" width="3.77734375" style="56" customWidth="1"/>
    <col min="6924" max="6925" width="8.77734375" style="56"/>
    <col min="6926" max="6926" width="3.77734375" style="56" customWidth="1"/>
    <col min="6927" max="7166" width="8.77734375" style="56"/>
    <col min="7167" max="7167" width="24.77734375" style="56" customWidth="1"/>
    <col min="7168" max="7168" width="13.5546875" style="56" customWidth="1"/>
    <col min="7169" max="7169" width="8.77734375" style="56"/>
    <col min="7170" max="7170" width="6.77734375" style="56" customWidth="1"/>
    <col min="7171" max="7171" width="6.44140625" style="56" customWidth="1"/>
    <col min="7172" max="7172" width="8.21875" style="56" customWidth="1"/>
    <col min="7173" max="7173" width="6.77734375" style="56" customWidth="1"/>
    <col min="7174" max="7174" width="4.77734375" style="56" customWidth="1"/>
    <col min="7175" max="7176" width="5" style="56" customWidth="1"/>
    <col min="7177" max="7177" width="8.77734375" style="56"/>
    <col min="7178" max="7178" width="10.5546875" style="56" customWidth="1"/>
    <col min="7179" max="7179" width="3.77734375" style="56" customWidth="1"/>
    <col min="7180" max="7181" width="8.77734375" style="56"/>
    <col min="7182" max="7182" width="3.77734375" style="56" customWidth="1"/>
    <col min="7183" max="7422" width="8.77734375" style="56"/>
    <col min="7423" max="7423" width="24.77734375" style="56" customWidth="1"/>
    <col min="7424" max="7424" width="13.5546875" style="56" customWidth="1"/>
    <col min="7425" max="7425" width="8.77734375" style="56"/>
    <col min="7426" max="7426" width="6.77734375" style="56" customWidth="1"/>
    <col min="7427" max="7427" width="6.44140625" style="56" customWidth="1"/>
    <col min="7428" max="7428" width="8.21875" style="56" customWidth="1"/>
    <col min="7429" max="7429" width="6.77734375" style="56" customWidth="1"/>
    <col min="7430" max="7430" width="4.77734375" style="56" customWidth="1"/>
    <col min="7431" max="7432" width="5" style="56" customWidth="1"/>
    <col min="7433" max="7433" width="8.77734375" style="56"/>
    <col min="7434" max="7434" width="10.5546875" style="56" customWidth="1"/>
    <col min="7435" max="7435" width="3.77734375" style="56" customWidth="1"/>
    <col min="7436" max="7437" width="8.77734375" style="56"/>
    <col min="7438" max="7438" width="3.77734375" style="56" customWidth="1"/>
    <col min="7439" max="7678" width="8.77734375" style="56"/>
    <col min="7679" max="7679" width="24.77734375" style="56" customWidth="1"/>
    <col min="7680" max="7680" width="13.5546875" style="56" customWidth="1"/>
    <col min="7681" max="7681" width="8.77734375" style="56"/>
    <col min="7682" max="7682" width="6.77734375" style="56" customWidth="1"/>
    <col min="7683" max="7683" width="6.44140625" style="56" customWidth="1"/>
    <col min="7684" max="7684" width="8.21875" style="56" customWidth="1"/>
    <col min="7685" max="7685" width="6.77734375" style="56" customWidth="1"/>
    <col min="7686" max="7686" width="4.77734375" style="56" customWidth="1"/>
    <col min="7687" max="7688" width="5" style="56" customWidth="1"/>
    <col min="7689" max="7689" width="8.77734375" style="56"/>
    <col min="7690" max="7690" width="10.5546875" style="56" customWidth="1"/>
    <col min="7691" max="7691" width="3.77734375" style="56" customWidth="1"/>
    <col min="7692" max="7693" width="8.77734375" style="56"/>
    <col min="7694" max="7694" width="3.77734375" style="56" customWidth="1"/>
    <col min="7695" max="7934" width="8.77734375" style="56"/>
    <col min="7935" max="7935" width="24.77734375" style="56" customWidth="1"/>
    <col min="7936" max="7936" width="13.5546875" style="56" customWidth="1"/>
    <col min="7937" max="7937" width="8.77734375" style="56"/>
    <col min="7938" max="7938" width="6.77734375" style="56" customWidth="1"/>
    <col min="7939" max="7939" width="6.44140625" style="56" customWidth="1"/>
    <col min="7940" max="7940" width="8.21875" style="56" customWidth="1"/>
    <col min="7941" max="7941" width="6.77734375" style="56" customWidth="1"/>
    <col min="7942" max="7942" width="4.77734375" style="56" customWidth="1"/>
    <col min="7943" max="7944" width="5" style="56" customWidth="1"/>
    <col min="7945" max="7945" width="8.77734375" style="56"/>
    <col min="7946" max="7946" width="10.5546875" style="56" customWidth="1"/>
    <col min="7947" max="7947" width="3.77734375" style="56" customWidth="1"/>
    <col min="7948" max="7949" width="8.77734375" style="56"/>
    <col min="7950" max="7950" width="3.77734375" style="56" customWidth="1"/>
    <col min="7951" max="8190" width="8.77734375" style="56"/>
    <col min="8191" max="8191" width="24.77734375" style="56" customWidth="1"/>
    <col min="8192" max="8192" width="13.5546875" style="56" customWidth="1"/>
    <col min="8193" max="8193" width="8.77734375" style="56"/>
    <col min="8194" max="8194" width="6.77734375" style="56" customWidth="1"/>
    <col min="8195" max="8195" width="6.44140625" style="56" customWidth="1"/>
    <col min="8196" max="8196" width="8.21875" style="56" customWidth="1"/>
    <col min="8197" max="8197" width="6.77734375" style="56" customWidth="1"/>
    <col min="8198" max="8198" width="4.77734375" style="56" customWidth="1"/>
    <col min="8199" max="8200" width="5" style="56" customWidth="1"/>
    <col min="8201" max="8201" width="8.77734375" style="56"/>
    <col min="8202" max="8202" width="10.5546875" style="56" customWidth="1"/>
    <col min="8203" max="8203" width="3.77734375" style="56" customWidth="1"/>
    <col min="8204" max="8205" width="8.77734375" style="56"/>
    <col min="8206" max="8206" width="3.77734375" style="56" customWidth="1"/>
    <col min="8207" max="8446" width="8.77734375" style="56"/>
    <col min="8447" max="8447" width="24.77734375" style="56" customWidth="1"/>
    <col min="8448" max="8448" width="13.5546875" style="56" customWidth="1"/>
    <col min="8449" max="8449" width="8.77734375" style="56"/>
    <col min="8450" max="8450" width="6.77734375" style="56" customWidth="1"/>
    <col min="8451" max="8451" width="6.44140625" style="56" customWidth="1"/>
    <col min="8452" max="8452" width="8.21875" style="56" customWidth="1"/>
    <col min="8453" max="8453" width="6.77734375" style="56" customWidth="1"/>
    <col min="8454" max="8454" width="4.77734375" style="56" customWidth="1"/>
    <col min="8455" max="8456" width="5" style="56" customWidth="1"/>
    <col min="8457" max="8457" width="8.77734375" style="56"/>
    <col min="8458" max="8458" width="10.5546875" style="56" customWidth="1"/>
    <col min="8459" max="8459" width="3.77734375" style="56" customWidth="1"/>
    <col min="8460" max="8461" width="8.77734375" style="56"/>
    <col min="8462" max="8462" width="3.77734375" style="56" customWidth="1"/>
    <col min="8463" max="8702" width="8.77734375" style="56"/>
    <col min="8703" max="8703" width="24.77734375" style="56" customWidth="1"/>
    <col min="8704" max="8704" width="13.5546875" style="56" customWidth="1"/>
    <col min="8705" max="8705" width="8.77734375" style="56"/>
    <col min="8706" max="8706" width="6.77734375" style="56" customWidth="1"/>
    <col min="8707" max="8707" width="6.44140625" style="56" customWidth="1"/>
    <col min="8708" max="8708" width="8.21875" style="56" customWidth="1"/>
    <col min="8709" max="8709" width="6.77734375" style="56" customWidth="1"/>
    <col min="8710" max="8710" width="4.77734375" style="56" customWidth="1"/>
    <col min="8711" max="8712" width="5" style="56" customWidth="1"/>
    <col min="8713" max="8713" width="8.77734375" style="56"/>
    <col min="8714" max="8714" width="10.5546875" style="56" customWidth="1"/>
    <col min="8715" max="8715" width="3.77734375" style="56" customWidth="1"/>
    <col min="8716" max="8717" width="8.77734375" style="56"/>
    <col min="8718" max="8718" width="3.77734375" style="56" customWidth="1"/>
    <col min="8719" max="8958" width="8.77734375" style="56"/>
    <col min="8959" max="8959" width="24.77734375" style="56" customWidth="1"/>
    <col min="8960" max="8960" width="13.5546875" style="56" customWidth="1"/>
    <col min="8961" max="8961" width="8.77734375" style="56"/>
    <col min="8962" max="8962" width="6.77734375" style="56" customWidth="1"/>
    <col min="8963" max="8963" width="6.44140625" style="56" customWidth="1"/>
    <col min="8964" max="8964" width="8.21875" style="56" customWidth="1"/>
    <col min="8965" max="8965" width="6.77734375" style="56" customWidth="1"/>
    <col min="8966" max="8966" width="4.77734375" style="56" customWidth="1"/>
    <col min="8967" max="8968" width="5" style="56" customWidth="1"/>
    <col min="8969" max="8969" width="8.77734375" style="56"/>
    <col min="8970" max="8970" width="10.5546875" style="56" customWidth="1"/>
    <col min="8971" max="8971" width="3.77734375" style="56" customWidth="1"/>
    <col min="8972" max="8973" width="8.77734375" style="56"/>
    <col min="8974" max="8974" width="3.77734375" style="56" customWidth="1"/>
    <col min="8975" max="9214" width="8.77734375" style="56"/>
    <col min="9215" max="9215" width="24.77734375" style="56" customWidth="1"/>
    <col min="9216" max="9216" width="13.5546875" style="56" customWidth="1"/>
    <col min="9217" max="9217" width="8.77734375" style="56"/>
    <col min="9218" max="9218" width="6.77734375" style="56" customWidth="1"/>
    <col min="9219" max="9219" width="6.44140625" style="56" customWidth="1"/>
    <col min="9220" max="9220" width="8.21875" style="56" customWidth="1"/>
    <col min="9221" max="9221" width="6.77734375" style="56" customWidth="1"/>
    <col min="9222" max="9222" width="4.77734375" style="56" customWidth="1"/>
    <col min="9223" max="9224" width="5" style="56" customWidth="1"/>
    <col min="9225" max="9225" width="8.77734375" style="56"/>
    <col min="9226" max="9226" width="10.5546875" style="56" customWidth="1"/>
    <col min="9227" max="9227" width="3.77734375" style="56" customWidth="1"/>
    <col min="9228" max="9229" width="8.77734375" style="56"/>
    <col min="9230" max="9230" width="3.77734375" style="56" customWidth="1"/>
    <col min="9231" max="9470" width="8.77734375" style="56"/>
    <col min="9471" max="9471" width="24.77734375" style="56" customWidth="1"/>
    <col min="9472" max="9472" width="13.5546875" style="56" customWidth="1"/>
    <col min="9473" max="9473" width="8.77734375" style="56"/>
    <col min="9474" max="9474" width="6.77734375" style="56" customWidth="1"/>
    <col min="9475" max="9475" width="6.44140625" style="56" customWidth="1"/>
    <col min="9476" max="9476" width="8.21875" style="56" customWidth="1"/>
    <col min="9477" max="9477" width="6.77734375" style="56" customWidth="1"/>
    <col min="9478" max="9478" width="4.77734375" style="56" customWidth="1"/>
    <col min="9479" max="9480" width="5" style="56" customWidth="1"/>
    <col min="9481" max="9481" width="8.77734375" style="56"/>
    <col min="9482" max="9482" width="10.5546875" style="56" customWidth="1"/>
    <col min="9483" max="9483" width="3.77734375" style="56" customWidth="1"/>
    <col min="9484" max="9485" width="8.77734375" style="56"/>
    <col min="9486" max="9486" width="3.77734375" style="56" customWidth="1"/>
    <col min="9487" max="9726" width="8.77734375" style="56"/>
    <col min="9727" max="9727" width="24.77734375" style="56" customWidth="1"/>
    <col min="9728" max="9728" width="13.5546875" style="56" customWidth="1"/>
    <col min="9729" max="9729" width="8.77734375" style="56"/>
    <col min="9730" max="9730" width="6.77734375" style="56" customWidth="1"/>
    <col min="9731" max="9731" width="6.44140625" style="56" customWidth="1"/>
    <col min="9732" max="9732" width="8.21875" style="56" customWidth="1"/>
    <col min="9733" max="9733" width="6.77734375" style="56" customWidth="1"/>
    <col min="9734" max="9734" width="4.77734375" style="56" customWidth="1"/>
    <col min="9735" max="9736" width="5" style="56" customWidth="1"/>
    <col min="9737" max="9737" width="8.77734375" style="56"/>
    <col min="9738" max="9738" width="10.5546875" style="56" customWidth="1"/>
    <col min="9739" max="9739" width="3.77734375" style="56" customWidth="1"/>
    <col min="9740" max="9741" width="8.77734375" style="56"/>
    <col min="9742" max="9742" width="3.77734375" style="56" customWidth="1"/>
    <col min="9743" max="9982" width="8.77734375" style="56"/>
    <col min="9983" max="9983" width="24.77734375" style="56" customWidth="1"/>
    <col min="9984" max="9984" width="13.5546875" style="56" customWidth="1"/>
    <col min="9985" max="9985" width="8.77734375" style="56"/>
    <col min="9986" max="9986" width="6.77734375" style="56" customWidth="1"/>
    <col min="9987" max="9987" width="6.44140625" style="56" customWidth="1"/>
    <col min="9988" max="9988" width="8.21875" style="56" customWidth="1"/>
    <col min="9989" max="9989" width="6.77734375" style="56" customWidth="1"/>
    <col min="9990" max="9990" width="4.77734375" style="56" customWidth="1"/>
    <col min="9991" max="9992" width="5" style="56" customWidth="1"/>
    <col min="9993" max="9993" width="8.77734375" style="56"/>
    <col min="9994" max="9994" width="10.5546875" style="56" customWidth="1"/>
    <col min="9995" max="9995" width="3.77734375" style="56" customWidth="1"/>
    <col min="9996" max="9997" width="8.77734375" style="56"/>
    <col min="9998" max="9998" width="3.77734375" style="56" customWidth="1"/>
    <col min="9999" max="10238" width="8.77734375" style="56"/>
    <col min="10239" max="10239" width="24.77734375" style="56" customWidth="1"/>
    <col min="10240" max="10240" width="13.5546875" style="56" customWidth="1"/>
    <col min="10241" max="10241" width="8.77734375" style="56"/>
    <col min="10242" max="10242" width="6.77734375" style="56" customWidth="1"/>
    <col min="10243" max="10243" width="6.44140625" style="56" customWidth="1"/>
    <col min="10244" max="10244" width="8.21875" style="56" customWidth="1"/>
    <col min="10245" max="10245" width="6.77734375" style="56" customWidth="1"/>
    <col min="10246" max="10246" width="4.77734375" style="56" customWidth="1"/>
    <col min="10247" max="10248" width="5" style="56" customWidth="1"/>
    <col min="10249" max="10249" width="8.77734375" style="56"/>
    <col min="10250" max="10250" width="10.5546875" style="56" customWidth="1"/>
    <col min="10251" max="10251" width="3.77734375" style="56" customWidth="1"/>
    <col min="10252" max="10253" width="8.77734375" style="56"/>
    <col min="10254" max="10254" width="3.77734375" style="56" customWidth="1"/>
    <col min="10255" max="10494" width="8.77734375" style="56"/>
    <col min="10495" max="10495" width="24.77734375" style="56" customWidth="1"/>
    <col min="10496" max="10496" width="13.5546875" style="56" customWidth="1"/>
    <col min="10497" max="10497" width="8.77734375" style="56"/>
    <col min="10498" max="10498" width="6.77734375" style="56" customWidth="1"/>
    <col min="10499" max="10499" width="6.44140625" style="56" customWidth="1"/>
    <col min="10500" max="10500" width="8.21875" style="56" customWidth="1"/>
    <col min="10501" max="10501" width="6.77734375" style="56" customWidth="1"/>
    <col min="10502" max="10502" width="4.77734375" style="56" customWidth="1"/>
    <col min="10503" max="10504" width="5" style="56" customWidth="1"/>
    <col min="10505" max="10505" width="8.77734375" style="56"/>
    <col min="10506" max="10506" width="10.5546875" style="56" customWidth="1"/>
    <col min="10507" max="10507" width="3.77734375" style="56" customWidth="1"/>
    <col min="10508" max="10509" width="8.77734375" style="56"/>
    <col min="10510" max="10510" width="3.77734375" style="56" customWidth="1"/>
    <col min="10511" max="10750" width="8.77734375" style="56"/>
    <col min="10751" max="10751" width="24.77734375" style="56" customWidth="1"/>
    <col min="10752" max="10752" width="13.5546875" style="56" customWidth="1"/>
    <col min="10753" max="10753" width="8.77734375" style="56"/>
    <col min="10754" max="10754" width="6.77734375" style="56" customWidth="1"/>
    <col min="10755" max="10755" width="6.44140625" style="56" customWidth="1"/>
    <col min="10756" max="10756" width="8.21875" style="56" customWidth="1"/>
    <col min="10757" max="10757" width="6.77734375" style="56" customWidth="1"/>
    <col min="10758" max="10758" width="4.77734375" style="56" customWidth="1"/>
    <col min="10759" max="10760" width="5" style="56" customWidth="1"/>
    <col min="10761" max="10761" width="8.77734375" style="56"/>
    <col min="10762" max="10762" width="10.5546875" style="56" customWidth="1"/>
    <col min="10763" max="10763" width="3.77734375" style="56" customWidth="1"/>
    <col min="10764" max="10765" width="8.77734375" style="56"/>
    <col min="10766" max="10766" width="3.77734375" style="56" customWidth="1"/>
    <col min="10767" max="11006" width="8.77734375" style="56"/>
    <col min="11007" max="11007" width="24.77734375" style="56" customWidth="1"/>
    <col min="11008" max="11008" width="13.5546875" style="56" customWidth="1"/>
    <col min="11009" max="11009" width="8.77734375" style="56"/>
    <col min="11010" max="11010" width="6.77734375" style="56" customWidth="1"/>
    <col min="11011" max="11011" width="6.44140625" style="56" customWidth="1"/>
    <col min="11012" max="11012" width="8.21875" style="56" customWidth="1"/>
    <col min="11013" max="11013" width="6.77734375" style="56" customWidth="1"/>
    <col min="11014" max="11014" width="4.77734375" style="56" customWidth="1"/>
    <col min="11015" max="11016" width="5" style="56" customWidth="1"/>
    <col min="11017" max="11017" width="8.77734375" style="56"/>
    <col min="11018" max="11018" width="10.5546875" style="56" customWidth="1"/>
    <col min="11019" max="11019" width="3.77734375" style="56" customWidth="1"/>
    <col min="11020" max="11021" width="8.77734375" style="56"/>
    <col min="11022" max="11022" width="3.77734375" style="56" customWidth="1"/>
    <col min="11023" max="11262" width="8.77734375" style="56"/>
    <col min="11263" max="11263" width="24.77734375" style="56" customWidth="1"/>
    <col min="11264" max="11264" width="13.5546875" style="56" customWidth="1"/>
    <col min="11265" max="11265" width="8.77734375" style="56"/>
    <col min="11266" max="11266" width="6.77734375" style="56" customWidth="1"/>
    <col min="11267" max="11267" width="6.44140625" style="56" customWidth="1"/>
    <col min="11268" max="11268" width="8.21875" style="56" customWidth="1"/>
    <col min="11269" max="11269" width="6.77734375" style="56" customWidth="1"/>
    <col min="11270" max="11270" width="4.77734375" style="56" customWidth="1"/>
    <col min="11271" max="11272" width="5" style="56" customWidth="1"/>
    <col min="11273" max="11273" width="8.77734375" style="56"/>
    <col min="11274" max="11274" width="10.5546875" style="56" customWidth="1"/>
    <col min="11275" max="11275" width="3.77734375" style="56" customWidth="1"/>
    <col min="11276" max="11277" width="8.77734375" style="56"/>
    <col min="11278" max="11278" width="3.77734375" style="56" customWidth="1"/>
    <col min="11279" max="11518" width="8.77734375" style="56"/>
    <col min="11519" max="11519" width="24.77734375" style="56" customWidth="1"/>
    <col min="11520" max="11520" width="13.5546875" style="56" customWidth="1"/>
    <col min="11521" max="11521" width="8.77734375" style="56"/>
    <col min="11522" max="11522" width="6.77734375" style="56" customWidth="1"/>
    <col min="11523" max="11523" width="6.44140625" style="56" customWidth="1"/>
    <col min="11524" max="11524" width="8.21875" style="56" customWidth="1"/>
    <col min="11525" max="11525" width="6.77734375" style="56" customWidth="1"/>
    <col min="11526" max="11526" width="4.77734375" style="56" customWidth="1"/>
    <col min="11527" max="11528" width="5" style="56" customWidth="1"/>
    <col min="11529" max="11529" width="8.77734375" style="56"/>
    <col min="11530" max="11530" width="10.5546875" style="56" customWidth="1"/>
    <col min="11531" max="11531" width="3.77734375" style="56" customWidth="1"/>
    <col min="11532" max="11533" width="8.77734375" style="56"/>
    <col min="11534" max="11534" width="3.77734375" style="56" customWidth="1"/>
    <col min="11535" max="11774" width="8.77734375" style="56"/>
    <col min="11775" max="11775" width="24.77734375" style="56" customWidth="1"/>
    <col min="11776" max="11776" width="13.5546875" style="56" customWidth="1"/>
    <col min="11777" max="11777" width="8.77734375" style="56"/>
    <col min="11778" max="11778" width="6.77734375" style="56" customWidth="1"/>
    <col min="11779" max="11779" width="6.44140625" style="56" customWidth="1"/>
    <col min="11780" max="11780" width="8.21875" style="56" customWidth="1"/>
    <col min="11781" max="11781" width="6.77734375" style="56" customWidth="1"/>
    <col min="11782" max="11782" width="4.77734375" style="56" customWidth="1"/>
    <col min="11783" max="11784" width="5" style="56" customWidth="1"/>
    <col min="11785" max="11785" width="8.77734375" style="56"/>
    <col min="11786" max="11786" width="10.5546875" style="56" customWidth="1"/>
    <col min="11787" max="11787" width="3.77734375" style="56" customWidth="1"/>
    <col min="11788" max="11789" width="8.77734375" style="56"/>
    <col min="11790" max="11790" width="3.77734375" style="56" customWidth="1"/>
    <col min="11791" max="12030" width="8.77734375" style="56"/>
    <col min="12031" max="12031" width="24.77734375" style="56" customWidth="1"/>
    <col min="12032" max="12032" width="13.5546875" style="56" customWidth="1"/>
    <col min="12033" max="12033" width="8.77734375" style="56"/>
    <col min="12034" max="12034" width="6.77734375" style="56" customWidth="1"/>
    <col min="12035" max="12035" width="6.44140625" style="56" customWidth="1"/>
    <col min="12036" max="12036" width="8.21875" style="56" customWidth="1"/>
    <col min="12037" max="12037" width="6.77734375" style="56" customWidth="1"/>
    <col min="12038" max="12038" width="4.77734375" style="56" customWidth="1"/>
    <col min="12039" max="12040" width="5" style="56" customWidth="1"/>
    <col min="12041" max="12041" width="8.77734375" style="56"/>
    <col min="12042" max="12042" width="10.5546875" style="56" customWidth="1"/>
    <col min="12043" max="12043" width="3.77734375" style="56" customWidth="1"/>
    <col min="12044" max="12045" width="8.77734375" style="56"/>
    <col min="12046" max="12046" width="3.77734375" style="56" customWidth="1"/>
    <col min="12047" max="12286" width="8.77734375" style="56"/>
    <col min="12287" max="12287" width="24.77734375" style="56" customWidth="1"/>
    <col min="12288" max="12288" width="13.5546875" style="56" customWidth="1"/>
    <col min="12289" max="12289" width="8.77734375" style="56"/>
    <col min="12290" max="12290" width="6.77734375" style="56" customWidth="1"/>
    <col min="12291" max="12291" width="6.44140625" style="56" customWidth="1"/>
    <col min="12292" max="12292" width="8.21875" style="56" customWidth="1"/>
    <col min="12293" max="12293" width="6.77734375" style="56" customWidth="1"/>
    <col min="12294" max="12294" width="4.77734375" style="56" customWidth="1"/>
    <col min="12295" max="12296" width="5" style="56" customWidth="1"/>
    <col min="12297" max="12297" width="8.77734375" style="56"/>
    <col min="12298" max="12298" width="10.5546875" style="56" customWidth="1"/>
    <col min="12299" max="12299" width="3.77734375" style="56" customWidth="1"/>
    <col min="12300" max="12301" width="8.77734375" style="56"/>
    <col min="12302" max="12302" width="3.77734375" style="56" customWidth="1"/>
    <col min="12303" max="12542" width="8.77734375" style="56"/>
    <col min="12543" max="12543" width="24.77734375" style="56" customWidth="1"/>
    <col min="12544" max="12544" width="13.5546875" style="56" customWidth="1"/>
    <col min="12545" max="12545" width="8.77734375" style="56"/>
    <col min="12546" max="12546" width="6.77734375" style="56" customWidth="1"/>
    <col min="12547" max="12547" width="6.44140625" style="56" customWidth="1"/>
    <col min="12548" max="12548" width="8.21875" style="56" customWidth="1"/>
    <col min="12549" max="12549" width="6.77734375" style="56" customWidth="1"/>
    <col min="12550" max="12550" width="4.77734375" style="56" customWidth="1"/>
    <col min="12551" max="12552" width="5" style="56" customWidth="1"/>
    <col min="12553" max="12553" width="8.77734375" style="56"/>
    <col min="12554" max="12554" width="10.5546875" style="56" customWidth="1"/>
    <col min="12555" max="12555" width="3.77734375" style="56" customWidth="1"/>
    <col min="12556" max="12557" width="8.77734375" style="56"/>
    <col min="12558" max="12558" width="3.77734375" style="56" customWidth="1"/>
    <col min="12559" max="12798" width="8.77734375" style="56"/>
    <col min="12799" max="12799" width="24.77734375" style="56" customWidth="1"/>
    <col min="12800" max="12800" width="13.5546875" style="56" customWidth="1"/>
    <col min="12801" max="12801" width="8.77734375" style="56"/>
    <col min="12802" max="12802" width="6.77734375" style="56" customWidth="1"/>
    <col min="12803" max="12803" width="6.44140625" style="56" customWidth="1"/>
    <col min="12804" max="12804" width="8.21875" style="56" customWidth="1"/>
    <col min="12805" max="12805" width="6.77734375" style="56" customWidth="1"/>
    <col min="12806" max="12806" width="4.77734375" style="56" customWidth="1"/>
    <col min="12807" max="12808" width="5" style="56" customWidth="1"/>
    <col min="12809" max="12809" width="8.77734375" style="56"/>
    <col min="12810" max="12810" width="10.5546875" style="56" customWidth="1"/>
    <col min="12811" max="12811" width="3.77734375" style="56" customWidth="1"/>
    <col min="12812" max="12813" width="8.77734375" style="56"/>
    <col min="12814" max="12814" width="3.77734375" style="56" customWidth="1"/>
    <col min="12815" max="13054" width="8.77734375" style="56"/>
    <col min="13055" max="13055" width="24.77734375" style="56" customWidth="1"/>
    <col min="13056" max="13056" width="13.5546875" style="56" customWidth="1"/>
    <col min="13057" max="13057" width="8.77734375" style="56"/>
    <col min="13058" max="13058" width="6.77734375" style="56" customWidth="1"/>
    <col min="13059" max="13059" width="6.44140625" style="56" customWidth="1"/>
    <col min="13060" max="13060" width="8.21875" style="56" customWidth="1"/>
    <col min="13061" max="13061" width="6.77734375" style="56" customWidth="1"/>
    <col min="13062" max="13062" width="4.77734375" style="56" customWidth="1"/>
    <col min="13063" max="13064" width="5" style="56" customWidth="1"/>
    <col min="13065" max="13065" width="8.77734375" style="56"/>
    <col min="13066" max="13066" width="10.5546875" style="56" customWidth="1"/>
    <col min="13067" max="13067" width="3.77734375" style="56" customWidth="1"/>
    <col min="13068" max="13069" width="8.77734375" style="56"/>
    <col min="13070" max="13070" width="3.77734375" style="56" customWidth="1"/>
    <col min="13071" max="13310" width="8.77734375" style="56"/>
    <col min="13311" max="13311" width="24.77734375" style="56" customWidth="1"/>
    <col min="13312" max="13312" width="13.5546875" style="56" customWidth="1"/>
    <col min="13313" max="13313" width="8.77734375" style="56"/>
    <col min="13314" max="13314" width="6.77734375" style="56" customWidth="1"/>
    <col min="13315" max="13315" width="6.44140625" style="56" customWidth="1"/>
    <col min="13316" max="13316" width="8.21875" style="56" customWidth="1"/>
    <col min="13317" max="13317" width="6.77734375" style="56" customWidth="1"/>
    <col min="13318" max="13318" width="4.77734375" style="56" customWidth="1"/>
    <col min="13319" max="13320" width="5" style="56" customWidth="1"/>
    <col min="13321" max="13321" width="8.77734375" style="56"/>
    <col min="13322" max="13322" width="10.5546875" style="56" customWidth="1"/>
    <col min="13323" max="13323" width="3.77734375" style="56" customWidth="1"/>
    <col min="13324" max="13325" width="8.77734375" style="56"/>
    <col min="13326" max="13326" width="3.77734375" style="56" customWidth="1"/>
    <col min="13327" max="13566" width="8.77734375" style="56"/>
    <col min="13567" max="13567" width="24.77734375" style="56" customWidth="1"/>
    <col min="13568" max="13568" width="13.5546875" style="56" customWidth="1"/>
    <col min="13569" max="13569" width="8.77734375" style="56"/>
    <col min="13570" max="13570" width="6.77734375" style="56" customWidth="1"/>
    <col min="13571" max="13571" width="6.44140625" style="56" customWidth="1"/>
    <col min="13572" max="13572" width="8.21875" style="56" customWidth="1"/>
    <col min="13573" max="13573" width="6.77734375" style="56" customWidth="1"/>
    <col min="13574" max="13574" width="4.77734375" style="56" customWidth="1"/>
    <col min="13575" max="13576" width="5" style="56" customWidth="1"/>
    <col min="13577" max="13577" width="8.77734375" style="56"/>
    <col min="13578" max="13578" width="10.5546875" style="56" customWidth="1"/>
    <col min="13579" max="13579" width="3.77734375" style="56" customWidth="1"/>
    <col min="13580" max="13581" width="8.77734375" style="56"/>
    <col min="13582" max="13582" width="3.77734375" style="56" customWidth="1"/>
    <col min="13583" max="13822" width="8.77734375" style="56"/>
    <col min="13823" max="13823" width="24.77734375" style="56" customWidth="1"/>
    <col min="13824" max="13824" width="13.5546875" style="56" customWidth="1"/>
    <col min="13825" max="13825" width="8.77734375" style="56"/>
    <col min="13826" max="13826" width="6.77734375" style="56" customWidth="1"/>
    <col min="13827" max="13827" width="6.44140625" style="56" customWidth="1"/>
    <col min="13828" max="13828" width="8.21875" style="56" customWidth="1"/>
    <col min="13829" max="13829" width="6.77734375" style="56" customWidth="1"/>
    <col min="13830" max="13830" width="4.77734375" style="56" customWidth="1"/>
    <col min="13831" max="13832" width="5" style="56" customWidth="1"/>
    <col min="13833" max="13833" width="8.77734375" style="56"/>
    <col min="13834" max="13834" width="10.5546875" style="56" customWidth="1"/>
    <col min="13835" max="13835" width="3.77734375" style="56" customWidth="1"/>
    <col min="13836" max="13837" width="8.77734375" style="56"/>
    <col min="13838" max="13838" width="3.77734375" style="56" customWidth="1"/>
    <col min="13839" max="14078" width="8.77734375" style="56"/>
    <col min="14079" max="14079" width="24.77734375" style="56" customWidth="1"/>
    <col min="14080" max="14080" width="13.5546875" style="56" customWidth="1"/>
    <col min="14081" max="14081" width="8.77734375" style="56"/>
    <col min="14082" max="14082" width="6.77734375" style="56" customWidth="1"/>
    <col min="14083" max="14083" width="6.44140625" style="56" customWidth="1"/>
    <col min="14084" max="14084" width="8.21875" style="56" customWidth="1"/>
    <col min="14085" max="14085" width="6.77734375" style="56" customWidth="1"/>
    <col min="14086" max="14086" width="4.77734375" style="56" customWidth="1"/>
    <col min="14087" max="14088" width="5" style="56" customWidth="1"/>
    <col min="14089" max="14089" width="8.77734375" style="56"/>
    <col min="14090" max="14090" width="10.5546875" style="56" customWidth="1"/>
    <col min="14091" max="14091" width="3.77734375" style="56" customWidth="1"/>
    <col min="14092" max="14093" width="8.77734375" style="56"/>
    <col min="14094" max="14094" width="3.77734375" style="56" customWidth="1"/>
    <col min="14095" max="14334" width="8.77734375" style="56"/>
    <col min="14335" max="14335" width="24.77734375" style="56" customWidth="1"/>
    <col min="14336" max="14336" width="13.5546875" style="56" customWidth="1"/>
    <col min="14337" max="14337" width="8.77734375" style="56"/>
    <col min="14338" max="14338" width="6.77734375" style="56" customWidth="1"/>
    <col min="14339" max="14339" width="6.44140625" style="56" customWidth="1"/>
    <col min="14340" max="14340" width="8.21875" style="56" customWidth="1"/>
    <col min="14341" max="14341" width="6.77734375" style="56" customWidth="1"/>
    <col min="14342" max="14342" width="4.77734375" style="56" customWidth="1"/>
    <col min="14343" max="14344" width="5" style="56" customWidth="1"/>
    <col min="14345" max="14345" width="8.77734375" style="56"/>
    <col min="14346" max="14346" width="10.5546875" style="56" customWidth="1"/>
    <col min="14347" max="14347" width="3.77734375" style="56" customWidth="1"/>
    <col min="14348" max="14349" width="8.77734375" style="56"/>
    <col min="14350" max="14350" width="3.77734375" style="56" customWidth="1"/>
    <col min="14351" max="14590" width="8.77734375" style="56"/>
    <col min="14591" max="14591" width="24.77734375" style="56" customWidth="1"/>
    <col min="14592" max="14592" width="13.5546875" style="56" customWidth="1"/>
    <col min="14593" max="14593" width="8.77734375" style="56"/>
    <col min="14594" max="14594" width="6.77734375" style="56" customWidth="1"/>
    <col min="14595" max="14595" width="6.44140625" style="56" customWidth="1"/>
    <col min="14596" max="14596" width="8.21875" style="56" customWidth="1"/>
    <col min="14597" max="14597" width="6.77734375" style="56" customWidth="1"/>
    <col min="14598" max="14598" width="4.77734375" style="56" customWidth="1"/>
    <col min="14599" max="14600" width="5" style="56" customWidth="1"/>
    <col min="14601" max="14601" width="8.77734375" style="56"/>
    <col min="14602" max="14602" width="10.5546875" style="56" customWidth="1"/>
    <col min="14603" max="14603" width="3.77734375" style="56" customWidth="1"/>
    <col min="14604" max="14605" width="8.77734375" style="56"/>
    <col min="14606" max="14606" width="3.77734375" style="56" customWidth="1"/>
    <col min="14607" max="14846" width="8.77734375" style="56"/>
    <col min="14847" max="14847" width="24.77734375" style="56" customWidth="1"/>
    <col min="14848" max="14848" width="13.5546875" style="56" customWidth="1"/>
    <col min="14849" max="14849" width="8.77734375" style="56"/>
    <col min="14850" max="14850" width="6.77734375" style="56" customWidth="1"/>
    <col min="14851" max="14851" width="6.44140625" style="56" customWidth="1"/>
    <col min="14852" max="14852" width="8.21875" style="56" customWidth="1"/>
    <col min="14853" max="14853" width="6.77734375" style="56" customWidth="1"/>
    <col min="14854" max="14854" width="4.77734375" style="56" customWidth="1"/>
    <col min="14855" max="14856" width="5" style="56" customWidth="1"/>
    <col min="14857" max="14857" width="8.77734375" style="56"/>
    <col min="14858" max="14858" width="10.5546875" style="56" customWidth="1"/>
    <col min="14859" max="14859" width="3.77734375" style="56" customWidth="1"/>
    <col min="14860" max="14861" width="8.77734375" style="56"/>
    <col min="14862" max="14862" width="3.77734375" style="56" customWidth="1"/>
    <col min="14863" max="15102" width="8.77734375" style="56"/>
    <col min="15103" max="15103" width="24.77734375" style="56" customWidth="1"/>
    <col min="15104" max="15104" width="13.5546875" style="56" customWidth="1"/>
    <col min="15105" max="15105" width="8.77734375" style="56"/>
    <col min="15106" max="15106" width="6.77734375" style="56" customWidth="1"/>
    <col min="15107" max="15107" width="6.44140625" style="56" customWidth="1"/>
    <col min="15108" max="15108" width="8.21875" style="56" customWidth="1"/>
    <col min="15109" max="15109" width="6.77734375" style="56" customWidth="1"/>
    <col min="15110" max="15110" width="4.77734375" style="56" customWidth="1"/>
    <col min="15111" max="15112" width="5" style="56" customWidth="1"/>
    <col min="15113" max="15113" width="8.77734375" style="56"/>
    <col min="15114" max="15114" width="10.5546875" style="56" customWidth="1"/>
    <col min="15115" max="15115" width="3.77734375" style="56" customWidth="1"/>
    <col min="15116" max="15117" width="8.77734375" style="56"/>
    <col min="15118" max="15118" width="3.77734375" style="56" customWidth="1"/>
    <col min="15119" max="15358" width="8.77734375" style="56"/>
    <col min="15359" max="15359" width="24.77734375" style="56" customWidth="1"/>
    <col min="15360" max="15360" width="13.5546875" style="56" customWidth="1"/>
    <col min="15361" max="15361" width="8.77734375" style="56"/>
    <col min="15362" max="15362" width="6.77734375" style="56" customWidth="1"/>
    <col min="15363" max="15363" width="6.44140625" style="56" customWidth="1"/>
    <col min="15364" max="15364" width="8.21875" style="56" customWidth="1"/>
    <col min="15365" max="15365" width="6.77734375" style="56" customWidth="1"/>
    <col min="15366" max="15366" width="4.77734375" style="56" customWidth="1"/>
    <col min="15367" max="15368" width="5" style="56" customWidth="1"/>
    <col min="15369" max="15369" width="8.77734375" style="56"/>
    <col min="15370" max="15370" width="10.5546875" style="56" customWidth="1"/>
    <col min="15371" max="15371" width="3.77734375" style="56" customWidth="1"/>
    <col min="15372" max="15373" width="8.77734375" style="56"/>
    <col min="15374" max="15374" width="3.77734375" style="56" customWidth="1"/>
    <col min="15375" max="15614" width="8.77734375" style="56"/>
    <col min="15615" max="15615" width="24.77734375" style="56" customWidth="1"/>
    <col min="15616" max="15616" width="13.5546875" style="56" customWidth="1"/>
    <col min="15617" max="15617" width="8.77734375" style="56"/>
    <col min="15618" max="15618" width="6.77734375" style="56" customWidth="1"/>
    <col min="15619" max="15619" width="6.44140625" style="56" customWidth="1"/>
    <col min="15620" max="15620" width="8.21875" style="56" customWidth="1"/>
    <col min="15621" max="15621" width="6.77734375" style="56" customWidth="1"/>
    <col min="15622" max="15622" width="4.77734375" style="56" customWidth="1"/>
    <col min="15623" max="15624" width="5" style="56" customWidth="1"/>
    <col min="15625" max="15625" width="8.77734375" style="56"/>
    <col min="15626" max="15626" width="10.5546875" style="56" customWidth="1"/>
    <col min="15627" max="15627" width="3.77734375" style="56" customWidth="1"/>
    <col min="15628" max="15629" width="8.77734375" style="56"/>
    <col min="15630" max="15630" width="3.77734375" style="56" customWidth="1"/>
    <col min="15631" max="15870" width="8.77734375" style="56"/>
    <col min="15871" max="15871" width="24.77734375" style="56" customWidth="1"/>
    <col min="15872" max="15872" width="13.5546875" style="56" customWidth="1"/>
    <col min="15873" max="15873" width="8.77734375" style="56"/>
    <col min="15874" max="15874" width="6.77734375" style="56" customWidth="1"/>
    <col min="15875" max="15875" width="6.44140625" style="56" customWidth="1"/>
    <col min="15876" max="15876" width="8.21875" style="56" customWidth="1"/>
    <col min="15877" max="15877" width="6.77734375" style="56" customWidth="1"/>
    <col min="15878" max="15878" width="4.77734375" style="56" customWidth="1"/>
    <col min="15879" max="15880" width="5" style="56" customWidth="1"/>
    <col min="15881" max="15881" width="8.77734375" style="56"/>
    <col min="15882" max="15882" width="10.5546875" style="56" customWidth="1"/>
    <col min="15883" max="15883" width="3.77734375" style="56" customWidth="1"/>
    <col min="15884" max="15885" width="8.77734375" style="56"/>
    <col min="15886" max="15886" width="3.77734375" style="56" customWidth="1"/>
    <col min="15887" max="16126" width="8.77734375" style="56"/>
    <col min="16127" max="16127" width="24.77734375" style="56" customWidth="1"/>
    <col min="16128" max="16128" width="13.5546875" style="56" customWidth="1"/>
    <col min="16129" max="16129" width="8.77734375" style="56"/>
    <col min="16130" max="16130" width="6.77734375" style="56" customWidth="1"/>
    <col min="16131" max="16131" width="6.44140625" style="56" customWidth="1"/>
    <col min="16132" max="16132" width="8.21875" style="56" customWidth="1"/>
    <col min="16133" max="16133" width="6.77734375" style="56" customWidth="1"/>
    <col min="16134" max="16134" width="4.77734375" style="56" customWidth="1"/>
    <col min="16135" max="16136" width="5" style="56" customWidth="1"/>
    <col min="16137" max="16137" width="8.77734375" style="56"/>
    <col min="16138" max="16138" width="10.5546875" style="56" customWidth="1"/>
    <col min="16139" max="16139" width="3.77734375" style="56" customWidth="1"/>
    <col min="16140" max="16141" width="8.77734375" style="56"/>
    <col min="16142" max="16142" width="3.77734375" style="56" customWidth="1"/>
    <col min="16143" max="16384" width="8.77734375" style="56"/>
  </cols>
  <sheetData>
    <row r="1" spans="1:41" s="1" customFormat="1" ht="86.4" x14ac:dyDescent="0.3">
      <c r="A1" s="1" t="s">
        <v>0</v>
      </c>
      <c r="B1" s="1" t="s">
        <v>62</v>
      </c>
      <c r="C1" s="2" t="s">
        <v>1</v>
      </c>
      <c r="D1" s="2" t="s">
        <v>63</v>
      </c>
      <c r="E1" s="1" t="s">
        <v>2</v>
      </c>
      <c r="F1" s="1" t="s">
        <v>64</v>
      </c>
      <c r="G1" s="1" t="s">
        <v>65</v>
      </c>
      <c r="H1" s="1" t="s">
        <v>66</v>
      </c>
      <c r="I1" s="1" t="s">
        <v>255</v>
      </c>
      <c r="K1" s="1" t="s">
        <v>69</v>
      </c>
      <c r="N1" s="1" t="s">
        <v>3</v>
      </c>
      <c r="O1" s="1" t="s">
        <v>72</v>
      </c>
      <c r="P1" s="3" t="s">
        <v>4</v>
      </c>
      <c r="Q1" s="3" t="s">
        <v>73</v>
      </c>
      <c r="R1" s="1" t="s">
        <v>256</v>
      </c>
      <c r="S1" s="1" t="s">
        <v>257</v>
      </c>
      <c r="T1" s="1" t="s">
        <v>258</v>
      </c>
      <c r="U1" s="1" t="s">
        <v>259</v>
      </c>
      <c r="V1" s="1" t="s">
        <v>556</v>
      </c>
      <c r="W1" s="1" t="s">
        <v>557</v>
      </c>
      <c r="X1" s="4" t="s">
        <v>80</v>
      </c>
      <c r="Y1" s="4" t="s">
        <v>81</v>
      </c>
      <c r="Z1" s="4" t="s">
        <v>82</v>
      </c>
      <c r="AA1" s="14" t="s">
        <v>83</v>
      </c>
      <c r="AB1" s="1" t="s">
        <v>558</v>
      </c>
      <c r="AC1" s="2" t="s">
        <v>559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</row>
    <row r="2" spans="1:41" s="1" customFormat="1" ht="129.6" x14ac:dyDescent="0.3">
      <c r="A2" s="1" t="s">
        <v>0</v>
      </c>
      <c r="B2" s="73" t="s">
        <v>62</v>
      </c>
      <c r="C2" s="2" t="s">
        <v>1</v>
      </c>
      <c r="D2" s="2" t="s">
        <v>63</v>
      </c>
      <c r="E2" s="7" t="s">
        <v>2</v>
      </c>
      <c r="F2" s="1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7" t="s">
        <v>71</v>
      </c>
      <c r="N2" s="1" t="s">
        <v>3</v>
      </c>
      <c r="O2" s="1" t="s">
        <v>241</v>
      </c>
      <c r="P2" s="3" t="s">
        <v>4</v>
      </c>
      <c r="Q2" s="3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242</v>
      </c>
      <c r="W2" s="1" t="s">
        <v>243</v>
      </c>
      <c r="X2" s="4" t="s">
        <v>80</v>
      </c>
      <c r="Y2" s="74" t="s">
        <v>81</v>
      </c>
      <c r="Z2" s="74" t="s">
        <v>82</v>
      </c>
      <c r="AA2" s="5" t="s">
        <v>83</v>
      </c>
      <c r="AB2" s="1" t="s">
        <v>84</v>
      </c>
      <c r="AC2" s="1" t="s">
        <v>85</v>
      </c>
      <c r="AD2" s="1" t="s">
        <v>244</v>
      </c>
      <c r="AE2" s="2" t="s">
        <v>245</v>
      </c>
      <c r="AF2" s="1" t="s">
        <v>101</v>
      </c>
      <c r="AG2" s="1" t="s">
        <v>102</v>
      </c>
      <c r="AH2" s="1" t="s">
        <v>103</v>
      </c>
      <c r="AI2" s="1" t="s">
        <v>104</v>
      </c>
      <c r="AJ2" s="1" t="s">
        <v>105</v>
      </c>
      <c r="AK2" s="1" t="s">
        <v>106</v>
      </c>
      <c r="AL2" s="1" t="s">
        <v>107</v>
      </c>
      <c r="AM2" s="1" t="s">
        <v>108</v>
      </c>
      <c r="AN2" s="1" t="s">
        <v>246</v>
      </c>
      <c r="AO2" s="1" t="s">
        <v>247</v>
      </c>
    </row>
    <row r="3" spans="1:41" s="101" customFormat="1" ht="14.4" x14ac:dyDescent="0.3">
      <c r="A3" s="102">
        <v>42094</v>
      </c>
      <c r="B3" s="102"/>
      <c r="C3" s="101">
        <v>21.5</v>
      </c>
      <c r="D3" s="13"/>
      <c r="E3" s="101" t="s">
        <v>110</v>
      </c>
      <c r="F3" s="101" t="s">
        <v>561</v>
      </c>
      <c r="G3" s="101">
        <v>1000</v>
      </c>
      <c r="H3" s="101">
        <v>3.78</v>
      </c>
      <c r="I3" s="101">
        <v>8980</v>
      </c>
      <c r="K3" s="101">
        <v>4.2699999999999996</v>
      </c>
      <c r="N3" s="101">
        <v>21.5</v>
      </c>
      <c r="O3" s="101">
        <v>0.92400000000000004</v>
      </c>
      <c r="P3" s="9">
        <f t="shared" ref="P3:P23" si="0">(O3*(G3/1000000))/(0.08205*(N3+273.15))</f>
        <v>3.8219670659360676E-5</v>
      </c>
      <c r="Q3" s="9">
        <f t="shared" ref="Q3:Q5" si="1">(O3*0.001)/(0.08205*(N3+273.15))</f>
        <v>3.8219670659360676E-5</v>
      </c>
      <c r="X3" s="82">
        <f t="shared" ref="X3:X23" si="2">IF(H3&gt;300,((0.0000000002*H3^2)+(0.0001*H3)+0.0207),((-0.00000001*H3^2)+(0.0001*H3)+0.00008))</f>
        <v>4.5785711599999996E-4</v>
      </c>
      <c r="Y3" s="75">
        <f t="shared" ref="Y3:Y23" si="3">(0.00008*K3^2)+(0.008*K3)+0.1202</f>
        <v>0.15581863200000001</v>
      </c>
      <c r="Z3" s="75">
        <f t="shared" ref="Z3:Z63" si="4">X3*1000000/G3</f>
        <v>0.45785711599999995</v>
      </c>
      <c r="AA3" s="10">
        <f t="shared" ref="AA3:AA63" si="5">Y3*1000000/G3</f>
        <v>155.81863200000001</v>
      </c>
      <c r="AB3" s="13">
        <f t="shared" ref="AB3:AB23" si="6">IF(H3&lt;601, ((-0.00003*H3^2)+(0.2671*H3)+0.4766), (IF(H3&lt;19001,((0.1503*H3)+59.75),((0.000005*H3^2)-(0.0565*H3)+2184))))</f>
        <v>1.4858093480000001</v>
      </c>
      <c r="AC3" s="13">
        <f t="shared" ref="AC3:AC23" si="7">(0.0518*K3^2)+(27.217*K3)+116.22</f>
        <v>233.38105421999998</v>
      </c>
      <c r="AD3" s="1"/>
      <c r="AE3" s="1"/>
      <c r="AF3" s="1"/>
      <c r="AG3" s="1"/>
      <c r="AN3" s="1">
        <v>1</v>
      </c>
      <c r="AO3" s="1">
        <v>1</v>
      </c>
    </row>
    <row r="4" spans="1:41" s="101" customFormat="1" ht="14.4" x14ac:dyDescent="0.3">
      <c r="A4" s="102">
        <v>42094</v>
      </c>
      <c r="B4" s="102"/>
      <c r="C4" s="101">
        <v>21.5</v>
      </c>
      <c r="D4" s="13"/>
      <c r="E4" s="101" t="s">
        <v>110</v>
      </c>
      <c r="F4" s="101" t="s">
        <v>561</v>
      </c>
      <c r="G4" s="101">
        <v>1000</v>
      </c>
      <c r="H4" s="101">
        <v>3.38</v>
      </c>
      <c r="I4" s="101">
        <v>10161</v>
      </c>
      <c r="K4" s="101">
        <v>3.91</v>
      </c>
      <c r="N4" s="101">
        <v>21.5</v>
      </c>
      <c r="O4" s="101">
        <v>0.92400000000000004</v>
      </c>
      <c r="P4" s="9">
        <f t="shared" si="0"/>
        <v>3.8219670659360676E-5</v>
      </c>
      <c r="Q4" s="9">
        <f t="shared" si="1"/>
        <v>3.8219670659360676E-5</v>
      </c>
      <c r="X4" s="82">
        <f t="shared" si="2"/>
        <v>4.1788575600000002E-4</v>
      </c>
      <c r="Y4" s="75">
        <f t="shared" si="3"/>
        <v>0.15270304800000001</v>
      </c>
      <c r="Z4" s="75">
        <f t="shared" si="4"/>
        <v>0.417885756</v>
      </c>
      <c r="AA4" s="10">
        <f t="shared" si="5"/>
        <v>152.70304800000002</v>
      </c>
      <c r="AB4" s="13">
        <f t="shared" si="6"/>
        <v>1.3790552680000001</v>
      </c>
      <c r="AC4" s="13">
        <f t="shared" si="7"/>
        <v>223.43039357999999</v>
      </c>
      <c r="AD4" s="1"/>
      <c r="AE4" s="1"/>
      <c r="AF4" s="1"/>
      <c r="AG4" s="1"/>
      <c r="AN4" s="1">
        <v>2</v>
      </c>
      <c r="AO4" s="1">
        <v>1</v>
      </c>
    </row>
    <row r="5" spans="1:41" s="101" customFormat="1" ht="14.4" x14ac:dyDescent="0.3">
      <c r="A5" s="102">
        <v>42094</v>
      </c>
      <c r="B5" s="102"/>
      <c r="C5" s="101">
        <v>21.5</v>
      </c>
      <c r="D5" s="13"/>
      <c r="E5" s="101" t="s">
        <v>110</v>
      </c>
      <c r="F5" s="101" t="s">
        <v>561</v>
      </c>
      <c r="G5" s="101">
        <v>1000</v>
      </c>
      <c r="H5" s="101">
        <v>3.35</v>
      </c>
      <c r="I5" s="101">
        <v>9087</v>
      </c>
      <c r="K5" s="101">
        <v>5.09</v>
      </c>
      <c r="N5" s="101">
        <v>21.5</v>
      </c>
      <c r="O5" s="101">
        <v>0.92400000000000004</v>
      </c>
      <c r="P5" s="9">
        <f t="shared" si="0"/>
        <v>3.8219670659360676E-5</v>
      </c>
      <c r="Q5" s="9">
        <f t="shared" si="1"/>
        <v>3.8219670659360676E-5</v>
      </c>
      <c r="X5" s="82">
        <f t="shared" si="2"/>
        <v>4.1488777500000001E-4</v>
      </c>
      <c r="Y5" s="75">
        <f t="shared" si="3"/>
        <v>0.16299264800000002</v>
      </c>
      <c r="Z5" s="75">
        <f t="shared" si="4"/>
        <v>0.41488777500000001</v>
      </c>
      <c r="AA5" s="10">
        <f t="shared" si="5"/>
        <v>162.992648</v>
      </c>
      <c r="AB5" s="13">
        <f t="shared" si="6"/>
        <v>1.3710483250000001</v>
      </c>
      <c r="AC5" s="13">
        <f t="shared" si="7"/>
        <v>256.09656957999999</v>
      </c>
      <c r="AD5" s="1"/>
      <c r="AE5" s="1"/>
      <c r="AF5" s="1"/>
      <c r="AG5" s="1"/>
      <c r="AN5" s="1">
        <v>3</v>
      </c>
      <c r="AO5" s="1">
        <v>1</v>
      </c>
    </row>
    <row r="6" spans="1:41" s="101" customFormat="1" ht="14.4" x14ac:dyDescent="0.3">
      <c r="A6" s="102">
        <v>42095</v>
      </c>
      <c r="B6" s="102"/>
      <c r="C6" s="101">
        <v>24.2</v>
      </c>
      <c r="D6" s="13"/>
      <c r="E6" s="101" t="s">
        <v>110</v>
      </c>
      <c r="F6" s="101" t="s">
        <v>90</v>
      </c>
      <c r="G6" s="101">
        <v>1000</v>
      </c>
      <c r="H6" s="101">
        <v>4.18</v>
      </c>
      <c r="I6" s="101">
        <v>12822.48</v>
      </c>
      <c r="K6" s="101">
        <v>5.2</v>
      </c>
      <c r="N6" s="101">
        <v>24.2</v>
      </c>
      <c r="O6" s="101">
        <v>0.93500000000000005</v>
      </c>
      <c r="P6" s="9">
        <f t="shared" si="0"/>
        <v>3.8323492700655515E-5</v>
      </c>
      <c r="Q6" s="9">
        <f>(O6*0.001)/(0.08205*(N6+273.15))</f>
        <v>3.8323492700655515E-5</v>
      </c>
      <c r="X6" s="82">
        <f t="shared" si="2"/>
        <v>4.9782527600000001E-4</v>
      </c>
      <c r="Y6" s="75">
        <f t="shared" si="3"/>
        <v>0.1639632</v>
      </c>
      <c r="Z6" s="75">
        <f t="shared" si="4"/>
        <v>0.49782527600000004</v>
      </c>
      <c r="AA6" s="10">
        <f t="shared" si="5"/>
        <v>163.9632</v>
      </c>
      <c r="AB6" s="13">
        <f t="shared" si="6"/>
        <v>1.5925538279999998</v>
      </c>
      <c r="AC6" s="13">
        <f t="shared" si="7"/>
        <v>259.14907200000005</v>
      </c>
      <c r="AD6" s="1"/>
      <c r="AE6" s="1"/>
      <c r="AF6" s="1"/>
      <c r="AG6" s="1"/>
      <c r="AN6" s="1">
        <v>4</v>
      </c>
      <c r="AO6" s="1">
        <v>1</v>
      </c>
    </row>
    <row r="7" spans="1:41" s="101" customFormat="1" ht="14.4" x14ac:dyDescent="0.3">
      <c r="A7" s="102">
        <v>42095</v>
      </c>
      <c r="B7" s="102"/>
      <c r="C7" s="101">
        <v>24.2</v>
      </c>
      <c r="D7" s="13"/>
      <c r="E7" s="101" t="s">
        <v>110</v>
      </c>
      <c r="F7" s="101" t="s">
        <v>90</v>
      </c>
      <c r="G7" s="101">
        <v>1000</v>
      </c>
      <c r="H7" s="101">
        <v>4.42</v>
      </c>
      <c r="I7" s="101">
        <v>12749.54</v>
      </c>
      <c r="K7" s="101">
        <v>6.32</v>
      </c>
      <c r="N7" s="101">
        <v>24.2</v>
      </c>
      <c r="O7" s="101">
        <v>0.93500000000000005</v>
      </c>
      <c r="P7" s="9">
        <f t="shared" si="0"/>
        <v>3.8323492700655515E-5</v>
      </c>
      <c r="Q7" s="9">
        <f t="shared" ref="Q7:Q13" si="8">(O7*0.001)/(0.08205*(N7+273.15))</f>
        <v>3.8323492700655515E-5</v>
      </c>
      <c r="X7" s="82">
        <f t="shared" si="2"/>
        <v>5.2180463600000001E-4</v>
      </c>
      <c r="Y7" s="75">
        <f t="shared" si="3"/>
        <v>0.17395539199999999</v>
      </c>
      <c r="Z7" s="75">
        <f t="shared" si="4"/>
        <v>0.52180463599999993</v>
      </c>
      <c r="AA7" s="10">
        <f t="shared" si="5"/>
        <v>173.95539199999999</v>
      </c>
      <c r="AB7" s="13">
        <f t="shared" si="6"/>
        <v>1.6565959079999999</v>
      </c>
      <c r="AC7" s="13">
        <f t="shared" si="7"/>
        <v>290.30045631999997</v>
      </c>
      <c r="AD7" s="1"/>
      <c r="AE7" s="1"/>
      <c r="AF7" s="1"/>
      <c r="AG7" s="1"/>
      <c r="AN7" s="1">
        <v>5</v>
      </c>
      <c r="AO7" s="1">
        <v>1</v>
      </c>
    </row>
    <row r="8" spans="1:41" s="101" customFormat="1" ht="14.4" x14ac:dyDescent="0.3">
      <c r="A8" s="102">
        <v>42095</v>
      </c>
      <c r="B8" s="102"/>
      <c r="C8" s="101">
        <v>24.2</v>
      </c>
      <c r="D8" s="13"/>
      <c r="E8" s="101" t="s">
        <v>110</v>
      </c>
      <c r="F8" s="101" t="s">
        <v>90</v>
      </c>
      <c r="G8" s="101">
        <v>1000</v>
      </c>
      <c r="H8" s="101">
        <v>4.45</v>
      </c>
      <c r="I8" s="101">
        <v>12670.32</v>
      </c>
      <c r="K8" s="101">
        <v>6.23</v>
      </c>
      <c r="N8" s="101">
        <v>24.2</v>
      </c>
      <c r="O8" s="101">
        <v>0.93500000000000005</v>
      </c>
      <c r="P8" s="9">
        <f t="shared" si="0"/>
        <v>3.8323492700655515E-5</v>
      </c>
      <c r="Q8" s="9">
        <f t="shared" si="8"/>
        <v>3.8323492700655515E-5</v>
      </c>
      <c r="X8" s="82">
        <f t="shared" si="2"/>
        <v>5.2480197500000009E-4</v>
      </c>
      <c r="Y8" s="75">
        <f t="shared" si="3"/>
        <v>0.173145032</v>
      </c>
      <c r="Z8" s="75">
        <f t="shared" si="4"/>
        <v>0.52480197500000003</v>
      </c>
      <c r="AA8" s="10">
        <f t="shared" si="5"/>
        <v>173.14503200000001</v>
      </c>
      <c r="AB8" s="13">
        <f t="shared" si="6"/>
        <v>1.6646009250000002</v>
      </c>
      <c r="AC8" s="13">
        <f t="shared" si="7"/>
        <v>287.79241822</v>
      </c>
      <c r="AD8" s="1"/>
      <c r="AE8" s="1"/>
      <c r="AF8" s="1"/>
      <c r="AG8" s="1"/>
      <c r="AN8" s="1">
        <v>6</v>
      </c>
      <c r="AO8" s="1">
        <v>1</v>
      </c>
    </row>
    <row r="9" spans="1:41" s="101" customFormat="1" ht="14.4" x14ac:dyDescent="0.3">
      <c r="A9" s="102">
        <v>42095</v>
      </c>
      <c r="B9" s="102"/>
      <c r="C9" s="101">
        <v>24.2</v>
      </c>
      <c r="D9" s="13"/>
      <c r="E9" s="101" t="s">
        <v>110</v>
      </c>
      <c r="F9" s="101" t="s">
        <v>90</v>
      </c>
      <c r="G9" s="101">
        <v>1000</v>
      </c>
      <c r="H9" s="101">
        <v>4.26</v>
      </c>
      <c r="I9" s="101">
        <v>12770.86</v>
      </c>
      <c r="K9" s="101">
        <v>5.56</v>
      </c>
      <c r="N9" s="101">
        <v>24.2</v>
      </c>
      <c r="O9" s="101">
        <v>0.93500000000000005</v>
      </c>
      <c r="P9" s="9">
        <f t="shared" si="0"/>
        <v>3.8323492700655515E-5</v>
      </c>
      <c r="Q9" s="9">
        <f t="shared" si="8"/>
        <v>3.8323492700655515E-5</v>
      </c>
      <c r="X9" s="82">
        <f t="shared" si="2"/>
        <v>5.0581852399999997E-4</v>
      </c>
      <c r="Y9" s="75">
        <f t="shared" si="3"/>
        <v>0.16715308800000001</v>
      </c>
      <c r="Z9" s="75">
        <f t="shared" si="4"/>
        <v>0.50581852399999994</v>
      </c>
      <c r="AA9" s="10">
        <f t="shared" si="5"/>
        <v>167.15308800000003</v>
      </c>
      <c r="AB9" s="13">
        <f t="shared" si="6"/>
        <v>1.6139015720000001</v>
      </c>
      <c r="AC9" s="13">
        <f t="shared" si="7"/>
        <v>269.14784448</v>
      </c>
      <c r="AD9" s="1"/>
      <c r="AE9" s="1"/>
      <c r="AF9" s="1"/>
      <c r="AG9" s="1"/>
      <c r="AN9" s="1">
        <v>7</v>
      </c>
      <c r="AO9" s="1">
        <v>1</v>
      </c>
    </row>
    <row r="10" spans="1:41" s="101" customFormat="1" ht="14.4" x14ac:dyDescent="0.3">
      <c r="A10" s="102">
        <v>42095</v>
      </c>
      <c r="B10" s="102"/>
      <c r="C10" s="101">
        <v>24.2</v>
      </c>
      <c r="D10" s="13"/>
      <c r="E10" s="101" t="s">
        <v>110</v>
      </c>
      <c r="F10" s="101" t="s">
        <v>90</v>
      </c>
      <c r="G10" s="101">
        <v>1000</v>
      </c>
      <c r="H10" s="101">
        <v>4.28</v>
      </c>
      <c r="I10" s="101">
        <v>12683.16</v>
      </c>
      <c r="K10" s="101">
        <v>5.96</v>
      </c>
      <c r="N10" s="101">
        <v>24.2</v>
      </c>
      <c r="O10" s="101">
        <v>0.93500000000000005</v>
      </c>
      <c r="P10" s="9">
        <f t="shared" si="0"/>
        <v>3.8323492700655515E-5</v>
      </c>
      <c r="Q10" s="9">
        <f t="shared" si="8"/>
        <v>3.8323492700655515E-5</v>
      </c>
      <c r="X10" s="82">
        <f t="shared" si="2"/>
        <v>5.0781681600000012E-4</v>
      </c>
      <c r="Y10" s="75">
        <f t="shared" si="3"/>
        <v>0.17072172800000002</v>
      </c>
      <c r="Z10" s="75">
        <f t="shared" si="4"/>
        <v>0.50781681600000017</v>
      </c>
      <c r="AA10" s="10">
        <f t="shared" si="5"/>
        <v>170.72172800000001</v>
      </c>
      <c r="AB10" s="13">
        <f t="shared" si="6"/>
        <v>1.6192384479999999</v>
      </c>
      <c r="AC10" s="13">
        <f t="shared" si="7"/>
        <v>280.27333887999998</v>
      </c>
      <c r="AD10" s="1"/>
      <c r="AE10" s="1"/>
      <c r="AF10" s="1"/>
      <c r="AG10" s="1"/>
      <c r="AN10" s="1">
        <v>8</v>
      </c>
      <c r="AO10" s="1">
        <v>1</v>
      </c>
    </row>
    <row r="11" spans="1:41" s="101" customFormat="1" ht="14.4" x14ac:dyDescent="0.3">
      <c r="A11" s="102">
        <v>42095</v>
      </c>
      <c r="B11" s="102"/>
      <c r="C11" s="101">
        <v>24.2</v>
      </c>
      <c r="D11" s="13"/>
      <c r="E11" s="101" t="s">
        <v>110</v>
      </c>
      <c r="F11" s="101" t="s">
        <v>90</v>
      </c>
      <c r="G11" s="101">
        <v>1000</v>
      </c>
      <c r="H11" s="101">
        <v>4.75</v>
      </c>
      <c r="I11" s="101">
        <v>12679.49</v>
      </c>
      <c r="K11" s="101">
        <v>9.26</v>
      </c>
      <c r="N11" s="101">
        <v>24.2</v>
      </c>
      <c r="O11" s="101">
        <v>0.93500000000000005</v>
      </c>
      <c r="P11" s="9">
        <f t="shared" si="0"/>
        <v>3.8323492700655515E-5</v>
      </c>
      <c r="Q11" s="9">
        <f t="shared" si="8"/>
        <v>3.8323492700655515E-5</v>
      </c>
      <c r="X11" s="82">
        <f t="shared" si="2"/>
        <v>5.5477437499999998E-4</v>
      </c>
      <c r="Y11" s="75">
        <f t="shared" si="3"/>
        <v>0.20113980799999998</v>
      </c>
      <c r="Z11" s="75">
        <f t="shared" si="4"/>
        <v>0.55477437499999993</v>
      </c>
      <c r="AA11" s="10">
        <f t="shared" si="5"/>
        <v>201.13980799999999</v>
      </c>
      <c r="AB11" s="13">
        <f t="shared" si="6"/>
        <v>1.7446481250000003</v>
      </c>
      <c r="AC11" s="13">
        <f t="shared" si="7"/>
        <v>372.69114567999998</v>
      </c>
      <c r="AD11" s="1"/>
      <c r="AE11" s="1"/>
      <c r="AF11" s="1"/>
      <c r="AG11" s="1"/>
      <c r="AN11" s="1">
        <v>9</v>
      </c>
      <c r="AO11" s="1">
        <v>1</v>
      </c>
    </row>
    <row r="12" spans="1:41" s="101" customFormat="1" ht="14.4" x14ac:dyDescent="0.3">
      <c r="A12" s="102">
        <v>42095</v>
      </c>
      <c r="B12" s="102"/>
      <c r="C12" s="101">
        <v>24.2</v>
      </c>
      <c r="D12" s="13"/>
      <c r="E12" s="101" t="s">
        <v>110</v>
      </c>
      <c r="F12" s="101" t="s">
        <v>90</v>
      </c>
      <c r="G12" s="101">
        <v>1000</v>
      </c>
      <c r="H12" s="101">
        <v>4.78</v>
      </c>
      <c r="I12" s="101">
        <v>12666.94</v>
      </c>
      <c r="K12" s="101">
        <v>6.67</v>
      </c>
      <c r="N12" s="101">
        <v>24.2</v>
      </c>
      <c r="O12" s="101">
        <v>0.93500000000000005</v>
      </c>
      <c r="P12" s="9">
        <f t="shared" si="0"/>
        <v>3.8323492700655515E-5</v>
      </c>
      <c r="Q12" s="9">
        <f t="shared" si="8"/>
        <v>3.8323492700655515E-5</v>
      </c>
      <c r="X12" s="82">
        <f t="shared" si="2"/>
        <v>5.5777151600000009E-4</v>
      </c>
      <c r="Y12" s="75">
        <f t="shared" si="3"/>
        <v>0.177119112</v>
      </c>
      <c r="Z12" s="75">
        <f t="shared" si="4"/>
        <v>0.55777151600000008</v>
      </c>
      <c r="AA12" s="10">
        <f t="shared" si="5"/>
        <v>177.119112</v>
      </c>
      <c r="AB12" s="13">
        <f t="shared" si="6"/>
        <v>1.7526525480000004</v>
      </c>
      <c r="AC12" s="13">
        <f t="shared" si="7"/>
        <v>300.06191502000001</v>
      </c>
      <c r="AD12" s="1"/>
      <c r="AE12" s="1"/>
      <c r="AF12" s="1"/>
      <c r="AG12" s="1"/>
      <c r="AN12" s="1">
        <v>10</v>
      </c>
      <c r="AO12" s="1">
        <v>1</v>
      </c>
    </row>
    <row r="13" spans="1:41" s="101" customFormat="1" ht="14.4" x14ac:dyDescent="0.3">
      <c r="A13" s="102">
        <v>42095</v>
      </c>
      <c r="B13" s="102"/>
      <c r="C13" s="101">
        <v>24.2</v>
      </c>
      <c r="D13" s="13"/>
      <c r="E13" s="101" t="s">
        <v>110</v>
      </c>
      <c r="F13" s="101" t="s">
        <v>90</v>
      </c>
      <c r="G13" s="101">
        <v>1000</v>
      </c>
      <c r="H13" s="101">
        <v>4.71</v>
      </c>
      <c r="I13" s="101">
        <v>12697.69</v>
      </c>
      <c r="K13" s="101">
        <v>6.07</v>
      </c>
      <c r="N13" s="101">
        <v>24.2</v>
      </c>
      <c r="O13" s="101">
        <v>0.93500000000000005</v>
      </c>
      <c r="P13" s="9">
        <f t="shared" si="0"/>
        <v>3.8323492700655515E-5</v>
      </c>
      <c r="Q13" s="9">
        <f t="shared" si="8"/>
        <v>3.8323492700655515E-5</v>
      </c>
      <c r="X13" s="82">
        <f t="shared" si="2"/>
        <v>5.5077815900000005E-4</v>
      </c>
      <c r="Y13" s="75">
        <f t="shared" si="3"/>
        <v>0.17170759200000002</v>
      </c>
      <c r="Z13" s="75">
        <f t="shared" si="4"/>
        <v>0.55077815900000004</v>
      </c>
      <c r="AA13" s="10">
        <f t="shared" si="5"/>
        <v>171.70759200000003</v>
      </c>
      <c r="AB13" s="13">
        <f t="shared" si="6"/>
        <v>1.733975477</v>
      </c>
      <c r="AC13" s="13">
        <f t="shared" si="7"/>
        <v>283.33575582000003</v>
      </c>
      <c r="AD13" s="1"/>
      <c r="AE13" s="1"/>
      <c r="AF13" s="1"/>
      <c r="AG13" s="1"/>
      <c r="AN13" s="1">
        <v>11</v>
      </c>
      <c r="AO13" s="1">
        <v>1</v>
      </c>
    </row>
    <row r="14" spans="1:41" s="7" customFormat="1" ht="14.4" x14ac:dyDescent="0.3">
      <c r="A14" s="41">
        <v>42102</v>
      </c>
      <c r="B14" s="41"/>
      <c r="C14" s="43">
        <v>24.2</v>
      </c>
      <c r="D14" s="43">
        <v>30.19</v>
      </c>
      <c r="E14" s="7" t="s">
        <v>89</v>
      </c>
      <c r="F14" s="7" t="s">
        <v>90</v>
      </c>
      <c r="G14" s="7">
        <v>1000</v>
      </c>
      <c r="H14" s="7">
        <v>4.93</v>
      </c>
      <c r="I14" s="7">
        <v>12495</v>
      </c>
      <c r="K14" s="7">
        <v>10.34</v>
      </c>
      <c r="N14" s="43">
        <f t="shared" ref="N14" si="9">C14</f>
        <v>24.2</v>
      </c>
      <c r="O14" s="44">
        <f t="shared" ref="O14" si="10">0.001316*((D14*25.4)-(2.5*2053/100))</f>
        <v>0.94159931599999991</v>
      </c>
      <c r="P14" s="45">
        <f t="shared" ref="P14" si="11">(O14*(G14/1000000))/(0.08205*(N14+273.15))</f>
        <v>3.8593983437078308E-5</v>
      </c>
      <c r="Q14" s="45"/>
      <c r="X14" s="82">
        <f t="shared" ref="X14" si="12">IF(H14&gt;300,((0.0000000002*H14^2)+(0.0001*H14)+0.0207),((-0.00000001*H14^2)+(0.0001*H14)+0.00008))</f>
        <v>5.7275695099999989E-4</v>
      </c>
      <c r="Y14" s="80">
        <f t="shared" ref="Y14" si="13">(0.00008*K14^2)+(0.008*K14)+0.1202</f>
        <v>0.211473248</v>
      </c>
      <c r="Z14" s="80">
        <f t="shared" ref="Z14" si="14">X14*1000000/G14</f>
        <v>0.57275695099999979</v>
      </c>
      <c r="AA14" s="47">
        <f t="shared" ref="AA14" si="15">Y14*1000000/G14</f>
        <v>211.47324799999998</v>
      </c>
      <c r="AB14" s="43">
        <f t="shared" ref="AB14" si="16">IF(H14&lt;601, ((-0.00003*H14^2)+(0.2671*H14)+0.4766), (IF(H14&lt;19001,((0.1503*H14)+59.75),((0.000005*H14^2)-(0.0565*H14)+2184))))</f>
        <v>1.7926738530000002</v>
      </c>
      <c r="AC14" s="43">
        <f t="shared" ref="AC14" si="17">(0.0518*K14^2)+(27.217*K14)+116.22</f>
        <v>403.18200807999995</v>
      </c>
      <c r="AN14" s="1">
        <v>12</v>
      </c>
      <c r="AO14" s="1">
        <v>1</v>
      </c>
    </row>
    <row r="15" spans="1:41" s="7" customFormat="1" ht="14.4" x14ac:dyDescent="0.3">
      <c r="A15" s="41">
        <v>42102</v>
      </c>
      <c r="B15" s="41"/>
      <c r="C15" s="43">
        <v>24.2</v>
      </c>
      <c r="D15" s="43">
        <v>30.19</v>
      </c>
      <c r="E15" s="7" t="s">
        <v>89</v>
      </c>
      <c r="F15" s="7" t="s">
        <v>90</v>
      </c>
      <c r="G15" s="7">
        <v>1000</v>
      </c>
      <c r="H15" s="7">
        <v>4.4400000000000004</v>
      </c>
      <c r="I15" s="7">
        <v>12963</v>
      </c>
      <c r="K15" s="7">
        <v>3.53</v>
      </c>
      <c r="N15" s="43">
        <f t="shared" ref="N15" si="18">C15</f>
        <v>24.2</v>
      </c>
      <c r="O15" s="44">
        <f t="shared" ref="O15" si="19">0.001316*((D15*25.4)-(2.5*2053/100))</f>
        <v>0.94159931599999991</v>
      </c>
      <c r="P15" s="45">
        <f t="shared" si="0"/>
        <v>3.8593983437078308E-5</v>
      </c>
      <c r="Q15" s="45"/>
      <c r="X15" s="82">
        <f t="shared" si="2"/>
        <v>5.238028640000001E-4</v>
      </c>
      <c r="Y15" s="80">
        <f t="shared" si="3"/>
        <v>0.149436872</v>
      </c>
      <c r="Z15" s="80">
        <f t="shared" si="4"/>
        <v>0.52380286400000009</v>
      </c>
      <c r="AA15" s="47">
        <f t="shared" si="5"/>
        <v>149.43687199999999</v>
      </c>
      <c r="AB15" s="43">
        <f t="shared" si="6"/>
        <v>1.6619325920000003</v>
      </c>
      <c r="AC15" s="43">
        <f t="shared" si="7"/>
        <v>212.94148461999998</v>
      </c>
      <c r="AN15" s="1">
        <v>13</v>
      </c>
      <c r="AO15" s="1">
        <v>1</v>
      </c>
    </row>
    <row r="16" spans="1:41" s="7" customFormat="1" ht="14.4" x14ac:dyDescent="0.3">
      <c r="A16" s="41">
        <v>42102</v>
      </c>
      <c r="B16" s="41"/>
      <c r="C16" s="43">
        <v>24.2</v>
      </c>
      <c r="D16" s="43">
        <v>30.19</v>
      </c>
      <c r="E16" s="7" t="s">
        <v>89</v>
      </c>
      <c r="F16" s="7" t="s">
        <v>90</v>
      </c>
      <c r="G16" s="7">
        <v>1000</v>
      </c>
      <c r="H16" s="7">
        <v>3.95</v>
      </c>
      <c r="I16" s="7">
        <v>12382</v>
      </c>
      <c r="K16" s="7">
        <v>2.92</v>
      </c>
      <c r="N16" s="43">
        <v>24.2</v>
      </c>
      <c r="O16" s="7">
        <v>0.94193357999999971</v>
      </c>
      <c r="P16" s="45">
        <f t="shared" si="0"/>
        <v>3.8607684147200322E-5</v>
      </c>
      <c r="Q16" s="45"/>
      <c r="X16" s="82">
        <f t="shared" si="2"/>
        <v>4.7484397500000003E-4</v>
      </c>
      <c r="Y16" s="80">
        <f t="shared" si="3"/>
        <v>0.14424211200000001</v>
      </c>
      <c r="Z16" s="80">
        <f t="shared" si="4"/>
        <v>0.47484397499999997</v>
      </c>
      <c r="AA16" s="47">
        <f t="shared" si="5"/>
        <v>144.24211199999999</v>
      </c>
      <c r="AB16" s="43">
        <f t="shared" si="6"/>
        <v>1.531176925</v>
      </c>
      <c r="AC16" s="43">
        <f t="shared" si="7"/>
        <v>196.13530751999997</v>
      </c>
      <c r="AN16" s="1">
        <v>14</v>
      </c>
      <c r="AO16" s="1">
        <v>1</v>
      </c>
    </row>
    <row r="17" spans="1:41" s="7" customFormat="1" ht="14.4" x14ac:dyDescent="0.3">
      <c r="A17" s="41">
        <v>42102</v>
      </c>
      <c r="B17" s="41"/>
      <c r="C17" s="43">
        <v>24.2</v>
      </c>
      <c r="D17" s="43">
        <v>30.19</v>
      </c>
      <c r="E17" s="7" t="s">
        <v>89</v>
      </c>
      <c r="F17" s="7" t="s">
        <v>560</v>
      </c>
      <c r="G17" s="7">
        <v>100</v>
      </c>
      <c r="H17" s="7">
        <v>0.91</v>
      </c>
      <c r="I17" s="7">
        <v>797</v>
      </c>
      <c r="K17" s="7">
        <v>0</v>
      </c>
      <c r="N17" s="43">
        <v>24.2</v>
      </c>
      <c r="O17" s="7">
        <v>0.94193357999999971</v>
      </c>
      <c r="P17" s="45">
        <f t="shared" si="0"/>
        <v>3.8607684147200326E-6</v>
      </c>
      <c r="Q17" s="45"/>
      <c r="X17" s="82">
        <f t="shared" si="2"/>
        <v>1.70991719E-4</v>
      </c>
      <c r="Y17" s="80">
        <f t="shared" si="3"/>
        <v>0.1202</v>
      </c>
      <c r="Z17" s="80">
        <f t="shared" si="4"/>
        <v>1.7099171900000001</v>
      </c>
      <c r="AA17" s="47">
        <f t="shared" si="5"/>
        <v>1202</v>
      </c>
      <c r="AB17" s="43">
        <f t="shared" si="6"/>
        <v>0.71963615700000005</v>
      </c>
      <c r="AC17" s="43">
        <f t="shared" si="7"/>
        <v>116.22</v>
      </c>
      <c r="AN17" s="1">
        <v>15</v>
      </c>
      <c r="AO17" s="1">
        <v>1</v>
      </c>
    </row>
    <row r="18" spans="1:41" s="7" customFormat="1" ht="14.4" x14ac:dyDescent="0.3">
      <c r="A18" s="41">
        <v>42102</v>
      </c>
      <c r="B18" s="41"/>
      <c r="C18" s="43">
        <v>24.2</v>
      </c>
      <c r="D18" s="43">
        <v>30.19</v>
      </c>
      <c r="E18" s="7" t="s">
        <v>89</v>
      </c>
      <c r="F18" s="7" t="s">
        <v>90</v>
      </c>
      <c r="G18" s="7">
        <v>100</v>
      </c>
      <c r="H18" s="7">
        <v>0.92</v>
      </c>
      <c r="I18" s="7">
        <v>1243</v>
      </c>
      <c r="K18" s="7">
        <v>0.53</v>
      </c>
      <c r="N18" s="43">
        <v>24.2</v>
      </c>
      <c r="O18" s="7">
        <v>0.94193357999999971</v>
      </c>
      <c r="P18" s="45">
        <f t="shared" si="0"/>
        <v>3.8607684147200326E-6</v>
      </c>
      <c r="Q18" s="45"/>
      <c r="X18" s="82">
        <f t="shared" si="2"/>
        <v>1.71991536E-4</v>
      </c>
      <c r="Y18" s="80">
        <f t="shared" si="3"/>
        <v>0.124462472</v>
      </c>
      <c r="Z18" s="80">
        <f t="shared" si="4"/>
        <v>1.7199153599999999</v>
      </c>
      <c r="AA18" s="47">
        <f t="shared" si="5"/>
        <v>1244.62472</v>
      </c>
      <c r="AB18" s="43">
        <f t="shared" si="6"/>
        <v>0.72230660800000002</v>
      </c>
      <c r="AC18" s="43">
        <f t="shared" si="7"/>
        <v>130.65956062000001</v>
      </c>
      <c r="AN18" s="1">
        <v>16</v>
      </c>
      <c r="AO18" s="1">
        <v>1</v>
      </c>
    </row>
    <row r="19" spans="1:41" s="7" customFormat="1" ht="14.4" x14ac:dyDescent="0.3">
      <c r="A19" s="41">
        <v>42102</v>
      </c>
      <c r="B19" s="41"/>
      <c r="C19" s="43">
        <v>24.2</v>
      </c>
      <c r="D19" s="43">
        <v>30.19</v>
      </c>
      <c r="E19" s="7" t="s">
        <v>89</v>
      </c>
      <c r="F19" s="7" t="s">
        <v>90</v>
      </c>
      <c r="G19" s="7">
        <v>100</v>
      </c>
      <c r="H19" s="7">
        <v>0.98</v>
      </c>
      <c r="I19" s="7">
        <v>1299</v>
      </c>
      <c r="K19" s="7">
        <v>0.78</v>
      </c>
      <c r="N19" s="43">
        <v>24.2</v>
      </c>
      <c r="O19" s="7">
        <v>0.94193357999999971</v>
      </c>
      <c r="P19" s="45">
        <f t="shared" si="0"/>
        <v>3.8607684147200326E-6</v>
      </c>
      <c r="Q19" s="45"/>
      <c r="X19" s="82">
        <f t="shared" si="2"/>
        <v>1.7799039599999998E-4</v>
      </c>
      <c r="Y19" s="80">
        <f t="shared" si="3"/>
        <v>0.126488672</v>
      </c>
      <c r="Z19" s="80">
        <f t="shared" si="4"/>
        <v>1.7799039599999997</v>
      </c>
      <c r="AA19" s="47">
        <f t="shared" si="5"/>
        <v>1264.88672</v>
      </c>
      <c r="AB19" s="43">
        <f t="shared" si="6"/>
        <v>0.73832918800000003</v>
      </c>
      <c r="AC19" s="43">
        <f t="shared" si="7"/>
        <v>137.48077512</v>
      </c>
      <c r="AN19" s="1">
        <v>17</v>
      </c>
      <c r="AO19" s="1">
        <v>1</v>
      </c>
    </row>
    <row r="20" spans="1:41" s="7" customFormat="1" ht="14.4" x14ac:dyDescent="0.3">
      <c r="A20" s="41">
        <v>42102</v>
      </c>
      <c r="B20" s="41"/>
      <c r="C20" s="43">
        <v>24.2</v>
      </c>
      <c r="D20" s="43">
        <v>30.19</v>
      </c>
      <c r="E20" s="7" t="s">
        <v>89</v>
      </c>
      <c r="F20" s="7" t="s">
        <v>90</v>
      </c>
      <c r="G20" s="7">
        <v>100</v>
      </c>
      <c r="H20" s="7">
        <v>1.1000000000000001</v>
      </c>
      <c r="I20" s="7">
        <v>1243</v>
      </c>
      <c r="K20" s="7">
        <v>0.5</v>
      </c>
      <c r="N20" s="43">
        <v>24.2</v>
      </c>
      <c r="O20" s="7">
        <v>0.94193357999999971</v>
      </c>
      <c r="P20" s="45">
        <f t="shared" si="0"/>
        <v>3.8607684147200326E-6</v>
      </c>
      <c r="Q20" s="45"/>
      <c r="X20" s="82">
        <f t="shared" si="2"/>
        <v>1.899879E-4</v>
      </c>
      <c r="Y20" s="80">
        <f t="shared" si="3"/>
        <v>0.12422</v>
      </c>
      <c r="Z20" s="80">
        <f t="shared" si="4"/>
        <v>1.8998789999999999</v>
      </c>
      <c r="AA20" s="47">
        <f t="shared" si="5"/>
        <v>1242.2</v>
      </c>
      <c r="AB20" s="43">
        <f t="shared" si="6"/>
        <v>0.77037370000000005</v>
      </c>
      <c r="AC20" s="43">
        <f t="shared" si="7"/>
        <v>129.84145000000001</v>
      </c>
      <c r="AN20" s="1">
        <v>18</v>
      </c>
      <c r="AO20" s="1">
        <v>1</v>
      </c>
    </row>
    <row r="21" spans="1:41" s="7" customFormat="1" ht="14.4" x14ac:dyDescent="0.3">
      <c r="A21" s="41">
        <v>42102</v>
      </c>
      <c r="B21" s="41"/>
      <c r="C21" s="43">
        <v>24.2</v>
      </c>
      <c r="D21" s="43">
        <v>30.19</v>
      </c>
      <c r="E21" s="7" t="s">
        <v>89</v>
      </c>
      <c r="F21" s="7" t="s">
        <v>560</v>
      </c>
      <c r="G21" s="7">
        <v>100</v>
      </c>
      <c r="H21" s="7">
        <v>0.62</v>
      </c>
      <c r="I21" s="7">
        <v>1188</v>
      </c>
      <c r="K21" s="7">
        <v>0</v>
      </c>
      <c r="N21" s="43">
        <v>24.2</v>
      </c>
      <c r="O21" s="7">
        <v>0.94193357999999971</v>
      </c>
      <c r="P21" s="45">
        <f t="shared" si="0"/>
        <v>3.8607684147200326E-6</v>
      </c>
      <c r="Q21" s="45"/>
      <c r="X21" s="82">
        <f t="shared" si="2"/>
        <v>1.41996156E-4</v>
      </c>
      <c r="Y21" s="80">
        <f t="shared" si="3"/>
        <v>0.1202</v>
      </c>
      <c r="Z21" s="80">
        <f t="shared" si="4"/>
        <v>1.4199615600000002</v>
      </c>
      <c r="AA21" s="47">
        <f t="shared" si="5"/>
        <v>1202</v>
      </c>
      <c r="AB21" s="43">
        <f t="shared" si="6"/>
        <v>0.64219046800000001</v>
      </c>
      <c r="AC21" s="43">
        <f t="shared" si="7"/>
        <v>116.22</v>
      </c>
      <c r="AN21" s="1">
        <v>19</v>
      </c>
      <c r="AO21" s="1">
        <v>1</v>
      </c>
    </row>
    <row r="22" spans="1:41" s="7" customFormat="1" ht="14.4" x14ac:dyDescent="0.3">
      <c r="A22" s="41">
        <v>42102</v>
      </c>
      <c r="B22" s="41"/>
      <c r="C22" s="43">
        <v>24.2</v>
      </c>
      <c r="D22" s="43">
        <v>30.19</v>
      </c>
      <c r="E22" s="7" t="s">
        <v>89</v>
      </c>
      <c r="F22" s="7" t="s">
        <v>560</v>
      </c>
      <c r="G22" s="7">
        <v>100</v>
      </c>
      <c r="H22" s="7">
        <v>0.51</v>
      </c>
      <c r="I22" s="7">
        <v>1181</v>
      </c>
      <c r="K22" s="7">
        <v>0</v>
      </c>
      <c r="N22" s="43">
        <v>24.2</v>
      </c>
      <c r="O22" s="7">
        <v>0.94193357999999971</v>
      </c>
      <c r="P22" s="45">
        <f t="shared" si="0"/>
        <v>3.8607684147200326E-6</v>
      </c>
      <c r="Q22" s="45"/>
      <c r="X22" s="82">
        <f t="shared" si="2"/>
        <v>1.3099739900000002E-4</v>
      </c>
      <c r="Y22" s="80">
        <f t="shared" si="3"/>
        <v>0.1202</v>
      </c>
      <c r="Z22" s="80">
        <f t="shared" si="4"/>
        <v>1.3099739900000003</v>
      </c>
      <c r="AA22" s="47">
        <f t="shared" si="5"/>
        <v>1202</v>
      </c>
      <c r="AB22" s="43">
        <f t="shared" si="6"/>
        <v>0.61281319700000003</v>
      </c>
      <c r="AC22" s="43">
        <f t="shared" si="7"/>
        <v>116.22</v>
      </c>
      <c r="AN22" s="1">
        <v>20</v>
      </c>
      <c r="AO22" s="1">
        <v>1</v>
      </c>
    </row>
    <row r="23" spans="1:41" s="7" customFormat="1" ht="14.4" x14ac:dyDescent="0.3">
      <c r="A23" s="41">
        <v>42102</v>
      </c>
      <c r="B23" s="41"/>
      <c r="C23" s="43">
        <v>24.2</v>
      </c>
      <c r="D23" s="43">
        <v>30.19</v>
      </c>
      <c r="E23" s="7" t="s">
        <v>89</v>
      </c>
      <c r="F23" s="7" t="s">
        <v>560</v>
      </c>
      <c r="G23" s="7">
        <v>100</v>
      </c>
      <c r="H23" s="7">
        <v>1</v>
      </c>
      <c r="I23" s="7">
        <v>1194</v>
      </c>
      <c r="K23" s="7">
        <v>0.32</v>
      </c>
      <c r="N23" s="43">
        <v>24.2</v>
      </c>
      <c r="O23" s="7">
        <v>0.94193357999999971</v>
      </c>
      <c r="P23" s="45">
        <f t="shared" si="0"/>
        <v>3.8607684147200326E-6</v>
      </c>
      <c r="Q23" s="45"/>
      <c r="X23" s="82">
        <f t="shared" si="2"/>
        <v>1.7999000000000002E-4</v>
      </c>
      <c r="Y23" s="80">
        <f t="shared" si="3"/>
        <v>0.122768192</v>
      </c>
      <c r="Z23" s="80">
        <f t="shared" si="4"/>
        <v>1.7999000000000001</v>
      </c>
      <c r="AA23" s="47">
        <f t="shared" si="5"/>
        <v>1227.68192</v>
      </c>
      <c r="AB23" s="43">
        <f t="shared" si="6"/>
        <v>0.74367000000000005</v>
      </c>
      <c r="AC23" s="43">
        <f t="shared" si="7"/>
        <v>124.93474431999999</v>
      </c>
      <c r="AN23" s="1">
        <v>21</v>
      </c>
      <c r="AO23" s="1">
        <v>1</v>
      </c>
    </row>
    <row r="24" spans="1:41" s="1" customFormat="1" ht="14.4" x14ac:dyDescent="0.3">
      <c r="A24" s="6">
        <v>42116</v>
      </c>
      <c r="B24" s="32">
        <v>0.4375</v>
      </c>
      <c r="C24" s="2">
        <v>24.2</v>
      </c>
      <c r="D24" s="2">
        <v>29.83</v>
      </c>
      <c r="E24" s="1" t="s">
        <v>89</v>
      </c>
      <c r="F24" s="101" t="s">
        <v>90</v>
      </c>
      <c r="G24" s="1">
        <v>1000</v>
      </c>
      <c r="H24" s="1">
        <v>5.38</v>
      </c>
      <c r="I24" s="1">
        <v>12663</v>
      </c>
      <c r="K24" s="1">
        <v>4.6100000000000003</v>
      </c>
      <c r="L24" s="1">
        <v>1</v>
      </c>
      <c r="M24" s="7"/>
      <c r="N24" s="2">
        <f>C24</f>
        <v>24.2</v>
      </c>
      <c r="O24" s="8">
        <f>0.001316*((D24*25.4)-(2.5*2053/100))</f>
        <v>0.92956581199999977</v>
      </c>
      <c r="P24" s="9">
        <f>(O24*(G24/1000000))/(0.08205*(N24+273.15))</f>
        <v>3.8100757872685457E-5</v>
      </c>
      <c r="Q24" s="9"/>
      <c r="R24" s="101"/>
      <c r="S24" s="101"/>
      <c r="T24" s="101"/>
      <c r="U24" s="101"/>
      <c r="V24" s="101"/>
      <c r="W24" s="101"/>
      <c r="X24" s="82">
        <f>IF(H24&gt;300,((0.0000000002*H24^2)+(0.0001*H24)+0.0207),((-0.00000001*H24^2)+(0.0001*H24)+0.00008))</f>
        <v>6.177105560000001E-4</v>
      </c>
      <c r="Y24" s="75">
        <f>(0.00008*K24^2)+(0.008*K24)+0.1202</f>
        <v>0.158780168</v>
      </c>
      <c r="Z24" s="10">
        <f t="shared" si="4"/>
        <v>0.61771055600000013</v>
      </c>
      <c r="AA24" s="10">
        <f t="shared" si="5"/>
        <v>158.780168</v>
      </c>
      <c r="AB24" s="13">
        <f>IF(H24&lt;601, ((-0.00003*H24^2)+(0.2671*H24)+0.4766), (IF(H24&lt;19001,((0.1503*H24)+59.75),((0.000005*H24^2)-(0.0565*H24)+2184))))</f>
        <v>1.9127296679999999</v>
      </c>
      <c r="AC24" s="13">
        <f t="shared" ref="AC24:AC29" si="20">(0.0518*K24^2)+(27.217*K24)+116.22</f>
        <v>242.79122877999998</v>
      </c>
      <c r="AN24" s="1">
        <v>22</v>
      </c>
      <c r="AO24" s="1">
        <v>1</v>
      </c>
    </row>
    <row r="25" spans="1:41" s="1" customFormat="1" ht="14.4" x14ac:dyDescent="0.3">
      <c r="A25" s="6">
        <v>42116</v>
      </c>
      <c r="B25" s="6"/>
      <c r="C25" s="2">
        <v>24.2</v>
      </c>
      <c r="D25" s="2">
        <v>29.83</v>
      </c>
      <c r="E25" s="1" t="s">
        <v>89</v>
      </c>
      <c r="F25" s="101" t="s">
        <v>90</v>
      </c>
      <c r="G25" s="1">
        <v>1000</v>
      </c>
      <c r="H25" s="1">
        <v>5.41</v>
      </c>
      <c r="I25" s="1">
        <v>12720</v>
      </c>
      <c r="K25" s="1">
        <v>7.48</v>
      </c>
      <c r="L25" s="1">
        <v>1</v>
      </c>
      <c r="M25" s="7"/>
      <c r="N25" s="2">
        <f t="shared" ref="N25:N26" si="21">C25</f>
        <v>24.2</v>
      </c>
      <c r="O25" s="8">
        <f t="shared" ref="O25:O26" si="22">0.001316*((D25*25.4)-(2.5*2053/100))</f>
        <v>0.92956581199999977</v>
      </c>
      <c r="P25" s="9">
        <f t="shared" ref="P25:P26" si="23">(O25*(G25/1000000))/(0.08205*(N25+273.15))</f>
        <v>3.8100757872685457E-5</v>
      </c>
      <c r="Q25" s="9"/>
      <c r="R25" s="101"/>
      <c r="S25" s="101"/>
      <c r="T25" s="101"/>
      <c r="U25" s="101"/>
      <c r="V25" s="101"/>
      <c r="W25" s="101"/>
      <c r="X25" s="82">
        <f t="shared" ref="X25:X26" si="24">IF(H25&gt;300,((0.0000000002*H25^2)+(0.0001*H25)+0.0207),((-0.00000001*H25^2)+(0.0001*H25)+0.00008))</f>
        <v>6.2070731899999999E-4</v>
      </c>
      <c r="Y25" s="75">
        <f t="shared" ref="Y25:Y26" si="25">(0.00008*K25^2)+(0.008*K25)+0.1202</f>
        <v>0.184516032</v>
      </c>
      <c r="Z25" s="10">
        <f t="shared" si="4"/>
        <v>0.62070731899999998</v>
      </c>
      <c r="AA25" s="10">
        <f t="shared" si="5"/>
        <v>184.516032</v>
      </c>
      <c r="AB25" s="13">
        <f t="shared" ref="AB25:AB26" si="26">IF(H25&lt;601, ((-0.00003*H25^2)+(0.2671*H25)+0.4766), (IF(H25&lt;19001,((0.1503*H25)+59.75),((0.000005*H25^2)-(0.0565*H25)+2184))))</f>
        <v>1.9207329570000002</v>
      </c>
      <c r="AC25" s="13">
        <f t="shared" si="20"/>
        <v>322.70139071999995</v>
      </c>
      <c r="AN25" s="1">
        <v>23</v>
      </c>
      <c r="AO25" s="1">
        <v>1</v>
      </c>
    </row>
    <row r="26" spans="1:41" s="1" customFormat="1" ht="14.4" x14ac:dyDescent="0.3">
      <c r="A26" s="6">
        <v>42116</v>
      </c>
      <c r="B26" s="6"/>
      <c r="C26" s="2">
        <v>24.2</v>
      </c>
      <c r="D26" s="2">
        <v>29.83</v>
      </c>
      <c r="E26" s="1" t="s">
        <v>89</v>
      </c>
      <c r="F26" s="101" t="s">
        <v>90</v>
      </c>
      <c r="G26" s="1">
        <v>1000</v>
      </c>
      <c r="H26" s="1">
        <v>5.8</v>
      </c>
      <c r="I26" s="1">
        <v>12637</v>
      </c>
      <c r="K26" s="1">
        <v>6.08</v>
      </c>
      <c r="L26" s="1">
        <v>1</v>
      </c>
      <c r="M26" s="7"/>
      <c r="N26" s="2">
        <f t="shared" si="21"/>
        <v>24.2</v>
      </c>
      <c r="O26" s="8">
        <f t="shared" si="22"/>
        <v>0.92956581199999977</v>
      </c>
      <c r="P26" s="9">
        <f t="shared" si="23"/>
        <v>3.8100757872685457E-5</v>
      </c>
      <c r="Q26" s="9"/>
      <c r="R26" s="101"/>
      <c r="S26" s="101"/>
      <c r="T26" s="101"/>
      <c r="U26" s="101"/>
      <c r="V26" s="101"/>
      <c r="W26" s="101"/>
      <c r="X26" s="82">
        <f t="shared" si="24"/>
        <v>6.5966359999999999E-4</v>
      </c>
      <c r="Y26" s="75">
        <f t="shared" si="25"/>
        <v>0.17179731200000001</v>
      </c>
      <c r="Z26" s="10">
        <f t="shared" si="4"/>
        <v>0.65966360000000002</v>
      </c>
      <c r="AA26" s="10">
        <f t="shared" si="5"/>
        <v>171.79731200000001</v>
      </c>
      <c r="AB26" s="13">
        <f t="shared" si="26"/>
        <v>2.0247708000000002</v>
      </c>
      <c r="AC26" s="13">
        <f t="shared" si="20"/>
        <v>283.61421952000001</v>
      </c>
      <c r="AN26" s="1">
        <v>24</v>
      </c>
      <c r="AO26" s="1">
        <v>1</v>
      </c>
    </row>
    <row r="27" spans="1:41" s="1" customFormat="1" ht="14.4" x14ac:dyDescent="0.3">
      <c r="A27" s="6">
        <v>42123</v>
      </c>
      <c r="B27" s="32">
        <v>0.375</v>
      </c>
      <c r="C27" s="2">
        <v>23.4</v>
      </c>
      <c r="D27" s="2">
        <v>29.89</v>
      </c>
      <c r="E27" s="1" t="s">
        <v>89</v>
      </c>
      <c r="F27" s="101" t="s">
        <v>90</v>
      </c>
      <c r="G27" s="1">
        <v>1000</v>
      </c>
      <c r="H27" s="1">
        <v>5.68</v>
      </c>
      <c r="I27" s="1">
        <v>12778</v>
      </c>
      <c r="K27" s="1">
        <v>4.8099999999999996</v>
      </c>
      <c r="L27" s="1">
        <v>1</v>
      </c>
      <c r="M27" s="7"/>
      <c r="N27" s="2">
        <f>C27</f>
        <v>23.4</v>
      </c>
      <c r="O27" s="8">
        <f>0.001316*((D27*25.4)-(2.5*2053/100))</f>
        <v>0.93157139599999994</v>
      </c>
      <c r="P27" s="9">
        <f>(O27*(G27/1000000))/(0.08205*(N27+273.15))</f>
        <v>3.8285967932462409E-5</v>
      </c>
      <c r="Q27" s="9"/>
      <c r="R27" s="101"/>
      <c r="S27" s="101"/>
      <c r="T27" s="101"/>
      <c r="U27" s="101"/>
      <c r="V27" s="101"/>
      <c r="W27" s="101"/>
      <c r="X27" s="82">
        <f>IF(H27&gt;300,((0.0000000002*H27^2)+(0.0001*H27)+0.0207),((-0.00000001*H27^2)+(0.0001*H27)+0.00008))</f>
        <v>6.4767737600000006E-4</v>
      </c>
      <c r="Y27" s="75">
        <f>(0.00008*K27^2)+(0.008*K27)+0.1202</f>
        <v>0.16053088800000001</v>
      </c>
      <c r="Z27" s="10">
        <f t="shared" si="4"/>
        <v>0.64767737600000008</v>
      </c>
      <c r="AA27" s="10">
        <f t="shared" si="5"/>
        <v>160.530888</v>
      </c>
      <c r="AB27" s="13">
        <f>IF(H27&lt;601, ((-0.00003*H27^2)+(0.2671*H27)+0.4766), (IF(H27&lt;19001,((0.1503*H27)+59.75),((0.000005*H27^2)-(0.0565*H27)+2184))))</f>
        <v>1.992760128</v>
      </c>
      <c r="AC27" s="13">
        <f t="shared" si="20"/>
        <v>248.33221997999996</v>
      </c>
      <c r="AN27" s="1">
        <v>25</v>
      </c>
      <c r="AO27" s="1">
        <v>1</v>
      </c>
    </row>
    <row r="28" spans="1:41" s="1" customFormat="1" ht="14.4" x14ac:dyDescent="0.3">
      <c r="A28" s="6">
        <v>42123</v>
      </c>
      <c r="B28" s="6"/>
      <c r="C28" s="2">
        <v>23.4</v>
      </c>
      <c r="D28" s="2">
        <v>29.89</v>
      </c>
      <c r="E28" s="1" t="s">
        <v>89</v>
      </c>
      <c r="F28" s="101" t="s">
        <v>90</v>
      </c>
      <c r="G28" s="1">
        <v>1000</v>
      </c>
      <c r="H28" s="1">
        <v>7</v>
      </c>
      <c r="I28" s="1">
        <v>12776</v>
      </c>
      <c r="K28" s="1">
        <v>4.28</v>
      </c>
      <c r="L28" s="1">
        <v>1</v>
      </c>
      <c r="M28" s="7"/>
      <c r="N28" s="2">
        <f t="shared" ref="N28:N32" si="27">C28</f>
        <v>23.4</v>
      </c>
      <c r="O28" s="8">
        <f t="shared" ref="O28:O32" si="28">0.001316*((D28*25.4)-(2.5*2053/100))</f>
        <v>0.93157139599999994</v>
      </c>
      <c r="P28" s="9">
        <f t="shared" ref="P28:P32" si="29">(O28*(G28/1000000))/(0.08205*(N28+273.15))</f>
        <v>3.8285967932462409E-5</v>
      </c>
      <c r="Q28" s="9"/>
      <c r="R28" s="101"/>
      <c r="S28" s="101"/>
      <c r="T28" s="101"/>
      <c r="U28" s="101"/>
      <c r="V28" s="101"/>
      <c r="W28" s="101"/>
      <c r="X28" s="82">
        <f t="shared" ref="X28:X32" si="30">IF(H28&gt;300,((0.0000000002*H28^2)+(0.0001*H28)+0.0207),((-0.00000001*H28^2)+(0.0001*H28)+0.00008))</f>
        <v>7.7950999999999997E-4</v>
      </c>
      <c r="Y28" s="75">
        <f t="shared" ref="Y28:Y32" si="31">(0.00008*K28^2)+(0.008*K28)+0.1202</f>
        <v>0.15590547199999999</v>
      </c>
      <c r="Z28" s="10">
        <f t="shared" si="4"/>
        <v>0.77951000000000004</v>
      </c>
      <c r="AA28" s="10">
        <f t="shared" si="5"/>
        <v>155.90547199999997</v>
      </c>
      <c r="AB28" s="13">
        <f t="shared" ref="AB28:AB32" si="32">IF(H28&lt;601, ((-0.00003*H28^2)+(0.2671*H28)+0.4766), (IF(H28&lt;19001,((0.1503*H28)+59.75),((0.000005*H28^2)-(0.0565*H28)+2184))))</f>
        <v>2.34483</v>
      </c>
      <c r="AC28" s="13">
        <f t="shared" si="20"/>
        <v>233.65765311999999</v>
      </c>
      <c r="AN28" s="1">
        <v>26</v>
      </c>
      <c r="AO28" s="1">
        <v>1</v>
      </c>
    </row>
    <row r="29" spans="1:41" s="1" customFormat="1" ht="14.4" x14ac:dyDescent="0.3">
      <c r="A29" s="6">
        <v>42123</v>
      </c>
      <c r="B29" s="6"/>
      <c r="C29" s="2">
        <v>23.4</v>
      </c>
      <c r="D29" s="2">
        <v>29.89</v>
      </c>
      <c r="E29" s="1" t="s">
        <v>89</v>
      </c>
      <c r="F29" s="101" t="s">
        <v>90</v>
      </c>
      <c r="G29" s="1">
        <v>1000</v>
      </c>
      <c r="H29" s="1">
        <v>5.9</v>
      </c>
      <c r="I29" s="1">
        <v>12768</v>
      </c>
      <c r="K29" s="1">
        <v>5.29</v>
      </c>
      <c r="L29" s="1">
        <v>1</v>
      </c>
      <c r="M29" s="7"/>
      <c r="N29" s="2">
        <f t="shared" si="27"/>
        <v>23.4</v>
      </c>
      <c r="O29" s="8">
        <f t="shared" si="28"/>
        <v>0.93157139599999994</v>
      </c>
      <c r="P29" s="9">
        <f t="shared" si="29"/>
        <v>3.8285967932462409E-5</v>
      </c>
      <c r="Q29" s="9"/>
      <c r="R29" s="101"/>
      <c r="S29" s="101"/>
      <c r="T29" s="101"/>
      <c r="U29" s="101"/>
      <c r="V29" s="101"/>
      <c r="W29" s="101"/>
      <c r="X29" s="82">
        <f t="shared" si="30"/>
        <v>6.6965190000000004E-4</v>
      </c>
      <c r="Y29" s="75">
        <f t="shared" si="31"/>
        <v>0.16475872800000002</v>
      </c>
      <c r="Z29" s="10">
        <f t="shared" si="4"/>
        <v>0.66965190000000008</v>
      </c>
      <c r="AA29" s="10">
        <f t="shared" si="5"/>
        <v>164.75872800000002</v>
      </c>
      <c r="AB29" s="13">
        <f t="shared" si="32"/>
        <v>2.0514456999999999</v>
      </c>
      <c r="AC29" s="13">
        <f t="shared" si="20"/>
        <v>261.64750637999998</v>
      </c>
      <c r="AN29" s="1">
        <v>27</v>
      </c>
      <c r="AO29" s="1">
        <v>1</v>
      </c>
    </row>
    <row r="30" spans="1:41" s="101" customFormat="1" ht="14.4" x14ac:dyDescent="0.3">
      <c r="A30" s="6">
        <v>42123</v>
      </c>
      <c r="C30" s="2">
        <v>22.7</v>
      </c>
      <c r="D30" s="2">
        <v>29.82</v>
      </c>
      <c r="E30" s="1" t="s">
        <v>89</v>
      </c>
      <c r="F30" s="101" t="s">
        <v>90</v>
      </c>
      <c r="G30" s="1">
        <v>1000</v>
      </c>
      <c r="H30" s="1">
        <v>5.45</v>
      </c>
      <c r="I30" s="1">
        <v>12266</v>
      </c>
      <c r="J30" s="1"/>
      <c r="K30" s="1">
        <v>4.6100000000000003</v>
      </c>
      <c r="L30" s="1">
        <v>1</v>
      </c>
      <c r="M30" s="7"/>
      <c r="N30" s="2">
        <f t="shared" si="27"/>
        <v>22.7</v>
      </c>
      <c r="O30" s="8">
        <f t="shared" si="28"/>
        <v>0.92923154799999985</v>
      </c>
      <c r="P30" s="9">
        <f t="shared" si="29"/>
        <v>3.8280163756255666E-5</v>
      </c>
      <c r="Q30" s="9"/>
      <c r="X30" s="82">
        <f t="shared" si="30"/>
        <v>6.2470297499999999E-4</v>
      </c>
      <c r="Y30" s="75">
        <f t="shared" si="31"/>
        <v>0.158780168</v>
      </c>
      <c r="Z30" s="10">
        <f t="shared" si="4"/>
        <v>0.62470297500000005</v>
      </c>
      <c r="AA30" s="10">
        <f t="shared" si="5"/>
        <v>158.780168</v>
      </c>
      <c r="AB30" s="13">
        <f t="shared" si="32"/>
        <v>1.9314039250000001</v>
      </c>
      <c r="AC30" s="13">
        <f t="shared" ref="AC30:AC32" si="33">(0.0518*K30^2)+(27.217*K30)+116.22</f>
        <v>242.79122877999998</v>
      </c>
      <c r="AD30" s="1"/>
      <c r="AE30" s="1"/>
      <c r="AF30" s="1"/>
      <c r="AG30" s="1"/>
      <c r="AH30" s="1"/>
      <c r="AI30" s="1"/>
      <c r="AJ30" s="1"/>
      <c r="AN30" s="1">
        <v>28</v>
      </c>
      <c r="AO30" s="1">
        <v>1</v>
      </c>
    </row>
    <row r="31" spans="1:41" s="101" customFormat="1" ht="14.4" x14ac:dyDescent="0.3">
      <c r="A31" s="6">
        <v>42123</v>
      </c>
      <c r="C31" s="2">
        <v>22.7</v>
      </c>
      <c r="D31" s="2">
        <v>29.82</v>
      </c>
      <c r="E31" s="1" t="s">
        <v>89</v>
      </c>
      <c r="F31" s="101" t="s">
        <v>90</v>
      </c>
      <c r="G31" s="1">
        <v>1000</v>
      </c>
      <c r="H31" s="1">
        <v>5.94</v>
      </c>
      <c r="I31" s="1">
        <v>12207</v>
      </c>
      <c r="J31" s="1"/>
      <c r="K31" s="1">
        <v>3.92</v>
      </c>
      <c r="L31" s="1">
        <v>1</v>
      </c>
      <c r="M31" s="7"/>
      <c r="N31" s="2">
        <f t="shared" si="27"/>
        <v>22.7</v>
      </c>
      <c r="O31" s="8">
        <f t="shared" si="28"/>
        <v>0.92923154799999985</v>
      </c>
      <c r="P31" s="9">
        <f t="shared" si="29"/>
        <v>3.8280163756255666E-5</v>
      </c>
      <c r="Q31" s="9"/>
      <c r="X31" s="82">
        <f t="shared" si="30"/>
        <v>6.7364716399999998E-4</v>
      </c>
      <c r="Y31" s="75">
        <f t="shared" si="31"/>
        <v>0.15278931200000001</v>
      </c>
      <c r="Z31" s="10">
        <f t="shared" si="4"/>
        <v>0.67364716400000002</v>
      </c>
      <c r="AA31" s="10">
        <f t="shared" si="5"/>
        <v>152.789312</v>
      </c>
      <c r="AB31" s="13">
        <f t="shared" si="32"/>
        <v>2.0621154920000002</v>
      </c>
      <c r="AC31" s="13">
        <f t="shared" si="33"/>
        <v>223.70661952</v>
      </c>
      <c r="AD31" s="1"/>
      <c r="AE31" s="1"/>
      <c r="AF31" s="1"/>
      <c r="AG31" s="1"/>
      <c r="AH31" s="1"/>
      <c r="AI31" s="1"/>
      <c r="AJ31" s="1"/>
      <c r="AN31" s="1">
        <v>29</v>
      </c>
      <c r="AO31" s="1">
        <v>1</v>
      </c>
    </row>
    <row r="32" spans="1:41" s="101" customFormat="1" ht="14.4" x14ac:dyDescent="0.3">
      <c r="A32" s="6">
        <v>42123</v>
      </c>
      <c r="C32" s="2">
        <v>22.7</v>
      </c>
      <c r="D32" s="2">
        <v>29.82</v>
      </c>
      <c r="E32" s="1" t="s">
        <v>89</v>
      </c>
      <c r="F32" s="101" t="s">
        <v>90</v>
      </c>
      <c r="G32" s="1">
        <v>1000</v>
      </c>
      <c r="H32" s="1">
        <v>5.58</v>
      </c>
      <c r="I32" s="1">
        <v>12356</v>
      </c>
      <c r="J32" s="1"/>
      <c r="K32" s="1">
        <v>5.08</v>
      </c>
      <c r="L32" s="1">
        <v>1</v>
      </c>
      <c r="M32" s="7"/>
      <c r="N32" s="2">
        <f t="shared" si="27"/>
        <v>22.7</v>
      </c>
      <c r="O32" s="8">
        <f t="shared" si="28"/>
        <v>0.92923154799999985</v>
      </c>
      <c r="P32" s="9">
        <f t="shared" si="29"/>
        <v>3.8280163756255666E-5</v>
      </c>
      <c r="Q32" s="9"/>
      <c r="X32" s="82">
        <f t="shared" si="30"/>
        <v>6.3768863600000003E-4</v>
      </c>
      <c r="Y32" s="75">
        <f t="shared" si="31"/>
        <v>0.162904512</v>
      </c>
      <c r="Z32" s="10">
        <f t="shared" si="4"/>
        <v>0.63768863600000014</v>
      </c>
      <c r="AA32" s="10">
        <f t="shared" si="5"/>
        <v>162.90451199999998</v>
      </c>
      <c r="AB32" s="13">
        <f t="shared" si="32"/>
        <v>1.9660839079999999</v>
      </c>
      <c r="AC32" s="13">
        <f t="shared" si="33"/>
        <v>255.81913152000001</v>
      </c>
      <c r="AD32" s="1"/>
      <c r="AE32" s="1"/>
      <c r="AF32" s="1"/>
      <c r="AG32" s="1"/>
      <c r="AH32" s="1"/>
      <c r="AI32" s="1"/>
      <c r="AJ32" s="1"/>
      <c r="AN32" s="1">
        <v>30</v>
      </c>
      <c r="AO32" s="1">
        <v>1</v>
      </c>
    </row>
    <row r="33" spans="1:41" s="1" customFormat="1" ht="14.4" x14ac:dyDescent="0.3">
      <c r="A33" s="6">
        <v>42130</v>
      </c>
      <c r="B33" s="32">
        <v>0.40972222222222227</v>
      </c>
      <c r="C33" s="2">
        <v>24.2</v>
      </c>
      <c r="D33" s="2">
        <v>30.32</v>
      </c>
      <c r="E33" s="1" t="s">
        <v>89</v>
      </c>
      <c r="F33" s="101" t="s">
        <v>90</v>
      </c>
      <c r="G33" s="1">
        <v>1000</v>
      </c>
      <c r="H33" s="1">
        <v>6.28</v>
      </c>
      <c r="I33" s="1">
        <v>12778</v>
      </c>
      <c r="K33" s="1">
        <v>6.08</v>
      </c>
      <c r="L33" s="1">
        <v>1</v>
      </c>
      <c r="M33" s="7"/>
      <c r="N33" s="2">
        <f>C33</f>
        <v>24.2</v>
      </c>
      <c r="O33" s="8">
        <f>0.001316*((D33*25.4)-(2.5*2053/100))</f>
        <v>0.94594474799999972</v>
      </c>
      <c r="P33" s="9">
        <f>(O33*(G33/1000000))/(0.08205*(N33+273.15))</f>
        <v>3.8772092668664606E-5</v>
      </c>
      <c r="Q33" s="9"/>
      <c r="R33" s="101"/>
      <c r="S33" s="101"/>
      <c r="T33" s="101"/>
      <c r="U33" s="101"/>
      <c r="V33" s="101"/>
      <c r="W33" s="101"/>
      <c r="X33" s="82">
        <f>IF(H33&gt;300,((0.0000000002*H33^2)+(0.0001*H33)+0.0207),((-0.00000001*H33^2)+(0.0001*H33)+0.00008))</f>
        <v>7.0760561600000007E-4</v>
      </c>
      <c r="Y33" s="75">
        <f>(0.00008*K33^2)+(0.008*K33)+0.1202</f>
        <v>0.17179731200000001</v>
      </c>
      <c r="Z33" s="10">
        <f t="shared" si="4"/>
        <v>0.70760561600000005</v>
      </c>
      <c r="AA33" s="10">
        <f t="shared" si="5"/>
        <v>171.79731200000001</v>
      </c>
      <c r="AB33" s="13">
        <f>IF(H33&lt;601, ((-0.00003*H33^2)+(0.2671*H33)+0.4766), (IF(H33&lt;19001,((0.1503*H33)+59.75),((0.000005*H33^2)-(0.0565*H33)+2184))))</f>
        <v>2.1528048480000002</v>
      </c>
      <c r="AC33" s="13">
        <f>(0.0518*K33^2)+(27.217*K33)+116.22</f>
        <v>283.61421952000001</v>
      </c>
      <c r="AN33" s="1">
        <v>31</v>
      </c>
      <c r="AO33" s="1">
        <v>1</v>
      </c>
    </row>
    <row r="34" spans="1:41" s="1" customFormat="1" ht="14.4" x14ac:dyDescent="0.3">
      <c r="A34" s="6">
        <v>42130</v>
      </c>
      <c r="B34" s="6"/>
      <c r="C34" s="2">
        <v>24.2</v>
      </c>
      <c r="D34" s="2">
        <v>30.32</v>
      </c>
      <c r="E34" s="1" t="s">
        <v>89</v>
      </c>
      <c r="F34" s="101" t="s">
        <v>90</v>
      </c>
      <c r="G34" s="1">
        <v>1000</v>
      </c>
      <c r="H34" s="1">
        <v>6.19</v>
      </c>
      <c r="I34" s="1">
        <v>12778</v>
      </c>
      <c r="K34" s="1">
        <v>4.4000000000000004</v>
      </c>
      <c r="L34" s="1">
        <v>1</v>
      </c>
      <c r="M34" s="7"/>
      <c r="N34" s="2">
        <f t="shared" ref="N34:N36" si="34">C34</f>
        <v>24.2</v>
      </c>
      <c r="O34" s="8">
        <f t="shared" ref="O34:O36" si="35">0.001316*((D34*25.4)-(2.5*2053/100))</f>
        <v>0.94594474799999972</v>
      </c>
      <c r="P34" s="9">
        <f t="shared" ref="P34:P36" si="36">(O34*(G34/1000000))/(0.08205*(N34+273.15))</f>
        <v>3.8772092668664606E-5</v>
      </c>
      <c r="Q34" s="9"/>
      <c r="R34" s="101"/>
      <c r="S34" s="101"/>
      <c r="T34" s="101"/>
      <c r="U34" s="101"/>
      <c r="V34" s="101"/>
      <c r="W34" s="101"/>
      <c r="X34" s="82">
        <f t="shared" ref="X34:X36" si="37">IF(H34&gt;300,((0.0000000002*H34^2)+(0.0001*H34)+0.0207),((-0.00000001*H34^2)+(0.0001*H34)+0.00008))</f>
        <v>6.9861683900000011E-4</v>
      </c>
      <c r="Y34" s="75">
        <f t="shared" ref="Y34:Y36" si="38">(0.00008*K34^2)+(0.008*K34)+0.1202</f>
        <v>0.1569488</v>
      </c>
      <c r="Z34" s="10">
        <f t="shared" si="4"/>
        <v>0.69861683900000016</v>
      </c>
      <c r="AA34" s="10">
        <f t="shared" si="5"/>
        <v>156.94879999999998</v>
      </c>
      <c r="AB34" s="13">
        <f t="shared" ref="AB34:AB36" si="39">IF(H34&lt;601, ((-0.00003*H34^2)+(0.2671*H34)+0.4766), (IF(H34&lt;19001,((0.1503*H34)+59.75),((0.000005*H34^2)-(0.0565*H34)+2184))))</f>
        <v>2.128799517</v>
      </c>
      <c r="AC34" s="13">
        <f>(0.0518*K34^2)+(27.217*K34)+116.22</f>
        <v>236.97764799999999</v>
      </c>
      <c r="AN34" s="1">
        <v>32</v>
      </c>
      <c r="AO34" s="1">
        <v>1</v>
      </c>
    </row>
    <row r="35" spans="1:41" s="1" customFormat="1" ht="14.4" x14ac:dyDescent="0.3">
      <c r="A35" s="6">
        <v>42130</v>
      </c>
      <c r="B35" s="6"/>
      <c r="C35" s="2">
        <v>24.2</v>
      </c>
      <c r="D35" s="2">
        <v>30.32</v>
      </c>
      <c r="E35" s="1" t="s">
        <v>89</v>
      </c>
      <c r="F35" s="101" t="s">
        <v>90</v>
      </c>
      <c r="G35" s="1">
        <v>1000</v>
      </c>
      <c r="H35" s="1">
        <v>6.57</v>
      </c>
      <c r="I35" s="1">
        <v>12903</v>
      </c>
      <c r="K35" s="1">
        <v>5.29</v>
      </c>
      <c r="L35" s="1">
        <v>1</v>
      </c>
      <c r="M35" s="7"/>
      <c r="N35" s="2">
        <f t="shared" si="34"/>
        <v>24.2</v>
      </c>
      <c r="O35" s="8">
        <f t="shared" si="35"/>
        <v>0.94594474799999972</v>
      </c>
      <c r="P35" s="9">
        <f t="shared" si="36"/>
        <v>3.8772092668664606E-5</v>
      </c>
      <c r="Q35" s="9"/>
      <c r="R35" s="101"/>
      <c r="S35" s="101"/>
      <c r="T35" s="101"/>
      <c r="U35" s="101"/>
      <c r="V35" s="101"/>
      <c r="W35" s="101"/>
      <c r="X35" s="82">
        <f t="shared" si="37"/>
        <v>7.3656835100000006E-4</v>
      </c>
      <c r="Y35" s="75">
        <f t="shared" si="38"/>
        <v>0.16475872800000002</v>
      </c>
      <c r="Z35" s="10">
        <f t="shared" si="4"/>
        <v>0.73656835099999995</v>
      </c>
      <c r="AA35" s="10">
        <f t="shared" si="5"/>
        <v>164.75872800000002</v>
      </c>
      <c r="AB35" s="13">
        <f t="shared" si="39"/>
        <v>2.2301520529999999</v>
      </c>
      <c r="AC35" s="13">
        <f>(0.0518*K35^2)+(27.217*K35)+116.22</f>
        <v>261.64750637999998</v>
      </c>
      <c r="AN35" s="1">
        <v>33</v>
      </c>
      <c r="AO35" s="1">
        <v>1</v>
      </c>
    </row>
    <row r="36" spans="1:41" s="101" customFormat="1" ht="14.4" x14ac:dyDescent="0.3">
      <c r="A36" s="6">
        <v>42130</v>
      </c>
      <c r="C36" s="2">
        <v>24.1</v>
      </c>
      <c r="D36" s="2">
        <v>30.3</v>
      </c>
      <c r="E36" s="1" t="s">
        <v>89</v>
      </c>
      <c r="F36" s="101" t="s">
        <v>90</v>
      </c>
      <c r="G36" s="1">
        <v>1000</v>
      </c>
      <c r="H36" s="1">
        <v>5.7</v>
      </c>
      <c r="I36" s="1">
        <v>12515</v>
      </c>
      <c r="J36" s="1"/>
      <c r="K36" s="1">
        <v>4.16</v>
      </c>
      <c r="L36" s="1">
        <v>1</v>
      </c>
      <c r="M36" s="7"/>
      <c r="N36" s="2">
        <f t="shared" si="34"/>
        <v>24.1</v>
      </c>
      <c r="O36" s="8">
        <f t="shared" si="35"/>
        <v>0.94527621999999989</v>
      </c>
      <c r="P36" s="9">
        <f t="shared" si="36"/>
        <v>3.8757725627309848E-5</v>
      </c>
      <c r="Q36" s="9"/>
      <c r="X36" s="82">
        <f t="shared" si="37"/>
        <v>6.4967510000000009E-4</v>
      </c>
      <c r="Y36" s="75">
        <f t="shared" si="38"/>
        <v>0.15486444800000002</v>
      </c>
      <c r="Z36" s="10">
        <f t="shared" si="4"/>
        <v>0.64967510000000006</v>
      </c>
      <c r="AA36" s="10">
        <f t="shared" si="5"/>
        <v>154.86444800000001</v>
      </c>
      <c r="AB36" s="13">
        <f t="shared" si="39"/>
        <v>1.9980953000000001</v>
      </c>
      <c r="AC36" s="13">
        <f t="shared" ref="AC36" si="40">(0.0518*K36^2)+(27.217*K36)+116.22</f>
        <v>230.33915008</v>
      </c>
      <c r="AD36" s="1"/>
      <c r="AE36" s="1"/>
      <c r="AF36" s="1"/>
      <c r="AG36" s="1"/>
      <c r="AH36" s="1"/>
      <c r="AI36" s="1"/>
      <c r="AJ36" s="1"/>
      <c r="AK36" s="1"/>
      <c r="AN36" s="1">
        <v>34</v>
      </c>
      <c r="AO36" s="1">
        <v>1</v>
      </c>
    </row>
    <row r="37" spans="1:41" s="1" customFormat="1" ht="14.4" x14ac:dyDescent="0.3">
      <c r="A37" s="6">
        <v>42136</v>
      </c>
      <c r="B37" s="32">
        <v>0.46875</v>
      </c>
      <c r="C37" s="2">
        <v>26.5</v>
      </c>
      <c r="D37" s="2">
        <v>30.16</v>
      </c>
      <c r="E37" s="1" t="s">
        <v>89</v>
      </c>
      <c r="F37" s="101" t="s">
        <v>90</v>
      </c>
      <c r="G37" s="1">
        <v>1000</v>
      </c>
      <c r="H37" s="1">
        <v>8.9600000000000009</v>
      </c>
      <c r="I37" s="1">
        <v>12564</v>
      </c>
      <c r="K37" s="1">
        <v>5.92</v>
      </c>
      <c r="L37" s="1">
        <v>1</v>
      </c>
      <c r="M37" s="7"/>
      <c r="N37" s="2">
        <f>C37</f>
        <v>26.5</v>
      </c>
      <c r="O37" s="8">
        <f>0.001316*((D37*25.4)-(2.5*2053/100))</f>
        <v>0.94059652399999982</v>
      </c>
      <c r="P37" s="9">
        <f>(O37*(G37/1000000))/(0.08205*(N37+273.15))</f>
        <v>3.8256963979812729E-5</v>
      </c>
      <c r="Q37" s="9"/>
      <c r="R37" s="101"/>
      <c r="S37" s="101"/>
      <c r="T37" s="101"/>
      <c r="U37" s="101"/>
      <c r="V37" s="101"/>
      <c r="W37" s="101"/>
      <c r="X37" s="82">
        <f>IF(H37&gt;300,((0.0000000002*H37^2)+(0.0001*H37)+0.0207),((-0.00000001*H37^2)+(0.0001*H37)+0.00008))</f>
        <v>9.7519718400000005E-4</v>
      </c>
      <c r="Y37" s="75">
        <f>(0.00008*K37^2)+(0.008*K37)+0.1202</f>
        <v>0.170363712</v>
      </c>
      <c r="Z37" s="10">
        <f t="shared" si="4"/>
        <v>0.97519718399999999</v>
      </c>
      <c r="AA37" s="10">
        <f t="shared" si="5"/>
        <v>170.36371199999999</v>
      </c>
      <c r="AB37" s="13">
        <f>IF(H37&lt;601, ((-0.00003*H37^2)+(0.2671*H37)+0.4766), (IF(H37&lt;19001,((0.1503*H37)+59.75),((0.000005*H37^2)-(0.0565*H37)+2184))))</f>
        <v>2.867407552</v>
      </c>
      <c r="AC37" s="13">
        <f>(0.0518*K37^2)+(27.217*K37)+116.22</f>
        <v>279.16004351999999</v>
      </c>
      <c r="AN37" s="1">
        <v>35</v>
      </c>
      <c r="AO37" s="1">
        <v>1</v>
      </c>
    </row>
    <row r="38" spans="1:41" s="1" customFormat="1" ht="14.4" x14ac:dyDescent="0.3">
      <c r="A38" s="6">
        <v>42136</v>
      </c>
      <c r="B38" s="6"/>
      <c r="C38" s="2">
        <v>26.5</v>
      </c>
      <c r="D38" s="2">
        <v>30.16</v>
      </c>
      <c r="E38" s="1" t="s">
        <v>89</v>
      </c>
      <c r="F38" s="101" t="s">
        <v>90</v>
      </c>
      <c r="G38" s="1">
        <v>1000</v>
      </c>
      <c r="H38" s="1">
        <v>10.119999999999999</v>
      </c>
      <c r="I38" s="1">
        <v>12788</v>
      </c>
      <c r="K38" s="1">
        <v>3.34</v>
      </c>
      <c r="L38" s="1">
        <v>1</v>
      </c>
      <c r="M38" s="7"/>
      <c r="N38" s="2">
        <f t="shared" ref="N38:N42" si="41">C38</f>
        <v>26.5</v>
      </c>
      <c r="O38" s="8">
        <f t="shared" ref="O38:O42" si="42">0.001316*((D38*25.4)-(2.5*2053/100))</f>
        <v>0.94059652399999982</v>
      </c>
      <c r="P38" s="9">
        <f t="shared" ref="P38:P42" si="43">(O38*(G38/1000000))/(0.08205*(N38+273.15))</f>
        <v>3.8256963979812729E-5</v>
      </c>
      <c r="Q38" s="9"/>
      <c r="R38" s="101"/>
      <c r="S38" s="101"/>
      <c r="T38" s="101"/>
      <c r="U38" s="101"/>
      <c r="V38" s="101"/>
      <c r="W38" s="101"/>
      <c r="X38" s="82">
        <f t="shared" ref="X38:X42" si="44">IF(H38&gt;300,((0.0000000002*H38^2)+(0.0001*H38)+0.0207),((-0.00000001*H38^2)+(0.0001*H38)+0.00008))</f>
        <v>1.0909758559999999E-3</v>
      </c>
      <c r="Y38" s="75">
        <f t="shared" ref="Y38:Y42" si="45">(0.00008*K38^2)+(0.008*K38)+0.1202</f>
        <v>0.14781244800000001</v>
      </c>
      <c r="Z38" s="10">
        <f t="shared" si="4"/>
        <v>1.090975856</v>
      </c>
      <c r="AA38" s="10">
        <f t="shared" si="5"/>
        <v>147.81244800000002</v>
      </c>
      <c r="AB38" s="13">
        <f t="shared" ref="AB38:AB42" si="46">IF(H38&lt;601, ((-0.00003*H38^2)+(0.2671*H38)+0.4766), (IF(H38&lt;19001,((0.1503*H38)+59.75),((0.000005*H38^2)-(0.0565*H38)+2184))))</f>
        <v>3.1765795679999997</v>
      </c>
      <c r="AC38" s="13">
        <f>(0.0518*K38^2)+(27.217*K38)+116.22</f>
        <v>207.70264007999998</v>
      </c>
      <c r="AN38" s="1">
        <v>36</v>
      </c>
      <c r="AO38" s="1">
        <v>1</v>
      </c>
    </row>
    <row r="39" spans="1:41" s="1" customFormat="1" ht="14.4" x14ac:dyDescent="0.3">
      <c r="A39" s="6">
        <v>42136</v>
      </c>
      <c r="B39" s="6"/>
      <c r="C39" s="2">
        <v>26.5</v>
      </c>
      <c r="D39" s="2">
        <v>30.16</v>
      </c>
      <c r="E39" s="1" t="s">
        <v>89</v>
      </c>
      <c r="F39" s="101" t="s">
        <v>90</v>
      </c>
      <c r="G39" s="1">
        <v>1000</v>
      </c>
      <c r="H39" s="1">
        <v>5.91</v>
      </c>
      <c r="I39" s="1">
        <v>12778</v>
      </c>
      <c r="K39" s="1">
        <v>3.61</v>
      </c>
      <c r="L39" s="1">
        <v>1</v>
      </c>
      <c r="M39" s="7"/>
      <c r="N39" s="2">
        <f t="shared" si="41"/>
        <v>26.5</v>
      </c>
      <c r="O39" s="8">
        <f t="shared" si="42"/>
        <v>0.94059652399999982</v>
      </c>
      <c r="P39" s="9">
        <f t="shared" si="43"/>
        <v>3.8256963979812729E-5</v>
      </c>
      <c r="Q39" s="9"/>
      <c r="R39" s="101"/>
      <c r="S39" s="101"/>
      <c r="T39" s="101"/>
      <c r="U39" s="101"/>
      <c r="V39" s="101"/>
      <c r="W39" s="101"/>
      <c r="X39" s="82">
        <f t="shared" si="44"/>
        <v>6.7065071900000001E-4</v>
      </c>
      <c r="Y39" s="75">
        <f t="shared" si="45"/>
        <v>0.15012256800000001</v>
      </c>
      <c r="Z39" s="10">
        <f t="shared" si="4"/>
        <v>0.67065071899999995</v>
      </c>
      <c r="AA39" s="10">
        <f t="shared" si="5"/>
        <v>150.122568</v>
      </c>
      <c r="AB39" s="13">
        <f t="shared" si="46"/>
        <v>2.0541131570000002</v>
      </c>
      <c r="AC39" s="13">
        <f>(0.0518*K39^2)+(27.217*K39)+116.22</f>
        <v>215.14843278000001</v>
      </c>
      <c r="AN39" s="1">
        <v>37</v>
      </c>
      <c r="AO39" s="1">
        <v>1</v>
      </c>
    </row>
    <row r="40" spans="1:41" s="101" customFormat="1" ht="14.4" x14ac:dyDescent="0.3">
      <c r="A40" s="6">
        <v>42136</v>
      </c>
      <c r="B40" s="128">
        <v>0.63541666666666663</v>
      </c>
      <c r="C40" s="2">
        <v>25.6</v>
      </c>
      <c r="D40" s="2">
        <v>30.1</v>
      </c>
      <c r="E40" s="1" t="s">
        <v>89</v>
      </c>
      <c r="F40" s="101" t="s">
        <v>90</v>
      </c>
      <c r="G40" s="1">
        <v>1000</v>
      </c>
      <c r="H40" s="1">
        <v>7.62</v>
      </c>
      <c r="I40" s="1">
        <v>12567</v>
      </c>
      <c r="J40" s="1"/>
      <c r="K40" s="1">
        <v>0.85</v>
      </c>
      <c r="L40" s="1">
        <v>2</v>
      </c>
      <c r="M40" s="7" t="s">
        <v>562</v>
      </c>
      <c r="N40" s="2">
        <f t="shared" si="41"/>
        <v>25.6</v>
      </c>
      <c r="O40" s="8">
        <f t="shared" si="42"/>
        <v>0.93859093999999976</v>
      </c>
      <c r="P40" s="9">
        <f t="shared" si="43"/>
        <v>3.8290396048944529E-5</v>
      </c>
      <c r="Q40" s="9"/>
      <c r="X40" s="82">
        <f t="shared" si="44"/>
        <v>8.4141935600000003E-4</v>
      </c>
      <c r="Y40" s="75">
        <f t="shared" si="45"/>
        <v>0.1270578</v>
      </c>
      <c r="Z40" s="10">
        <f t="shared" si="4"/>
        <v>0.84141935599999995</v>
      </c>
      <c r="AA40" s="10">
        <f t="shared" si="5"/>
        <v>127.0578</v>
      </c>
      <c r="AB40" s="13">
        <f t="shared" si="46"/>
        <v>2.5101600680000002</v>
      </c>
      <c r="AC40" s="13">
        <f t="shared" ref="AC40:AC42" si="47">(0.0518*K40^2)+(27.217*K40)+116.22</f>
        <v>139.3918755</v>
      </c>
      <c r="AD40" s="1"/>
      <c r="AE40" s="1"/>
      <c r="AF40" s="1"/>
      <c r="AG40" s="1"/>
      <c r="AH40" s="1"/>
      <c r="AI40" s="1"/>
      <c r="AJ40" s="1"/>
      <c r="AK40" s="1"/>
      <c r="AN40" s="1">
        <v>38</v>
      </c>
      <c r="AO40" s="1">
        <v>1</v>
      </c>
    </row>
    <row r="41" spans="1:41" s="101" customFormat="1" ht="14.4" x14ac:dyDescent="0.3">
      <c r="A41" s="6">
        <v>42137</v>
      </c>
      <c r="C41" s="2">
        <v>25.6</v>
      </c>
      <c r="D41" s="2">
        <v>30.1</v>
      </c>
      <c r="E41" s="1" t="s">
        <v>89</v>
      </c>
      <c r="F41" s="101" t="s">
        <v>90</v>
      </c>
      <c r="G41" s="1">
        <v>1000</v>
      </c>
      <c r="H41" s="1">
        <v>5.77</v>
      </c>
      <c r="I41" s="1">
        <v>12565</v>
      </c>
      <c r="J41" s="1"/>
      <c r="K41" s="1">
        <v>3.8</v>
      </c>
      <c r="L41" s="1">
        <v>2</v>
      </c>
      <c r="M41" s="7" t="s">
        <v>562</v>
      </c>
      <c r="N41" s="2">
        <f t="shared" si="41"/>
        <v>25.6</v>
      </c>
      <c r="O41" s="8">
        <f t="shared" si="42"/>
        <v>0.93859093999999976</v>
      </c>
      <c r="P41" s="9">
        <f t="shared" si="43"/>
        <v>3.8290396048944529E-5</v>
      </c>
      <c r="Q41" s="9"/>
      <c r="X41" s="82">
        <f t="shared" si="44"/>
        <v>6.5666707100000003E-4</v>
      </c>
      <c r="Y41" s="75">
        <f t="shared" si="45"/>
        <v>0.15175520000000001</v>
      </c>
      <c r="Z41" s="10">
        <f t="shared" si="4"/>
        <v>0.6566670710000001</v>
      </c>
      <c r="AA41" s="10">
        <f t="shared" si="5"/>
        <v>151.7552</v>
      </c>
      <c r="AB41" s="13">
        <f t="shared" si="46"/>
        <v>2.0167682130000002</v>
      </c>
      <c r="AC41" s="13">
        <f t="shared" si="47"/>
        <v>220.39259199999998</v>
      </c>
      <c r="AD41" s="1"/>
      <c r="AE41" s="1"/>
      <c r="AF41" s="1"/>
      <c r="AG41" s="1"/>
      <c r="AH41" s="1"/>
      <c r="AI41" s="1"/>
      <c r="AJ41" s="1"/>
      <c r="AK41" s="1"/>
      <c r="AN41" s="1">
        <v>39</v>
      </c>
      <c r="AO41" s="1">
        <v>1</v>
      </c>
    </row>
    <row r="42" spans="1:41" s="101" customFormat="1" ht="14.4" x14ac:dyDescent="0.3">
      <c r="A42" s="6">
        <v>42138</v>
      </c>
      <c r="C42" s="2">
        <v>25.6</v>
      </c>
      <c r="D42" s="2">
        <v>30.1</v>
      </c>
      <c r="E42" s="1" t="s">
        <v>89</v>
      </c>
      <c r="F42" s="101" t="s">
        <v>90</v>
      </c>
      <c r="G42" s="1">
        <v>1000</v>
      </c>
      <c r="H42" s="1">
        <v>9.27</v>
      </c>
      <c r="I42" s="1">
        <v>12706</v>
      </c>
      <c r="J42" s="1"/>
      <c r="K42" s="1">
        <v>0.98</v>
      </c>
      <c r="L42" s="1">
        <v>2</v>
      </c>
      <c r="M42" s="7" t="s">
        <v>562</v>
      </c>
      <c r="N42" s="2">
        <f t="shared" si="41"/>
        <v>25.6</v>
      </c>
      <c r="O42" s="8">
        <f t="shared" si="42"/>
        <v>0.93859093999999976</v>
      </c>
      <c r="P42" s="9">
        <f t="shared" si="43"/>
        <v>3.8290396048944529E-5</v>
      </c>
      <c r="Q42" s="9"/>
      <c r="X42" s="82">
        <f t="shared" si="44"/>
        <v>1.0061406710000001E-3</v>
      </c>
      <c r="Y42" s="75">
        <f t="shared" si="45"/>
        <v>0.12811683200000001</v>
      </c>
      <c r="Z42" s="10">
        <f t="shared" si="4"/>
        <v>1.006140671</v>
      </c>
      <c r="AA42" s="10">
        <f t="shared" si="5"/>
        <v>128.11683200000002</v>
      </c>
      <c r="AB42" s="13">
        <f t="shared" si="46"/>
        <v>2.950039013</v>
      </c>
      <c r="AC42" s="13">
        <f t="shared" si="47"/>
        <v>142.94240872</v>
      </c>
      <c r="AD42" s="1"/>
      <c r="AE42" s="1"/>
      <c r="AF42" s="1"/>
      <c r="AG42" s="1"/>
      <c r="AH42" s="1"/>
      <c r="AI42" s="1"/>
      <c r="AJ42" s="1"/>
      <c r="AK42" s="1"/>
      <c r="AN42" s="1">
        <v>40</v>
      </c>
      <c r="AO42" s="1">
        <v>1</v>
      </c>
    </row>
    <row r="43" spans="1:41" s="1" customFormat="1" ht="14.4" x14ac:dyDescent="0.3">
      <c r="A43" s="6">
        <v>42143</v>
      </c>
      <c r="B43" s="32">
        <v>0.41666666666666669</v>
      </c>
      <c r="C43" s="2">
        <v>26.8</v>
      </c>
      <c r="D43" s="2">
        <v>30.15</v>
      </c>
      <c r="E43" s="1" t="s">
        <v>89</v>
      </c>
      <c r="F43" s="101" t="s">
        <v>90</v>
      </c>
      <c r="G43" s="1">
        <v>1000</v>
      </c>
      <c r="H43" s="1">
        <v>6.46</v>
      </c>
      <c r="I43" s="1">
        <v>12728</v>
      </c>
      <c r="K43" s="1">
        <v>4.8600000000000003</v>
      </c>
      <c r="L43" s="1">
        <v>1</v>
      </c>
      <c r="M43" s="7"/>
      <c r="N43" s="2">
        <f>C43</f>
        <v>26.8</v>
      </c>
      <c r="O43" s="8">
        <f>0.001316*((D43*25.4)-(2.5*2053/100))</f>
        <v>0.94026225999999979</v>
      </c>
      <c r="P43" s="9">
        <f>(O43*(G43/1000000))/(0.08205*(N43+273.15))</f>
        <v>3.8205118687768284E-5</v>
      </c>
      <c r="Q43" s="9"/>
      <c r="R43" s="101"/>
      <c r="S43" s="101"/>
      <c r="T43" s="101"/>
      <c r="U43" s="101"/>
      <c r="V43" s="101"/>
      <c r="W43" s="101"/>
      <c r="X43" s="82">
        <f>IF(H43&gt;300,((0.0000000002*H43^2)+(0.0001*H43)+0.0207),((-0.00000001*H43^2)+(0.0001*H43)+0.00008))</f>
        <v>7.2558268399999998E-4</v>
      </c>
      <c r="Y43" s="75">
        <f>(0.00008*K43^2)+(0.008*K43)+0.1202</f>
        <v>0.16096956800000001</v>
      </c>
      <c r="Z43" s="24">
        <f t="shared" si="4"/>
        <v>0.72558268399999992</v>
      </c>
      <c r="AA43" s="10">
        <f t="shared" si="5"/>
        <v>160.96956800000001</v>
      </c>
      <c r="AB43" s="13">
        <f>IF(H43&lt;601, ((-0.00003*H43^2)+(0.2671*H43)+0.4766), (IF(H43&lt;19001,((0.1503*H43)+59.75),((0.000005*H43^2)-(0.0565*H43)+2184))))</f>
        <v>2.2008140520000001</v>
      </c>
      <c r="AC43" s="13">
        <f>(0.0518*K43^2)+(27.217*K43)+116.22</f>
        <v>249.71811528000001</v>
      </c>
      <c r="AN43" s="1">
        <v>41</v>
      </c>
      <c r="AO43" s="1">
        <v>1</v>
      </c>
    </row>
    <row r="44" spans="1:41" s="1" customFormat="1" ht="14.4" x14ac:dyDescent="0.3">
      <c r="A44" s="6">
        <v>42143</v>
      </c>
      <c r="B44" s="6"/>
      <c r="C44" s="2">
        <v>26.8</v>
      </c>
      <c r="D44" s="2">
        <v>30.15</v>
      </c>
      <c r="E44" s="1" t="s">
        <v>89</v>
      </c>
      <c r="F44" s="101" t="s">
        <v>90</v>
      </c>
      <c r="G44" s="1">
        <v>1000</v>
      </c>
      <c r="H44" s="1">
        <v>5.78</v>
      </c>
      <c r="I44" s="1">
        <v>12765</v>
      </c>
      <c r="K44" s="1">
        <v>4.9000000000000004</v>
      </c>
      <c r="L44" s="1">
        <v>1</v>
      </c>
      <c r="M44" s="7"/>
      <c r="N44" s="2">
        <f t="shared" ref="N44:N46" si="48">C44</f>
        <v>26.8</v>
      </c>
      <c r="O44" s="8">
        <f t="shared" ref="O44:O46" si="49">0.001316*((D44*25.4)-(2.5*2053/100))</f>
        <v>0.94026225999999979</v>
      </c>
      <c r="P44" s="9">
        <f t="shared" ref="P44:P46" si="50">(O44*(G44/1000000))/(0.08205*(N44+273.15))</f>
        <v>3.8205118687768284E-5</v>
      </c>
      <c r="Q44" s="9"/>
      <c r="R44" s="101"/>
      <c r="S44" s="101"/>
      <c r="T44" s="101"/>
      <c r="U44" s="101"/>
      <c r="V44" s="101"/>
      <c r="W44" s="101"/>
      <c r="X44" s="82">
        <f t="shared" ref="X44:X46" si="51">IF(H44&gt;300,((0.0000000002*H44^2)+(0.0001*H44)+0.0207),((-0.00000001*H44^2)+(0.0001*H44)+0.00008))</f>
        <v>6.5766591600000001E-4</v>
      </c>
      <c r="Y44" s="75">
        <f t="shared" ref="Y44:Y46" si="52">(0.00008*K44^2)+(0.008*K44)+0.1202</f>
        <v>0.16132080000000001</v>
      </c>
      <c r="Z44" s="24">
        <f t="shared" si="4"/>
        <v>0.65766591600000002</v>
      </c>
      <c r="AA44" s="10">
        <f t="shared" si="5"/>
        <v>161.32080000000002</v>
      </c>
      <c r="AB44" s="13">
        <f t="shared" ref="AB44:AB46" si="53">IF(H44&lt;601, ((-0.00003*H44^2)+(0.2671*H44)+0.4766), (IF(H44&lt;19001,((0.1503*H44)+59.75),((0.000005*H44^2)-(0.0565*H44)+2184))))</f>
        <v>2.0194357480000003</v>
      </c>
      <c r="AC44" s="13">
        <f>(0.0518*K44^2)+(27.217*K44)+116.22</f>
        <v>250.82701800000001</v>
      </c>
      <c r="AN44" s="1">
        <v>42</v>
      </c>
      <c r="AO44" s="1">
        <v>1</v>
      </c>
    </row>
    <row r="45" spans="1:41" s="1" customFormat="1" ht="14.4" x14ac:dyDescent="0.3">
      <c r="A45" s="6">
        <v>42143</v>
      </c>
      <c r="B45" s="6"/>
      <c r="C45" s="2">
        <v>26.8</v>
      </c>
      <c r="D45" s="2">
        <v>30.15</v>
      </c>
      <c r="E45" s="1" t="s">
        <v>89</v>
      </c>
      <c r="F45" s="101" t="s">
        <v>90</v>
      </c>
      <c r="G45" s="1">
        <v>1000</v>
      </c>
      <c r="H45" s="1">
        <v>6.39</v>
      </c>
      <c r="I45" s="1">
        <v>12783</v>
      </c>
      <c r="K45" s="1">
        <v>5.36</v>
      </c>
      <c r="L45" s="1">
        <v>1</v>
      </c>
      <c r="M45" s="7"/>
      <c r="N45" s="2">
        <f t="shared" si="48"/>
        <v>26.8</v>
      </c>
      <c r="O45" s="8">
        <f t="shared" si="49"/>
        <v>0.94026225999999979</v>
      </c>
      <c r="P45" s="9">
        <f t="shared" si="50"/>
        <v>3.8205118687768284E-5</v>
      </c>
      <c r="Q45" s="9"/>
      <c r="R45" s="101"/>
      <c r="S45" s="101"/>
      <c r="T45" s="101"/>
      <c r="U45" s="101"/>
      <c r="V45" s="101"/>
      <c r="W45" s="101"/>
      <c r="X45" s="82">
        <f t="shared" si="51"/>
        <v>7.1859167899999998E-4</v>
      </c>
      <c r="Y45" s="75">
        <f t="shared" si="52"/>
        <v>0.165378368</v>
      </c>
      <c r="Z45" s="24">
        <f t="shared" si="4"/>
        <v>0.71859167899999998</v>
      </c>
      <c r="AA45" s="10">
        <f t="shared" si="5"/>
        <v>165.37836799999999</v>
      </c>
      <c r="AB45" s="13">
        <f t="shared" si="53"/>
        <v>2.182144037</v>
      </c>
      <c r="AC45" s="13">
        <f>(0.0518*K45^2)+(27.217*K45)+116.22</f>
        <v>263.59131328000001</v>
      </c>
      <c r="AN45" s="1">
        <v>43</v>
      </c>
      <c r="AO45" s="1">
        <v>1</v>
      </c>
    </row>
    <row r="46" spans="1:41" s="101" customFormat="1" ht="14.4" x14ac:dyDescent="0.3">
      <c r="A46" s="6">
        <v>42143</v>
      </c>
      <c r="C46" s="2">
        <v>25.3</v>
      </c>
      <c r="D46" s="2">
        <v>30.13</v>
      </c>
      <c r="E46" s="1" t="s">
        <v>89</v>
      </c>
      <c r="F46" s="101" t="s">
        <v>90</v>
      </c>
      <c r="G46" s="1">
        <v>1000</v>
      </c>
      <c r="H46" s="1">
        <v>5.63</v>
      </c>
      <c r="I46" s="1">
        <v>12544</v>
      </c>
      <c r="J46" s="1"/>
      <c r="K46" s="1">
        <v>4.99</v>
      </c>
      <c r="L46" s="1">
        <v>1</v>
      </c>
      <c r="M46" s="7"/>
      <c r="N46" s="2">
        <f t="shared" si="48"/>
        <v>25.3</v>
      </c>
      <c r="O46" s="8">
        <f t="shared" si="49"/>
        <v>0.93959373199999974</v>
      </c>
      <c r="P46" s="9">
        <f t="shared" si="50"/>
        <v>3.8369835946009481E-5</v>
      </c>
      <c r="Q46" s="9"/>
      <c r="X46" s="82">
        <f t="shared" si="51"/>
        <v>6.42683031E-4</v>
      </c>
      <c r="Y46" s="75">
        <f t="shared" si="52"/>
        <v>0.162112008</v>
      </c>
      <c r="Z46" s="24">
        <f t="shared" si="4"/>
        <v>0.64268303100000002</v>
      </c>
      <c r="AA46" s="10">
        <f t="shared" si="5"/>
        <v>162.112008</v>
      </c>
      <c r="AB46" s="13">
        <f t="shared" si="53"/>
        <v>1.9794220930000002</v>
      </c>
      <c r="AC46" s="13">
        <f t="shared" ref="AC46" si="54">(0.0518*K46^2)+(27.217*K46)+116.22</f>
        <v>253.32265518</v>
      </c>
      <c r="AD46" s="1"/>
      <c r="AE46" s="1"/>
      <c r="AF46" s="1"/>
      <c r="AG46" s="1"/>
      <c r="AN46" s="1">
        <v>44</v>
      </c>
      <c r="AO46" s="1">
        <v>1</v>
      </c>
    </row>
    <row r="47" spans="1:41" s="1" customFormat="1" ht="14.4" x14ac:dyDescent="0.3">
      <c r="A47" s="6">
        <v>42150</v>
      </c>
      <c r="B47" s="32">
        <v>0.43055555555555558</v>
      </c>
      <c r="C47" s="2">
        <v>24.6</v>
      </c>
      <c r="D47" s="2">
        <v>30.34</v>
      </c>
      <c r="E47" s="1" t="s">
        <v>89</v>
      </c>
      <c r="F47" s="101"/>
      <c r="G47" s="1">
        <v>1000</v>
      </c>
      <c r="H47" s="1">
        <v>6.55</v>
      </c>
      <c r="I47" s="1">
        <v>12954</v>
      </c>
      <c r="K47" s="1">
        <v>4.5</v>
      </c>
      <c r="L47" s="1">
        <v>1</v>
      </c>
      <c r="M47" s="7"/>
      <c r="N47" s="2">
        <f>C47</f>
        <v>24.6</v>
      </c>
      <c r="O47" s="8">
        <f>0.001316*((D47*25.4)-(2.5*2053/100))</f>
        <v>0.94661327599999978</v>
      </c>
      <c r="P47" s="9">
        <f>(O47*(G47/1000000))/(0.08205*(N47+273.15))</f>
        <v>3.8747370503230858E-5</v>
      </c>
      <c r="Q47" s="9"/>
      <c r="R47" s="101"/>
      <c r="S47" s="101"/>
      <c r="T47" s="101"/>
      <c r="U47" s="101"/>
      <c r="V47" s="101"/>
      <c r="W47" s="101"/>
      <c r="X47" s="82">
        <f>IF(H47&gt;300,((0.0000000002*H47^2)+(0.0001*H47)+0.0207),((-0.00000001*H47^2)+(0.0001*H47)+0.00008))</f>
        <v>7.3457097499999994E-4</v>
      </c>
      <c r="Y47" s="75">
        <f>(0.00008*K47^2)+(0.008*K47)+0.1202</f>
        <v>0.15782000000000002</v>
      </c>
      <c r="Z47" s="10">
        <f t="shared" si="4"/>
        <v>0.73457097500000001</v>
      </c>
      <c r="AA47" s="10">
        <f t="shared" si="5"/>
        <v>157.82000000000002</v>
      </c>
      <c r="AB47" s="13">
        <f>IF(H47&lt;601, ((-0.00003*H47^2)+(0.2671*H47)+0.4766), (IF(H47&lt;19001,((0.1503*H47)+59.75),((0.000005*H47^2)-(0.0565*H47)+2184))))</f>
        <v>2.224817925</v>
      </c>
      <c r="AC47" s="13">
        <f>(0.0518*K47^2)+(27.217*K47)+116.22</f>
        <v>239.74545000000001</v>
      </c>
      <c r="AN47" s="1">
        <v>45</v>
      </c>
      <c r="AO47" s="1">
        <v>1</v>
      </c>
    </row>
    <row r="48" spans="1:41" s="1" customFormat="1" ht="14.4" x14ac:dyDescent="0.3">
      <c r="A48" s="6">
        <v>42150</v>
      </c>
      <c r="B48" s="6"/>
      <c r="C48" s="2">
        <v>24.6</v>
      </c>
      <c r="D48" s="2">
        <v>30.34</v>
      </c>
      <c r="E48" s="1" t="s">
        <v>89</v>
      </c>
      <c r="F48" s="101"/>
      <c r="G48" s="1">
        <v>1000</v>
      </c>
      <c r="H48" s="1">
        <v>6.45</v>
      </c>
      <c r="I48" s="1">
        <v>13042</v>
      </c>
      <c r="K48" s="1">
        <v>4.1500000000000004</v>
      </c>
      <c r="L48" s="1">
        <v>1</v>
      </c>
      <c r="M48" s="7"/>
      <c r="N48" s="2">
        <f t="shared" ref="N48:N51" si="55">C48</f>
        <v>24.6</v>
      </c>
      <c r="O48" s="8">
        <f t="shared" ref="O48:O51" si="56">0.001316*((D48*25.4)-(2.5*2053/100))</f>
        <v>0.94661327599999978</v>
      </c>
      <c r="P48" s="9">
        <f t="shared" ref="P48:P51" si="57">(O48*(G48/1000000))/(0.08205*(N48+273.15))</f>
        <v>3.8747370503230858E-5</v>
      </c>
      <c r="Q48" s="9"/>
      <c r="R48" s="101"/>
      <c r="S48" s="101"/>
      <c r="T48" s="101"/>
      <c r="U48" s="101"/>
      <c r="V48" s="101"/>
      <c r="W48" s="101"/>
      <c r="X48" s="82">
        <f t="shared" ref="X48:X51" si="58">IF(H48&gt;300,((0.0000000002*H48^2)+(0.0001*H48)+0.0207),((-0.00000001*H48^2)+(0.0001*H48)+0.00008))</f>
        <v>7.2458397500000001E-4</v>
      </c>
      <c r="Y48" s="75">
        <f t="shared" ref="Y48:Y51" si="59">(0.00008*K48^2)+(0.008*K48)+0.1202</f>
        <v>0.15477779999999999</v>
      </c>
      <c r="Z48" s="10">
        <f t="shared" si="4"/>
        <v>0.72458397500000005</v>
      </c>
      <c r="AA48" s="10">
        <f t="shared" si="5"/>
        <v>154.77779999999998</v>
      </c>
      <c r="AB48" s="13">
        <f t="shared" ref="AB48:AB51" si="60">IF(H48&lt;601, ((-0.00003*H48^2)+(0.2671*H48)+0.4766), (IF(H48&lt;19001,((0.1503*H48)+59.75),((0.000005*H48^2)-(0.0565*H48)+2184))))</f>
        <v>2.1981469250000001</v>
      </c>
      <c r="AC48" s="13">
        <f>(0.0518*K48^2)+(27.217*K48)+116.22</f>
        <v>230.06267550000001</v>
      </c>
      <c r="AN48" s="1">
        <v>46</v>
      </c>
      <c r="AO48" s="1">
        <v>1</v>
      </c>
    </row>
    <row r="49" spans="1:41" s="1" customFormat="1" ht="14.4" x14ac:dyDescent="0.3">
      <c r="A49" s="6">
        <v>42150</v>
      </c>
      <c r="B49" s="6"/>
      <c r="C49" s="2">
        <v>24.6</v>
      </c>
      <c r="D49" s="2">
        <v>30.34</v>
      </c>
      <c r="E49" s="1" t="s">
        <v>89</v>
      </c>
      <c r="F49" s="101"/>
      <c r="G49" s="1">
        <v>1000</v>
      </c>
      <c r="H49" s="1">
        <v>7.2</v>
      </c>
      <c r="I49" s="1">
        <v>12960</v>
      </c>
      <c r="K49" s="1">
        <v>4.5199999999999996</v>
      </c>
      <c r="L49" s="1">
        <v>1</v>
      </c>
      <c r="M49" s="7"/>
      <c r="N49" s="2">
        <f t="shared" si="55"/>
        <v>24.6</v>
      </c>
      <c r="O49" s="8">
        <f t="shared" si="56"/>
        <v>0.94661327599999978</v>
      </c>
      <c r="P49" s="9">
        <f t="shared" si="57"/>
        <v>3.8747370503230858E-5</v>
      </c>
      <c r="Q49" s="9"/>
      <c r="R49" s="101"/>
      <c r="S49" s="101"/>
      <c r="T49" s="101"/>
      <c r="U49" s="101"/>
      <c r="V49" s="101"/>
      <c r="W49" s="101"/>
      <c r="X49" s="82">
        <f t="shared" si="58"/>
        <v>7.9948159999999999E-4</v>
      </c>
      <c r="Y49" s="75">
        <f t="shared" si="59"/>
        <v>0.15799443199999999</v>
      </c>
      <c r="Z49" s="10">
        <f t="shared" si="4"/>
        <v>0.7994815999999999</v>
      </c>
      <c r="AA49" s="10">
        <f t="shared" si="5"/>
        <v>157.99443199999999</v>
      </c>
      <c r="AB49" s="13">
        <f t="shared" si="60"/>
        <v>2.3981648</v>
      </c>
      <c r="AC49" s="13">
        <f>(0.0518*K49^2)+(27.217*K49)+116.22</f>
        <v>240.29913471999998</v>
      </c>
      <c r="AN49" s="1">
        <v>47</v>
      </c>
      <c r="AO49" s="1">
        <v>1</v>
      </c>
    </row>
    <row r="50" spans="1:41" s="101" customFormat="1" ht="14.4" x14ac:dyDescent="0.3">
      <c r="A50" s="6">
        <v>42150</v>
      </c>
      <c r="C50" s="2">
        <v>24.7</v>
      </c>
      <c r="D50" s="2">
        <v>30.34</v>
      </c>
      <c r="E50" s="1" t="s">
        <v>89</v>
      </c>
      <c r="G50" s="1">
        <v>25</v>
      </c>
      <c r="H50" s="1">
        <v>2.0299999999999998</v>
      </c>
      <c r="I50" s="1">
        <v>299</v>
      </c>
      <c r="K50" s="1">
        <v>0</v>
      </c>
      <c r="L50" s="1">
        <v>1</v>
      </c>
      <c r="M50" s="7"/>
      <c r="N50" s="2">
        <f t="shared" si="55"/>
        <v>24.7</v>
      </c>
      <c r="O50" s="8">
        <f t="shared" si="56"/>
        <v>0.94661327599999978</v>
      </c>
      <c r="P50" s="9">
        <f t="shared" si="57"/>
        <v>9.6835903704356129E-7</v>
      </c>
      <c r="Q50" s="9"/>
      <c r="X50" s="82">
        <f t="shared" si="58"/>
        <v>2.8295879100000002E-4</v>
      </c>
      <c r="Y50" s="75">
        <f t="shared" si="59"/>
        <v>0.1202</v>
      </c>
      <c r="Z50" s="10">
        <f t="shared" si="4"/>
        <v>11.318351640000001</v>
      </c>
      <c r="AA50" s="10">
        <f t="shared" si="5"/>
        <v>4808</v>
      </c>
      <c r="AB50" s="13">
        <f t="shared" si="60"/>
        <v>1.018689373</v>
      </c>
      <c r="AC50" s="13">
        <f t="shared" ref="AC50:AC51" si="61">(0.0518*K50^2)+(27.217*K50)+116.22</f>
        <v>116.22</v>
      </c>
      <c r="AD50" s="1"/>
      <c r="AE50" s="1"/>
      <c r="AF50" s="1"/>
      <c r="AG50" s="1"/>
      <c r="AH50" s="1"/>
      <c r="AI50" s="1"/>
      <c r="AJ50" s="1"/>
      <c r="AK50" s="1"/>
      <c r="AN50" s="1">
        <v>48</v>
      </c>
      <c r="AO50" s="1">
        <v>1</v>
      </c>
    </row>
    <row r="51" spans="1:41" s="101" customFormat="1" ht="14.4" x14ac:dyDescent="0.3">
      <c r="A51" s="6">
        <v>42150</v>
      </c>
      <c r="C51" s="2">
        <v>24.7</v>
      </c>
      <c r="D51" s="2">
        <v>30.34</v>
      </c>
      <c r="E51" s="1" t="s">
        <v>89</v>
      </c>
      <c r="G51" s="1">
        <v>1000</v>
      </c>
      <c r="H51" s="1">
        <v>5.55</v>
      </c>
      <c r="I51" s="1">
        <v>12971</v>
      </c>
      <c r="K51" s="1">
        <v>2.11</v>
      </c>
      <c r="L51" s="1">
        <v>1</v>
      </c>
      <c r="M51" s="7"/>
      <c r="N51" s="2">
        <f t="shared" si="55"/>
        <v>24.7</v>
      </c>
      <c r="O51" s="8">
        <f t="shared" si="56"/>
        <v>0.94661327599999978</v>
      </c>
      <c r="P51" s="9">
        <f t="shared" si="57"/>
        <v>3.8734361481742453E-5</v>
      </c>
      <c r="Q51" s="9"/>
      <c r="X51" s="82">
        <f t="shared" si="58"/>
        <v>6.3469197500000006E-4</v>
      </c>
      <c r="Y51" s="75">
        <f t="shared" si="59"/>
        <v>0.137436168</v>
      </c>
      <c r="Z51" s="10">
        <f t="shared" si="4"/>
        <v>0.63469197500000007</v>
      </c>
      <c r="AA51" s="10">
        <f t="shared" si="5"/>
        <v>137.43616800000001</v>
      </c>
      <c r="AB51" s="13">
        <f t="shared" si="60"/>
        <v>1.958080925</v>
      </c>
      <c r="AC51" s="13">
        <f t="shared" si="61"/>
        <v>173.87848878</v>
      </c>
      <c r="AD51" s="1"/>
      <c r="AE51" s="1"/>
      <c r="AF51" s="1"/>
      <c r="AG51" s="1"/>
      <c r="AH51" s="1"/>
      <c r="AI51" s="1"/>
      <c r="AJ51" s="1"/>
      <c r="AK51" s="1"/>
      <c r="AN51" s="1">
        <v>49</v>
      </c>
      <c r="AO51" s="1">
        <v>1</v>
      </c>
    </row>
    <row r="52" spans="1:41" s="1" customFormat="1" ht="14.4" x14ac:dyDescent="0.3">
      <c r="A52" s="6">
        <v>42157</v>
      </c>
      <c r="B52" s="32">
        <v>0.43055555555555558</v>
      </c>
      <c r="C52" s="2">
        <v>26.2</v>
      </c>
      <c r="D52" s="2">
        <v>30.13</v>
      </c>
      <c r="E52" s="1" t="s">
        <v>89</v>
      </c>
      <c r="F52" s="101"/>
      <c r="G52" s="1">
        <v>1000</v>
      </c>
      <c r="H52" s="1">
        <v>8.8699999999999992</v>
      </c>
      <c r="I52" s="1">
        <v>13023</v>
      </c>
      <c r="K52" s="1">
        <v>4.59</v>
      </c>
      <c r="L52" s="1">
        <v>1</v>
      </c>
      <c r="M52" s="7"/>
      <c r="N52" s="2">
        <f>C52</f>
        <v>26.2</v>
      </c>
      <c r="O52" s="8">
        <f>0.001316*((D52*25.4)-(2.5*2053/100))</f>
        <v>0.93959373199999974</v>
      </c>
      <c r="P52" s="9">
        <f>(O52*(G52/1000000))/(0.08205*(N52+273.15))</f>
        <v>3.8254476492689269E-5</v>
      </c>
      <c r="Q52" s="9"/>
      <c r="R52" s="101"/>
      <c r="S52" s="101"/>
      <c r="T52" s="101"/>
      <c r="U52" s="101"/>
      <c r="V52" s="101"/>
      <c r="W52" s="101"/>
      <c r="X52" s="82">
        <f>IF(H52&gt;300,((0.0000000002*H52^2)+(0.0001*H52)+0.0207),((-0.00000001*H52^2)+(0.0001*H52)+0.00008))</f>
        <v>9.66213231E-4</v>
      </c>
      <c r="Y52" s="75">
        <f>(0.00008*K52^2)+(0.008*K52)+0.1202</f>
        <v>0.15860544800000001</v>
      </c>
      <c r="Z52" s="10">
        <f t="shared" si="4"/>
        <v>0.96621323100000001</v>
      </c>
      <c r="AA52" s="10">
        <f t="shared" si="5"/>
        <v>158.605448</v>
      </c>
      <c r="AB52" s="13">
        <f>IF(H52&lt;601, ((-0.00003*H52^2)+(0.2671*H52)+0.4766), (IF(H52&lt;19001,((0.1503*H52)+59.75),((0.000005*H52^2)-(0.0565*H52)+2184))))</f>
        <v>2.8434166929999996</v>
      </c>
      <c r="AC52" s="13">
        <f>(0.0518*K52^2)+(27.217*K52)+116.22</f>
        <v>242.23735757999998</v>
      </c>
      <c r="AN52" s="1">
        <v>50</v>
      </c>
      <c r="AO52" s="1">
        <v>1</v>
      </c>
    </row>
    <row r="53" spans="1:41" s="1" customFormat="1" ht="14.4" x14ac:dyDescent="0.3">
      <c r="A53" s="6">
        <v>42157</v>
      </c>
      <c r="B53" s="6"/>
      <c r="C53" s="2">
        <v>26.2</v>
      </c>
      <c r="D53" s="2">
        <v>30.13</v>
      </c>
      <c r="E53" s="1" t="s">
        <v>89</v>
      </c>
      <c r="F53" s="101"/>
      <c r="G53" s="1">
        <v>1000</v>
      </c>
      <c r="H53" s="1">
        <v>7.89</v>
      </c>
      <c r="I53" s="1">
        <v>12762</v>
      </c>
      <c r="K53" s="1">
        <v>5.5</v>
      </c>
      <c r="L53" s="1">
        <v>1</v>
      </c>
      <c r="M53" s="7"/>
      <c r="N53" s="2">
        <f t="shared" ref="N53:N61" si="62">C53</f>
        <v>26.2</v>
      </c>
      <c r="O53" s="8">
        <f t="shared" ref="O53:O61" si="63">0.001316*((D53*25.4)-(2.5*2053/100))</f>
        <v>0.93959373199999974</v>
      </c>
      <c r="P53" s="9">
        <f t="shared" ref="P53:P61" si="64">(O53*(G53/1000000))/(0.08205*(N53+273.15))</f>
        <v>3.8254476492689269E-5</v>
      </c>
      <c r="Q53" s="9"/>
      <c r="R53" s="101"/>
      <c r="S53" s="101"/>
      <c r="T53" s="101"/>
      <c r="U53" s="101"/>
      <c r="V53" s="101"/>
      <c r="W53" s="101"/>
      <c r="X53" s="82">
        <f t="shared" ref="X53:X61" si="65">IF(H53&gt;300,((0.0000000002*H53^2)+(0.0001*H53)+0.0207),((-0.00000001*H53^2)+(0.0001*H53)+0.00008))</f>
        <v>8.6837747899999997E-4</v>
      </c>
      <c r="Y53" s="75">
        <f t="shared" ref="Y53:Y61" si="66">(0.00008*K53^2)+(0.008*K53)+0.1202</f>
        <v>0.16661999999999999</v>
      </c>
      <c r="Z53" s="10">
        <f t="shared" si="4"/>
        <v>0.86837747899999995</v>
      </c>
      <c r="AA53" s="10">
        <f t="shared" si="5"/>
        <v>166.62</v>
      </c>
      <c r="AB53" s="13">
        <f t="shared" ref="AB53:AB61" si="67">IF(H53&lt;601, ((-0.00003*H53^2)+(0.2671*H53)+0.4766), (IF(H53&lt;19001,((0.1503*H53)+59.75),((0.000005*H53^2)-(0.0565*H53)+2184))))</f>
        <v>2.5821514370000003</v>
      </c>
      <c r="AC53" s="13">
        <f>(0.0518*K53^2)+(27.217*K53)+116.22</f>
        <v>267.48045000000002</v>
      </c>
      <c r="AN53" s="1">
        <v>51</v>
      </c>
      <c r="AO53" s="1">
        <v>1</v>
      </c>
    </row>
    <row r="54" spans="1:41" s="1" customFormat="1" ht="14.4" x14ac:dyDescent="0.3">
      <c r="A54" s="6">
        <v>42157</v>
      </c>
      <c r="B54" s="6"/>
      <c r="C54" s="2">
        <v>26.2</v>
      </c>
      <c r="D54" s="2">
        <v>30.13</v>
      </c>
      <c r="E54" s="1" t="s">
        <v>89</v>
      </c>
      <c r="F54" s="101"/>
      <c r="G54" s="1">
        <v>1000</v>
      </c>
      <c r="H54" s="1">
        <v>7.69</v>
      </c>
      <c r="I54" s="1">
        <v>12875</v>
      </c>
      <c r="K54" s="1">
        <v>5.18</v>
      </c>
      <c r="L54" s="1">
        <v>1</v>
      </c>
      <c r="M54" s="7"/>
      <c r="N54" s="2">
        <f t="shared" si="62"/>
        <v>26.2</v>
      </c>
      <c r="O54" s="8">
        <f t="shared" si="63"/>
        <v>0.93959373199999974</v>
      </c>
      <c r="P54" s="9">
        <f t="shared" si="64"/>
        <v>3.8254476492689269E-5</v>
      </c>
      <c r="Q54" s="9"/>
      <c r="R54" s="101"/>
      <c r="S54" s="101"/>
      <c r="T54" s="101"/>
      <c r="U54" s="101"/>
      <c r="V54" s="101"/>
      <c r="W54" s="101"/>
      <c r="X54" s="82">
        <f t="shared" si="65"/>
        <v>8.4840863900000009E-4</v>
      </c>
      <c r="Y54" s="75">
        <f t="shared" si="66"/>
        <v>0.16378659200000001</v>
      </c>
      <c r="Z54" s="10">
        <f t="shared" si="4"/>
        <v>0.84840863900000008</v>
      </c>
      <c r="AA54" s="10">
        <f t="shared" si="5"/>
        <v>163.78659200000001</v>
      </c>
      <c r="AB54" s="13">
        <f t="shared" si="67"/>
        <v>2.5288249170000001</v>
      </c>
      <c r="AC54" s="13">
        <f>(0.0518*K54^2)+(27.217*K54)+116.22</f>
        <v>258.59397832000002</v>
      </c>
      <c r="AN54" s="1">
        <v>52</v>
      </c>
      <c r="AO54" s="1">
        <v>1</v>
      </c>
    </row>
    <row r="55" spans="1:41" s="101" customFormat="1" ht="14.4" x14ac:dyDescent="0.3">
      <c r="A55" s="6">
        <v>42158</v>
      </c>
      <c r="B55" s="128">
        <v>0.36458333333333331</v>
      </c>
      <c r="C55" s="2">
        <v>26.8</v>
      </c>
      <c r="D55" s="2">
        <v>30.15</v>
      </c>
      <c r="E55" s="7" t="s">
        <v>563</v>
      </c>
      <c r="G55" s="1">
        <v>1000</v>
      </c>
      <c r="H55" s="1">
        <v>4.34</v>
      </c>
      <c r="I55" s="1">
        <v>12795</v>
      </c>
      <c r="K55" s="101">
        <v>4.5599999999999996</v>
      </c>
      <c r="L55" s="1">
        <v>1</v>
      </c>
      <c r="M55" s="7"/>
      <c r="N55" s="2">
        <f t="shared" si="62"/>
        <v>26.8</v>
      </c>
      <c r="O55" s="8">
        <f t="shared" si="63"/>
        <v>0.94026225999999979</v>
      </c>
      <c r="P55" s="9">
        <f t="shared" si="64"/>
        <v>3.8205118687768284E-5</v>
      </c>
      <c r="Q55" s="9"/>
      <c r="X55" s="82">
        <f t="shared" si="65"/>
        <v>5.1381164400000001E-4</v>
      </c>
      <c r="Y55" s="75">
        <f t="shared" si="66"/>
        <v>0.158343488</v>
      </c>
      <c r="Z55" s="10">
        <f t="shared" si="4"/>
        <v>0.51381164400000001</v>
      </c>
      <c r="AA55" s="10">
        <f t="shared" si="5"/>
        <v>158.34348800000001</v>
      </c>
      <c r="AB55" s="13">
        <f t="shared" si="67"/>
        <v>1.6352489320000001</v>
      </c>
      <c r="AC55" s="13">
        <f t="shared" ref="AC55:AC61" si="68">(0.0518*K55^2)+(27.217*K55)+116.22</f>
        <v>241.40662847999999</v>
      </c>
      <c r="AD55" s="1"/>
      <c r="AE55" s="1"/>
      <c r="AF55" s="1"/>
      <c r="AG55" s="1"/>
      <c r="AN55" s="1">
        <v>53</v>
      </c>
      <c r="AO55" s="1">
        <v>1</v>
      </c>
    </row>
    <row r="56" spans="1:41" s="101" customFormat="1" ht="14.4" x14ac:dyDescent="0.3">
      <c r="A56" s="6">
        <v>42158</v>
      </c>
      <c r="C56" s="2">
        <v>26.8</v>
      </c>
      <c r="D56" s="2">
        <v>30.15</v>
      </c>
      <c r="E56" s="7" t="s">
        <v>563</v>
      </c>
      <c r="G56" s="1">
        <v>1000</v>
      </c>
      <c r="H56" s="1">
        <v>4.6100000000000003</v>
      </c>
      <c r="I56" s="1">
        <v>12933</v>
      </c>
      <c r="K56" s="101">
        <v>3.31</v>
      </c>
      <c r="L56" s="1">
        <v>1</v>
      </c>
      <c r="M56" s="7"/>
      <c r="N56" s="2">
        <f t="shared" si="62"/>
        <v>26.8</v>
      </c>
      <c r="O56" s="8">
        <f t="shared" si="63"/>
        <v>0.94026225999999979</v>
      </c>
      <c r="P56" s="9">
        <f t="shared" si="64"/>
        <v>3.8205118687768284E-5</v>
      </c>
      <c r="Q56" s="9"/>
      <c r="X56" s="82">
        <f t="shared" si="65"/>
        <v>5.4078747900000008E-4</v>
      </c>
      <c r="Y56" s="75">
        <f t="shared" si="66"/>
        <v>0.14755648800000001</v>
      </c>
      <c r="Z56" s="10">
        <f t="shared" si="4"/>
        <v>0.54078747900000013</v>
      </c>
      <c r="AA56" s="10">
        <f t="shared" si="5"/>
        <v>147.556488</v>
      </c>
      <c r="AB56" s="13">
        <f t="shared" si="67"/>
        <v>1.7072934370000001</v>
      </c>
      <c r="AC56" s="13">
        <f t="shared" si="68"/>
        <v>206.87579597999999</v>
      </c>
      <c r="AD56" s="1"/>
      <c r="AE56" s="1"/>
      <c r="AF56" s="1"/>
      <c r="AG56" s="1"/>
      <c r="AN56" s="1">
        <v>54</v>
      </c>
      <c r="AO56" s="1">
        <v>1</v>
      </c>
    </row>
    <row r="57" spans="1:41" s="101" customFormat="1" ht="14.4" x14ac:dyDescent="0.3">
      <c r="A57" s="6">
        <v>42158</v>
      </c>
      <c r="C57" s="2">
        <v>26.8</v>
      </c>
      <c r="D57" s="2">
        <v>30.15</v>
      </c>
      <c r="E57" s="7" t="s">
        <v>89</v>
      </c>
      <c r="G57" s="1">
        <v>1000</v>
      </c>
      <c r="H57" s="1">
        <v>8.44</v>
      </c>
      <c r="I57" s="1">
        <v>12754</v>
      </c>
      <c r="K57" s="101">
        <v>5.71</v>
      </c>
      <c r="L57" s="1">
        <v>1</v>
      </c>
      <c r="M57" s="7"/>
      <c r="N57" s="2">
        <f t="shared" si="62"/>
        <v>26.8</v>
      </c>
      <c r="O57" s="8">
        <f t="shared" si="63"/>
        <v>0.94026225999999979</v>
      </c>
      <c r="P57" s="9">
        <f t="shared" si="64"/>
        <v>3.8205118687768284E-5</v>
      </c>
      <c r="Q57" s="9"/>
      <c r="X57" s="82">
        <f t="shared" si="65"/>
        <v>9.2328766400000001E-4</v>
      </c>
      <c r="Y57" s="75">
        <f t="shared" si="66"/>
        <v>0.16848832799999999</v>
      </c>
      <c r="Z57" s="10">
        <f t="shared" si="4"/>
        <v>0.92328766400000006</v>
      </c>
      <c r="AA57" s="10">
        <f t="shared" si="5"/>
        <v>168.48832799999997</v>
      </c>
      <c r="AB57" s="13">
        <f t="shared" si="67"/>
        <v>2.7287869919999999</v>
      </c>
      <c r="AC57" s="13">
        <f t="shared" si="68"/>
        <v>273.31796237999998</v>
      </c>
      <c r="AD57" s="1"/>
      <c r="AE57" s="1"/>
      <c r="AF57" s="1"/>
      <c r="AG57" s="1"/>
      <c r="AN57" s="1">
        <v>55</v>
      </c>
      <c r="AO57" s="1">
        <v>1</v>
      </c>
    </row>
    <row r="58" spans="1:41" s="101" customFormat="1" ht="14.4" x14ac:dyDescent="0.3">
      <c r="A58" s="6">
        <v>42158</v>
      </c>
      <c r="C58" s="2">
        <v>26.8</v>
      </c>
      <c r="D58" s="2">
        <v>30.15</v>
      </c>
      <c r="E58" s="7" t="s">
        <v>89</v>
      </c>
      <c r="G58" s="1">
        <v>1000</v>
      </c>
      <c r="H58" s="1">
        <v>9.51</v>
      </c>
      <c r="I58" s="1">
        <v>12880</v>
      </c>
      <c r="K58" s="101">
        <v>3.42</v>
      </c>
      <c r="L58" s="1">
        <v>1</v>
      </c>
      <c r="M58" s="7"/>
      <c r="N58" s="2">
        <f t="shared" si="62"/>
        <v>26.8</v>
      </c>
      <c r="O58" s="8">
        <f t="shared" si="63"/>
        <v>0.94026225999999979</v>
      </c>
      <c r="P58" s="9">
        <f t="shared" si="64"/>
        <v>3.8205118687768284E-5</v>
      </c>
      <c r="Q58" s="9"/>
      <c r="X58" s="82">
        <f t="shared" si="65"/>
        <v>1.0300955990000002E-3</v>
      </c>
      <c r="Y58" s="75">
        <f t="shared" si="66"/>
        <v>0.148495712</v>
      </c>
      <c r="Z58" s="10">
        <f t="shared" si="4"/>
        <v>1.0300955990000003</v>
      </c>
      <c r="AA58" s="10">
        <f t="shared" si="5"/>
        <v>148.495712</v>
      </c>
      <c r="AB58" s="13">
        <f t="shared" si="67"/>
        <v>3.0140077970000001</v>
      </c>
      <c r="AC58" s="13">
        <f t="shared" si="68"/>
        <v>209.90801352</v>
      </c>
      <c r="AD58" s="1"/>
      <c r="AE58" s="1"/>
      <c r="AF58" s="1"/>
      <c r="AG58" s="1"/>
      <c r="AN58" s="1">
        <v>56</v>
      </c>
      <c r="AO58" s="1">
        <v>1</v>
      </c>
    </row>
    <row r="59" spans="1:41" s="101" customFormat="1" ht="14.4" x14ac:dyDescent="0.3">
      <c r="A59" s="6">
        <v>42158</v>
      </c>
      <c r="C59" s="2">
        <v>26.8</v>
      </c>
      <c r="D59" s="2">
        <v>30.15</v>
      </c>
      <c r="E59" s="7" t="s">
        <v>89</v>
      </c>
      <c r="G59" s="1">
        <v>25</v>
      </c>
      <c r="H59" s="1">
        <v>0.52</v>
      </c>
      <c r="I59" s="1">
        <v>278</v>
      </c>
      <c r="K59" s="1">
        <v>0</v>
      </c>
      <c r="L59" s="1">
        <v>1</v>
      </c>
      <c r="M59" s="7" t="s">
        <v>564</v>
      </c>
      <c r="N59" s="2">
        <f t="shared" si="62"/>
        <v>26.8</v>
      </c>
      <c r="O59" s="8">
        <f t="shared" si="63"/>
        <v>0.94026225999999979</v>
      </c>
      <c r="P59" s="9">
        <f t="shared" si="64"/>
        <v>9.5512796719420717E-7</v>
      </c>
      <c r="Q59" s="9"/>
      <c r="X59" s="82">
        <f t="shared" si="65"/>
        <v>1.3199729600000003E-4</v>
      </c>
      <c r="Y59" s="75">
        <f t="shared" si="66"/>
        <v>0.1202</v>
      </c>
      <c r="Z59" s="10">
        <f t="shared" si="4"/>
        <v>5.2798918400000012</v>
      </c>
      <c r="AA59" s="10">
        <f t="shared" si="5"/>
        <v>4808</v>
      </c>
      <c r="AB59" s="13">
        <f t="shared" si="67"/>
        <v>0.61548388799999998</v>
      </c>
      <c r="AC59" s="13">
        <f t="shared" si="68"/>
        <v>116.22</v>
      </c>
      <c r="AD59" s="1"/>
      <c r="AE59" s="1"/>
      <c r="AF59" s="1"/>
      <c r="AG59" s="1"/>
      <c r="AN59" s="1">
        <v>57</v>
      </c>
      <c r="AO59" s="1">
        <v>1</v>
      </c>
    </row>
    <row r="60" spans="1:41" s="101" customFormat="1" ht="14.4" x14ac:dyDescent="0.3">
      <c r="A60" s="6">
        <v>42158</v>
      </c>
      <c r="C60" s="2">
        <v>26.8</v>
      </c>
      <c r="D60" s="2">
        <v>30.15</v>
      </c>
      <c r="E60" s="7" t="s">
        <v>89</v>
      </c>
      <c r="G60" s="1">
        <v>25</v>
      </c>
      <c r="H60" s="1">
        <v>0.55000000000000004</v>
      </c>
      <c r="I60" s="1">
        <v>296</v>
      </c>
      <c r="K60" s="1">
        <v>0.33</v>
      </c>
      <c r="L60" s="1">
        <v>1</v>
      </c>
      <c r="M60" s="7" t="s">
        <v>564</v>
      </c>
      <c r="N60" s="2">
        <f t="shared" si="62"/>
        <v>26.8</v>
      </c>
      <c r="O60" s="8">
        <f t="shared" si="63"/>
        <v>0.94026225999999979</v>
      </c>
      <c r="P60" s="9">
        <f t="shared" si="64"/>
        <v>9.5512796719420717E-7</v>
      </c>
      <c r="Q60" s="9"/>
      <c r="X60" s="82">
        <f t="shared" si="65"/>
        <v>1.3499697500000003E-4</v>
      </c>
      <c r="Y60" s="75">
        <f t="shared" si="66"/>
        <v>0.122848712</v>
      </c>
      <c r="Z60" s="10">
        <f t="shared" si="4"/>
        <v>5.3998790000000012</v>
      </c>
      <c r="AA60" s="10">
        <f t="shared" si="5"/>
        <v>4913.94848</v>
      </c>
      <c r="AB60" s="13">
        <f t="shared" si="67"/>
        <v>0.62349592500000006</v>
      </c>
      <c r="AC60" s="13">
        <f t="shared" si="68"/>
        <v>125.20725102</v>
      </c>
      <c r="AD60" s="1"/>
      <c r="AE60" s="1"/>
      <c r="AF60" s="1"/>
      <c r="AG60" s="1"/>
      <c r="AN60" s="1">
        <v>58</v>
      </c>
      <c r="AO60" s="1">
        <v>1</v>
      </c>
    </row>
    <row r="61" spans="1:41" s="101" customFormat="1" ht="14.4" x14ac:dyDescent="0.3">
      <c r="A61" s="6">
        <v>42158</v>
      </c>
      <c r="C61" s="2">
        <v>26.8</v>
      </c>
      <c r="D61" s="2">
        <v>30.15</v>
      </c>
      <c r="E61" s="7" t="s">
        <v>89</v>
      </c>
      <c r="G61" s="1">
        <v>25</v>
      </c>
      <c r="H61" s="1">
        <v>0.93</v>
      </c>
      <c r="I61" s="1">
        <v>287</v>
      </c>
      <c r="K61" s="1">
        <v>0</v>
      </c>
      <c r="L61" s="1">
        <v>1</v>
      </c>
      <c r="M61" s="7" t="s">
        <v>564</v>
      </c>
      <c r="N61" s="2">
        <f t="shared" si="62"/>
        <v>26.8</v>
      </c>
      <c r="O61" s="8">
        <f t="shared" si="63"/>
        <v>0.94026225999999979</v>
      </c>
      <c r="P61" s="9">
        <f t="shared" si="64"/>
        <v>9.5512796719420717E-7</v>
      </c>
      <c r="Q61" s="9"/>
      <c r="X61" s="82">
        <f t="shared" si="65"/>
        <v>1.72991351E-4</v>
      </c>
      <c r="Y61" s="75">
        <f t="shared" si="66"/>
        <v>0.1202</v>
      </c>
      <c r="Z61" s="10">
        <f t="shared" si="4"/>
        <v>6.9196540400000002</v>
      </c>
      <c r="AA61" s="10">
        <f t="shared" si="5"/>
        <v>4808</v>
      </c>
      <c r="AB61" s="13">
        <f t="shared" si="67"/>
        <v>0.72497705300000004</v>
      </c>
      <c r="AC61" s="13">
        <f t="shared" si="68"/>
        <v>116.22</v>
      </c>
      <c r="AD61" s="1"/>
      <c r="AE61" s="1"/>
      <c r="AF61" s="1"/>
      <c r="AG61" s="1"/>
      <c r="AN61" s="1">
        <v>59</v>
      </c>
      <c r="AO61" s="1">
        <v>1</v>
      </c>
    </row>
    <row r="62" spans="1:41" s="1" customFormat="1" ht="14.4" x14ac:dyDescent="0.3">
      <c r="A62" s="6">
        <v>42164</v>
      </c>
      <c r="B62" s="32">
        <v>0.39583333333333331</v>
      </c>
      <c r="C62" s="2">
        <v>25.9</v>
      </c>
      <c r="D62" s="2">
        <v>29.97</v>
      </c>
      <c r="E62" s="1" t="s">
        <v>89</v>
      </c>
      <c r="F62" s="101"/>
      <c r="G62" s="1">
        <v>1000</v>
      </c>
      <c r="H62" s="1">
        <v>8.65</v>
      </c>
      <c r="I62" s="1">
        <v>12872</v>
      </c>
      <c r="K62" s="1">
        <v>3.26</v>
      </c>
      <c r="L62" s="1">
        <v>1</v>
      </c>
      <c r="M62" s="7"/>
      <c r="N62" s="2">
        <f>C62</f>
        <v>25.9</v>
      </c>
      <c r="O62" s="8">
        <f>0.001316*((D62*25.4)-(2.5*2053/100))</f>
        <v>0.93424550799999984</v>
      </c>
      <c r="P62" s="9">
        <f>(O62*(G62/1000000))/(0.08205*(N62+273.15))</f>
        <v>3.8074887275071037E-5</v>
      </c>
      <c r="Q62" s="9"/>
      <c r="R62" s="101"/>
      <c r="S62" s="101"/>
      <c r="T62" s="101"/>
      <c r="U62" s="101"/>
      <c r="V62" s="101"/>
      <c r="W62" s="101"/>
      <c r="X62" s="82">
        <f>IF(H62&gt;300,((0.0000000002*H62^2)+(0.0001*H62)+0.0207),((-0.00000001*H62^2)+(0.0001*H62)+0.00008))</f>
        <v>9.4425177500000006E-4</v>
      </c>
      <c r="Y62" s="75">
        <f>(0.00008*K62^2)+(0.008*K62)+0.1202</f>
        <v>0.14713020800000001</v>
      </c>
      <c r="Z62" s="10">
        <f t="shared" si="4"/>
        <v>0.94425177500000002</v>
      </c>
      <c r="AA62" s="10">
        <f t="shared" si="5"/>
        <v>147.13020800000001</v>
      </c>
      <c r="AB62" s="13">
        <f>IF(H62&lt;601, ((-0.00003*H62^2)+(0.2671*H62)+0.4766), (IF(H62&lt;19001,((0.1503*H62)+59.75),((0.000005*H62^2)-(0.0565*H62)+2184))))</f>
        <v>2.7847703250000002</v>
      </c>
      <c r="AC62" s="13">
        <f t="shared" ref="AC62:AC67" si="69">(0.0518*K62^2)+(27.217*K62)+116.22</f>
        <v>205.49792968</v>
      </c>
      <c r="AN62" s="1">
        <v>60</v>
      </c>
      <c r="AO62" s="1">
        <v>1</v>
      </c>
    </row>
    <row r="63" spans="1:41" s="1" customFormat="1" ht="14.4" x14ac:dyDescent="0.3">
      <c r="A63" s="6">
        <v>42164</v>
      </c>
      <c r="B63" s="6"/>
      <c r="C63" s="2">
        <v>25.9</v>
      </c>
      <c r="D63" s="2">
        <v>29.97</v>
      </c>
      <c r="E63" s="1" t="s">
        <v>89</v>
      </c>
      <c r="F63" s="101"/>
      <c r="G63" s="1">
        <v>1000</v>
      </c>
      <c r="H63" s="1">
        <v>7.57</v>
      </c>
      <c r="I63" s="1">
        <v>12774</v>
      </c>
      <c r="K63" s="1">
        <v>4.51</v>
      </c>
      <c r="L63" s="1">
        <v>1</v>
      </c>
      <c r="M63" s="7"/>
      <c r="N63" s="2">
        <f t="shared" ref="N63:N64" si="70">C63</f>
        <v>25.9</v>
      </c>
      <c r="O63" s="8">
        <f t="shared" ref="O63:O64" si="71">0.001316*((D63*25.4)-(2.5*2053/100))</f>
        <v>0.93424550799999984</v>
      </c>
      <c r="P63" s="9">
        <f t="shared" ref="P63:P64" si="72">(O63*(G63/1000000))/(0.08205*(N63+273.15))</f>
        <v>3.8074887275071037E-5</v>
      </c>
      <c r="Q63" s="9"/>
      <c r="R63" s="101"/>
      <c r="S63" s="101"/>
      <c r="T63" s="101"/>
      <c r="U63" s="101"/>
      <c r="V63" s="101"/>
      <c r="W63" s="101"/>
      <c r="X63" s="82">
        <f t="shared" ref="X63:X64" si="73">IF(H63&gt;300,((0.0000000002*H63^2)+(0.0001*H63)+0.0207),((-0.00000001*H63^2)+(0.0001*H63)+0.00008))</f>
        <v>8.3642695100000003E-4</v>
      </c>
      <c r="Y63" s="75">
        <f t="shared" ref="Y63:Y64" si="74">(0.00008*K63^2)+(0.008*K63)+0.1202</f>
        <v>0.15790720799999999</v>
      </c>
      <c r="Z63" s="10">
        <f t="shared" si="4"/>
        <v>0.83642695100000009</v>
      </c>
      <c r="AA63" s="10">
        <f t="shared" si="5"/>
        <v>157.907208</v>
      </c>
      <c r="AB63" s="13">
        <f t="shared" ref="AB63:AB64" si="75">IF(H63&lt;601, ((-0.00003*H63^2)+(0.2671*H63)+0.4766), (IF(H63&lt;19001,((0.1503*H63)+59.75),((0.000005*H63^2)-(0.0565*H63)+2184))))</f>
        <v>2.4968278529999997</v>
      </c>
      <c r="AC63" s="13">
        <f t="shared" si="69"/>
        <v>240.02228717999998</v>
      </c>
      <c r="AN63" s="1">
        <v>61</v>
      </c>
      <c r="AO63" s="1">
        <v>1</v>
      </c>
    </row>
    <row r="64" spans="1:41" s="1" customFormat="1" ht="14.4" x14ac:dyDescent="0.3">
      <c r="A64" s="6">
        <v>42164</v>
      </c>
      <c r="B64" s="6"/>
      <c r="C64" s="2">
        <v>25.9</v>
      </c>
      <c r="D64" s="2">
        <v>29.97</v>
      </c>
      <c r="E64" s="1" t="s">
        <v>89</v>
      </c>
      <c r="F64" s="101"/>
      <c r="G64" s="1">
        <v>1000</v>
      </c>
      <c r="H64" s="1">
        <v>8.2799999999999994</v>
      </c>
      <c r="I64" s="1">
        <v>12949</v>
      </c>
      <c r="K64" s="1">
        <v>4.4000000000000004</v>
      </c>
      <c r="L64" s="1">
        <v>1</v>
      </c>
      <c r="M64" s="7"/>
      <c r="N64" s="2">
        <f t="shared" si="70"/>
        <v>25.9</v>
      </c>
      <c r="O64" s="8">
        <f t="shared" si="71"/>
        <v>0.93424550799999984</v>
      </c>
      <c r="P64" s="9">
        <f t="shared" si="72"/>
        <v>3.8074887275071037E-5</v>
      </c>
      <c r="Q64" s="9"/>
      <c r="R64" s="101"/>
      <c r="S64" s="101"/>
      <c r="T64" s="101"/>
      <c r="U64" s="101"/>
      <c r="V64" s="101"/>
      <c r="W64" s="101"/>
      <c r="X64" s="82">
        <f t="shared" si="73"/>
        <v>9.0731441599999996E-4</v>
      </c>
      <c r="Y64" s="75">
        <f t="shared" si="74"/>
        <v>0.1569488</v>
      </c>
      <c r="Z64" s="10">
        <f t="shared" ref="Z64:Z126" si="76">X64*1000000/G64</f>
        <v>0.90731441599999996</v>
      </c>
      <c r="AA64" s="10">
        <f t="shared" ref="AA64:AA126" si="77">Y64*1000000/G64</f>
        <v>156.94879999999998</v>
      </c>
      <c r="AB64" s="13">
        <f t="shared" si="75"/>
        <v>2.6861312479999997</v>
      </c>
      <c r="AC64" s="13">
        <f t="shared" si="69"/>
        <v>236.97764799999999</v>
      </c>
      <c r="AN64" s="1">
        <v>62</v>
      </c>
      <c r="AO64" s="1">
        <v>1</v>
      </c>
    </row>
    <row r="65" spans="1:41" s="1" customFormat="1" ht="14.4" x14ac:dyDescent="0.3">
      <c r="A65" s="6">
        <v>42171</v>
      </c>
      <c r="B65" s="32">
        <v>0.38194444444444442</v>
      </c>
      <c r="C65" s="2">
        <v>21.7</v>
      </c>
      <c r="D65" s="2">
        <v>30.2</v>
      </c>
      <c r="E65" s="1" t="s">
        <v>89</v>
      </c>
      <c r="F65" s="101"/>
      <c r="G65" s="1">
        <v>1000</v>
      </c>
      <c r="H65" s="1">
        <v>6.45</v>
      </c>
      <c r="I65" s="1">
        <v>12968</v>
      </c>
      <c r="K65" s="1">
        <v>3.69</v>
      </c>
      <c r="L65" s="1">
        <v>1</v>
      </c>
      <c r="M65" s="7"/>
      <c r="N65" s="2">
        <f>C65</f>
        <v>21.7</v>
      </c>
      <c r="O65" s="8">
        <f>0.001316*((D65*25.4)-(2.5*2053/100))</f>
        <v>0.94193357999999971</v>
      </c>
      <c r="P65" s="9">
        <f>(O65*(G65/1000000))/(0.08205*(N65+273.15))</f>
        <v>3.8935034360420609E-5</v>
      </c>
      <c r="Q65" s="9"/>
      <c r="R65" s="101"/>
      <c r="S65" s="101"/>
      <c r="T65" s="101"/>
      <c r="U65" s="101"/>
      <c r="V65" s="101"/>
      <c r="W65" s="101"/>
      <c r="X65" s="82">
        <f>IF(H65&gt;300,((0.0000000002*H65^2)+(0.0001*H65)+0.0207),((-0.00000001*H65^2)+(0.0001*H65)+0.00008))</f>
        <v>7.2458397500000001E-4</v>
      </c>
      <c r="Y65" s="75">
        <f>(0.00008*K65^2)+(0.008*K65)+0.1202</f>
        <v>0.15080928800000001</v>
      </c>
      <c r="Z65" s="10">
        <f t="shared" si="76"/>
        <v>0.72458397500000005</v>
      </c>
      <c r="AA65" s="10">
        <f t="shared" si="77"/>
        <v>150.80928800000001</v>
      </c>
      <c r="AB65" s="13">
        <f>IF(H65&lt;601, ((-0.00003*H65^2)+(0.2671*H65)+0.4766), (IF(H65&lt;19001,((0.1503*H65)+59.75),((0.000005*H65^2)-(0.0565*H65)+2184))))</f>
        <v>2.1981469250000001</v>
      </c>
      <c r="AC65" s="13">
        <f t="shared" si="69"/>
        <v>217.35604397999998</v>
      </c>
      <c r="AN65" s="1">
        <v>63</v>
      </c>
      <c r="AO65" s="1">
        <v>1</v>
      </c>
    </row>
    <row r="66" spans="1:41" s="1" customFormat="1" ht="14.4" x14ac:dyDescent="0.3">
      <c r="A66" s="6">
        <v>42171</v>
      </c>
      <c r="B66" s="6"/>
      <c r="C66" s="2">
        <v>21.7</v>
      </c>
      <c r="D66" s="2">
        <v>30.2</v>
      </c>
      <c r="E66" s="1" t="s">
        <v>89</v>
      </c>
      <c r="F66" s="101"/>
      <c r="G66" s="1">
        <v>1000</v>
      </c>
      <c r="H66" s="1">
        <v>6.73</v>
      </c>
      <c r="I66" s="1">
        <v>13078</v>
      </c>
      <c r="K66" s="1">
        <v>5.66</v>
      </c>
      <c r="L66" s="1">
        <v>1</v>
      </c>
      <c r="M66" s="7"/>
      <c r="N66" s="2">
        <f t="shared" ref="N66:N68" si="78">C66</f>
        <v>21.7</v>
      </c>
      <c r="O66" s="8">
        <f t="shared" ref="O66:O68" si="79">0.001316*((D66*25.4)-(2.5*2053/100))</f>
        <v>0.94193357999999971</v>
      </c>
      <c r="P66" s="9">
        <f t="shared" ref="P66:P68" si="80">(O66*(G66/1000000))/(0.08205*(N66+273.15))</f>
        <v>3.8935034360420609E-5</v>
      </c>
      <c r="Q66" s="9"/>
      <c r="R66" s="101"/>
      <c r="S66" s="101"/>
      <c r="T66" s="101"/>
      <c r="U66" s="101"/>
      <c r="V66" s="101"/>
      <c r="W66" s="101"/>
      <c r="X66" s="82">
        <f t="shared" ref="X66:X68" si="81">IF(H66&gt;300,((0.0000000002*H66^2)+(0.0001*H66)+0.0207),((-0.00000001*H66^2)+(0.0001*H66)+0.00008))</f>
        <v>7.5254707100000004E-4</v>
      </c>
      <c r="Y66" s="75">
        <f t="shared" ref="Y66:Y68" si="82">(0.00008*K66^2)+(0.008*K66)+0.1202</f>
        <v>0.16804284799999999</v>
      </c>
      <c r="Z66" s="10">
        <f t="shared" si="76"/>
        <v>0.75254707100000007</v>
      </c>
      <c r="AA66" s="10">
        <f t="shared" si="77"/>
        <v>168.04284799999999</v>
      </c>
      <c r="AB66" s="13">
        <f t="shared" ref="AB66:AB68" si="83">IF(H66&lt;601, ((-0.00003*H66^2)+(0.2671*H66)+0.4766), (IF(H66&lt;19001,((0.1503*H66)+59.75),((0.000005*H66^2)-(0.0565*H66)+2184))))</f>
        <v>2.2728242130000003</v>
      </c>
      <c r="AC66" s="13">
        <f t="shared" si="69"/>
        <v>271.92766408</v>
      </c>
      <c r="AN66" s="1">
        <v>64</v>
      </c>
      <c r="AO66" s="1">
        <v>1</v>
      </c>
    </row>
    <row r="67" spans="1:41" s="1" customFormat="1" ht="14.4" x14ac:dyDescent="0.3">
      <c r="A67" s="6">
        <v>42171</v>
      </c>
      <c r="B67" s="6"/>
      <c r="C67" s="2">
        <v>21.7</v>
      </c>
      <c r="D67" s="2">
        <v>30.2</v>
      </c>
      <c r="E67" s="1" t="s">
        <v>89</v>
      </c>
      <c r="F67" s="101"/>
      <c r="G67" s="1">
        <v>1000</v>
      </c>
      <c r="H67" s="1">
        <v>7.86</v>
      </c>
      <c r="I67" s="1">
        <v>13221</v>
      </c>
      <c r="K67" s="1">
        <v>5.04</v>
      </c>
      <c r="L67" s="1">
        <v>1</v>
      </c>
      <c r="M67" s="7"/>
      <c r="N67" s="2">
        <f t="shared" si="78"/>
        <v>21.7</v>
      </c>
      <c r="O67" s="8">
        <f t="shared" si="79"/>
        <v>0.94193357999999971</v>
      </c>
      <c r="P67" s="9">
        <f t="shared" si="80"/>
        <v>3.8935034360420609E-5</v>
      </c>
      <c r="Q67" s="9"/>
      <c r="R67" s="101"/>
      <c r="S67" s="101"/>
      <c r="T67" s="101"/>
      <c r="U67" s="101"/>
      <c r="V67" s="101"/>
      <c r="W67" s="101"/>
      <c r="X67" s="82">
        <f t="shared" si="81"/>
        <v>8.6538220399999999E-4</v>
      </c>
      <c r="Y67" s="75">
        <f t="shared" si="82"/>
        <v>0.16255212800000002</v>
      </c>
      <c r="Z67" s="10">
        <f t="shared" si="76"/>
        <v>0.86538220399999999</v>
      </c>
      <c r="AA67" s="10">
        <f t="shared" si="77"/>
        <v>162.55212800000004</v>
      </c>
      <c r="AB67" s="13">
        <f t="shared" si="83"/>
        <v>2.5741526120000002</v>
      </c>
      <c r="AC67" s="13">
        <f t="shared" si="69"/>
        <v>254.70948288</v>
      </c>
      <c r="AN67" s="1">
        <v>65</v>
      </c>
      <c r="AO67" s="1">
        <v>1</v>
      </c>
    </row>
    <row r="68" spans="1:41" s="101" customFormat="1" ht="14.4" x14ac:dyDescent="0.3">
      <c r="A68" s="6">
        <v>42171</v>
      </c>
      <c r="B68" s="6"/>
      <c r="C68" s="2">
        <v>23</v>
      </c>
      <c r="D68" s="2">
        <v>30.14</v>
      </c>
      <c r="E68" s="101" t="s">
        <v>89</v>
      </c>
      <c r="G68" s="1">
        <v>1000</v>
      </c>
      <c r="H68" s="1">
        <v>5.08</v>
      </c>
      <c r="I68" s="1">
        <v>13129</v>
      </c>
      <c r="J68" s="1"/>
      <c r="K68" s="1">
        <v>5.98</v>
      </c>
      <c r="L68" s="1">
        <v>1</v>
      </c>
      <c r="M68" s="7"/>
      <c r="N68" s="2">
        <f t="shared" si="78"/>
        <v>23</v>
      </c>
      <c r="O68" s="8">
        <f t="shared" si="79"/>
        <v>0.93992799599999977</v>
      </c>
      <c r="P68" s="9">
        <f t="shared" si="80"/>
        <v>3.8681585156985703E-5</v>
      </c>
      <c r="Q68" s="9"/>
      <c r="X68" s="82">
        <f t="shared" si="81"/>
        <v>5.8774193599999997E-4</v>
      </c>
      <c r="Y68" s="75">
        <f t="shared" si="82"/>
        <v>0.170900832</v>
      </c>
      <c r="Z68" s="10">
        <f t="shared" si="76"/>
        <v>0.58774193600000002</v>
      </c>
      <c r="AA68" s="10">
        <f t="shared" si="77"/>
        <v>170.90083200000001</v>
      </c>
      <c r="AB68" s="13">
        <f t="shared" si="83"/>
        <v>1.8326938080000001</v>
      </c>
      <c r="AC68" s="13">
        <f t="shared" ref="AC68" si="84">(0.0518*K68^2)+(27.217*K68)+116.22</f>
        <v>280.83004872000004</v>
      </c>
      <c r="AD68" s="1"/>
      <c r="AE68" s="1"/>
      <c r="AF68" s="1"/>
      <c r="AG68" s="1"/>
      <c r="AN68" s="1">
        <v>66</v>
      </c>
      <c r="AO68" s="1">
        <v>1</v>
      </c>
    </row>
    <row r="69" spans="1:41" s="1" customFormat="1" ht="14.4" x14ac:dyDescent="0.3">
      <c r="A69" s="6">
        <v>42178</v>
      </c>
      <c r="B69" s="32">
        <v>0.35416666666666669</v>
      </c>
      <c r="C69" s="2">
        <v>21.6</v>
      </c>
      <c r="D69" s="2">
        <v>30.15</v>
      </c>
      <c r="E69" s="1" t="s">
        <v>89</v>
      </c>
      <c r="F69" s="101"/>
      <c r="G69" s="1">
        <v>1000</v>
      </c>
      <c r="H69" s="1">
        <v>8.15</v>
      </c>
      <c r="I69" s="1">
        <v>13057</v>
      </c>
      <c r="K69" s="1">
        <v>6.11</v>
      </c>
      <c r="L69" s="1">
        <v>1</v>
      </c>
      <c r="M69" s="7"/>
      <c r="N69" s="2">
        <f>C69</f>
        <v>21.6</v>
      </c>
      <c r="O69" s="8">
        <f>0.001316*((D69*25.4)-(2.5*2053/100))</f>
        <v>0.94026225999999979</v>
      </c>
      <c r="P69" s="9">
        <f>(O69*(G69/1000000))/(0.08205*(N69+273.15))</f>
        <v>3.8879136048841726E-5</v>
      </c>
      <c r="Q69" s="9"/>
      <c r="R69" s="101"/>
      <c r="S69" s="101"/>
      <c r="T69" s="101"/>
      <c r="U69" s="101"/>
      <c r="V69" s="101"/>
      <c r="W69" s="101"/>
      <c r="X69" s="82">
        <f>IF(H69&gt;300,((0.0000000002*H69^2)+(0.0001*H69)+0.0207),((-0.00000001*H69^2)+(0.0001*H69)+0.00008))</f>
        <v>8.9433577500000006E-4</v>
      </c>
      <c r="Y69" s="75">
        <f>(0.00008*K69^2)+(0.008*K69)+0.1202</f>
        <v>0.172066568</v>
      </c>
      <c r="Z69" s="10">
        <f t="shared" si="76"/>
        <v>0.89433577500000006</v>
      </c>
      <c r="AA69" s="10">
        <f t="shared" si="77"/>
        <v>172.06656799999999</v>
      </c>
      <c r="AB69" s="13">
        <f>IF(H69&lt;601, ((-0.00003*H69^2)+(0.2671*H69)+0.4766), (IF(H69&lt;19001,((0.1503*H69)+59.75),((0.000005*H69^2)-(0.0565*H69)+2184))))</f>
        <v>2.6514723250000003</v>
      </c>
      <c r="AC69" s="13">
        <f>(0.0518*K69^2)+(27.217*K69)+116.22</f>
        <v>284.44967278000001</v>
      </c>
      <c r="AN69" s="1">
        <v>67</v>
      </c>
      <c r="AO69" s="1">
        <v>1</v>
      </c>
    </row>
    <row r="70" spans="1:41" s="1" customFormat="1" ht="14.4" x14ac:dyDescent="0.3">
      <c r="A70" s="6">
        <v>42178</v>
      </c>
      <c r="B70" s="6"/>
      <c r="C70" s="2">
        <v>21.6</v>
      </c>
      <c r="D70" s="2">
        <v>30.15</v>
      </c>
      <c r="E70" s="1" t="s">
        <v>89</v>
      </c>
      <c r="F70" s="101"/>
      <c r="G70" s="1">
        <v>1000</v>
      </c>
      <c r="H70" s="1">
        <v>7.54</v>
      </c>
      <c r="I70" s="1">
        <v>13177</v>
      </c>
      <c r="K70" s="1">
        <v>5.24</v>
      </c>
      <c r="L70" s="1">
        <v>1</v>
      </c>
      <c r="M70" s="7"/>
      <c r="N70" s="2">
        <f t="shared" ref="N70:N72" si="85">C70</f>
        <v>21.6</v>
      </c>
      <c r="O70" s="8">
        <f t="shared" ref="O70:O72" si="86">0.001316*((D70*25.4)-(2.5*2053/100))</f>
        <v>0.94026225999999979</v>
      </c>
      <c r="P70" s="9">
        <f t="shared" ref="P70:P72" si="87">(O70*(G70/1000000))/(0.08205*(N70+273.15))</f>
        <v>3.8879136048841726E-5</v>
      </c>
      <c r="Q70" s="9"/>
      <c r="R70" s="101"/>
      <c r="S70" s="101"/>
      <c r="T70" s="101"/>
      <c r="U70" s="101"/>
      <c r="V70" s="101"/>
      <c r="W70" s="101"/>
      <c r="X70" s="82">
        <f t="shared" ref="X70:X72" si="88">IF(H70&gt;300,((0.0000000002*H70^2)+(0.0001*H70)+0.0207),((-0.00000001*H70^2)+(0.0001*H70)+0.00008))</f>
        <v>8.3343148399999995E-4</v>
      </c>
      <c r="Y70" s="75">
        <f t="shared" ref="Y70:Y72" si="89">(0.00008*K70^2)+(0.008*K70)+0.1202</f>
        <v>0.164316608</v>
      </c>
      <c r="Z70" s="10">
        <f t="shared" si="76"/>
        <v>0.833431484</v>
      </c>
      <c r="AA70" s="10">
        <f t="shared" si="77"/>
        <v>164.316608</v>
      </c>
      <c r="AB70" s="13">
        <f t="shared" ref="AB70:AB72" si="90">IF(H70&lt;601, ((-0.00003*H70^2)+(0.2671*H70)+0.4766), (IF(H70&lt;19001,((0.1503*H70)+59.75),((0.000005*H70^2)-(0.0565*H70)+2184))))</f>
        <v>2.4888284519999999</v>
      </c>
      <c r="AC70" s="13">
        <f>(0.0518*K70^2)+(27.217*K70)+116.22</f>
        <v>260.25938367999998</v>
      </c>
      <c r="AN70" s="1">
        <v>68</v>
      </c>
      <c r="AO70" s="1">
        <v>1</v>
      </c>
    </row>
    <row r="71" spans="1:41" s="1" customFormat="1" ht="14.4" x14ac:dyDescent="0.3">
      <c r="A71" s="6">
        <v>42178</v>
      </c>
      <c r="B71" s="6"/>
      <c r="C71" s="2">
        <v>21.6</v>
      </c>
      <c r="D71" s="2">
        <v>30.15</v>
      </c>
      <c r="E71" s="1" t="s">
        <v>89</v>
      </c>
      <c r="F71" s="101"/>
      <c r="G71" s="1">
        <v>1000</v>
      </c>
      <c r="H71" s="1">
        <v>7.79</v>
      </c>
      <c r="I71" s="1">
        <v>13171</v>
      </c>
      <c r="K71" s="1">
        <v>5.98</v>
      </c>
      <c r="L71" s="1">
        <v>1</v>
      </c>
      <c r="M71" s="7"/>
      <c r="N71" s="2">
        <f t="shared" si="85"/>
        <v>21.6</v>
      </c>
      <c r="O71" s="8">
        <f t="shared" si="86"/>
        <v>0.94026225999999979</v>
      </c>
      <c r="P71" s="9">
        <f t="shared" si="87"/>
        <v>3.8879136048841726E-5</v>
      </c>
      <c r="Q71" s="9"/>
      <c r="R71" s="101"/>
      <c r="S71" s="101"/>
      <c r="T71" s="101"/>
      <c r="U71" s="101"/>
      <c r="V71" s="101"/>
      <c r="W71" s="101"/>
      <c r="X71" s="82">
        <f t="shared" si="88"/>
        <v>8.5839315900000006E-4</v>
      </c>
      <c r="Y71" s="75">
        <f t="shared" si="89"/>
        <v>0.170900832</v>
      </c>
      <c r="Z71" s="10">
        <f t="shared" si="76"/>
        <v>0.85839315900000013</v>
      </c>
      <c r="AA71" s="10">
        <f t="shared" si="77"/>
        <v>170.90083200000001</v>
      </c>
      <c r="AB71" s="13">
        <f t="shared" si="90"/>
        <v>2.5554884769999999</v>
      </c>
      <c r="AC71" s="13">
        <f>(0.0518*K71^2)+(27.217*K71)+116.22</f>
        <v>280.83004872000004</v>
      </c>
      <c r="AN71" s="1">
        <v>69</v>
      </c>
      <c r="AO71" s="1">
        <v>1</v>
      </c>
    </row>
    <row r="72" spans="1:41" s="101" customFormat="1" ht="14.4" x14ac:dyDescent="0.3">
      <c r="A72" s="6">
        <v>42178</v>
      </c>
      <c r="B72" s="6"/>
      <c r="C72" s="2">
        <v>21.6</v>
      </c>
      <c r="D72" s="2">
        <v>30.15</v>
      </c>
      <c r="E72" s="7" t="s">
        <v>248</v>
      </c>
      <c r="G72" s="1">
        <v>1000</v>
      </c>
      <c r="H72" s="1">
        <v>6.88</v>
      </c>
      <c r="I72" s="1">
        <v>28638.400000000001</v>
      </c>
      <c r="J72" s="1"/>
      <c r="K72" s="1">
        <v>6.11</v>
      </c>
      <c r="L72" s="1">
        <v>1</v>
      </c>
      <c r="M72" s="7"/>
      <c r="N72" s="2">
        <f t="shared" si="85"/>
        <v>21.6</v>
      </c>
      <c r="O72" s="8">
        <f t="shared" si="86"/>
        <v>0.94026225999999979</v>
      </c>
      <c r="P72" s="9">
        <f t="shared" si="87"/>
        <v>3.8879136048841726E-5</v>
      </c>
      <c r="Q72" s="9"/>
      <c r="X72" s="82">
        <f t="shared" si="88"/>
        <v>7.6752665600000002E-4</v>
      </c>
      <c r="Y72" s="75">
        <f t="shared" si="89"/>
        <v>0.172066568</v>
      </c>
      <c r="Z72" s="10">
        <f t="shared" si="76"/>
        <v>0.76752665600000003</v>
      </c>
      <c r="AA72" s="10">
        <f t="shared" si="77"/>
        <v>172.06656799999999</v>
      </c>
      <c r="AB72" s="13">
        <f t="shared" si="90"/>
        <v>2.3128279680000001</v>
      </c>
      <c r="AC72" s="13">
        <f t="shared" ref="AC72" si="91">(0.0518*K72^2)+(27.217*K72)+116.22</f>
        <v>284.44967278000001</v>
      </c>
      <c r="AD72" s="1"/>
      <c r="AE72" s="1"/>
      <c r="AF72" s="1"/>
      <c r="AG72" s="1"/>
      <c r="AH72" s="1"/>
      <c r="AI72" s="1"/>
      <c r="AJ72" s="1"/>
      <c r="AK72" s="1"/>
      <c r="AN72" s="1">
        <v>70</v>
      </c>
      <c r="AO72" s="1">
        <v>1</v>
      </c>
    </row>
    <row r="73" spans="1:41" s="1" customFormat="1" ht="14.4" x14ac:dyDescent="0.3">
      <c r="A73" s="6">
        <v>42185</v>
      </c>
      <c r="B73" s="32">
        <v>0.38194444444444442</v>
      </c>
      <c r="C73" s="2">
        <v>21.8</v>
      </c>
      <c r="D73" s="2">
        <v>30.04</v>
      </c>
      <c r="E73" s="1" t="s">
        <v>89</v>
      </c>
      <c r="F73" s="101"/>
      <c r="G73" s="1">
        <v>1000</v>
      </c>
      <c r="H73" s="1">
        <v>8.2899999999999991</v>
      </c>
      <c r="I73" s="1">
        <v>13295</v>
      </c>
      <c r="K73" s="1">
        <v>4.1500000000000004</v>
      </c>
      <c r="L73" s="1">
        <v>1</v>
      </c>
      <c r="M73" s="7"/>
      <c r="N73" s="2">
        <f>C73</f>
        <v>21.8</v>
      </c>
      <c r="O73" s="8">
        <f>0.001316*((D73*25.4)-(2.5*2053/100))</f>
        <v>0.93658535599999981</v>
      </c>
      <c r="P73" s="9">
        <f>(O73*(G73/1000000))/(0.08205*(N73+273.15))</f>
        <v>3.8700838727558833E-5</v>
      </c>
      <c r="Q73" s="9"/>
      <c r="R73" s="101"/>
      <c r="S73" s="101"/>
      <c r="T73" s="101"/>
      <c r="U73" s="101"/>
      <c r="V73" s="101"/>
      <c r="W73" s="101"/>
      <c r="X73" s="82">
        <f>IF(H73&gt;300,((0.0000000002*H73^2)+(0.0001*H73)+0.0207),((-0.00000001*H73^2)+(0.0001*H73)+0.00008))</f>
        <v>9.0831275899999999E-4</v>
      </c>
      <c r="Y73" s="75">
        <f>(0.00008*K73^2)+(0.008*K73)+0.1202</f>
        <v>0.15477779999999999</v>
      </c>
      <c r="Z73" s="10">
        <f t="shared" si="76"/>
        <v>0.90831275900000008</v>
      </c>
      <c r="AA73" s="10">
        <f t="shared" si="77"/>
        <v>154.77779999999998</v>
      </c>
      <c r="AB73" s="13">
        <f>IF(H73&lt;601, ((-0.00003*H73^2)+(0.2671*H73)+0.4766), (IF(H73&lt;19001,((0.1503*H73)+59.75),((0.000005*H73^2)-(0.0565*H73)+2184))))</f>
        <v>2.6887972769999995</v>
      </c>
      <c r="AC73" s="13">
        <f>(0.0518*K73^2)+(27.217*K73)+116.22</f>
        <v>230.06267550000001</v>
      </c>
      <c r="AN73" s="1">
        <v>71</v>
      </c>
      <c r="AO73" s="1">
        <v>1</v>
      </c>
    </row>
    <row r="74" spans="1:41" s="1" customFormat="1" ht="14.4" x14ac:dyDescent="0.3">
      <c r="A74" s="6">
        <v>42185</v>
      </c>
      <c r="B74" s="6"/>
      <c r="C74" s="2">
        <v>21.8</v>
      </c>
      <c r="D74" s="2">
        <v>30.04</v>
      </c>
      <c r="E74" s="1" t="s">
        <v>89</v>
      </c>
      <c r="F74" s="101"/>
      <c r="G74" s="1">
        <v>1000</v>
      </c>
      <c r="H74" s="1">
        <v>7.18</v>
      </c>
      <c r="I74" s="1">
        <v>13091</v>
      </c>
      <c r="K74" s="1">
        <v>4.25</v>
      </c>
      <c r="L74" s="1">
        <v>1</v>
      </c>
      <c r="M74" s="7"/>
      <c r="N74" s="2">
        <f t="shared" ref="N74:N76" si="92">C74</f>
        <v>21.8</v>
      </c>
      <c r="O74" s="8">
        <f t="shared" ref="O74:O76" si="93">0.001316*((D74*25.4)-(2.5*2053/100))</f>
        <v>0.93658535599999981</v>
      </c>
      <c r="P74" s="9">
        <f t="shared" ref="P74:P76" si="94">(O74*(G74/1000000))/(0.08205*(N74+273.15))</f>
        <v>3.8700838727558833E-5</v>
      </c>
      <c r="Q74" s="9"/>
      <c r="R74" s="101"/>
      <c r="S74" s="101"/>
      <c r="T74" s="101"/>
      <c r="U74" s="101"/>
      <c r="V74" s="101"/>
      <c r="W74" s="101"/>
      <c r="X74" s="82">
        <f t="shared" ref="X74:X76" si="95">IF(H74&gt;300,((0.0000000002*H74^2)+(0.0001*H74)+0.0207),((-0.00000001*H74^2)+(0.0001*H74)+0.00008))</f>
        <v>7.9748447599999994E-4</v>
      </c>
      <c r="Y74" s="75">
        <f t="shared" ref="Y74:Y76" si="96">(0.00008*K74^2)+(0.008*K74)+0.1202</f>
        <v>0.15564500000000001</v>
      </c>
      <c r="Z74" s="10">
        <f t="shared" si="76"/>
        <v>0.79748447599999994</v>
      </c>
      <c r="AA74" s="10">
        <f t="shared" si="77"/>
        <v>155.64500000000001</v>
      </c>
      <c r="AB74" s="13">
        <f t="shared" ref="AB74:AB76" si="97">IF(H74&lt;601, ((-0.00003*H74^2)+(0.2671*H74)+0.4766), (IF(H74&lt;19001,((0.1503*H74)+59.75),((0.000005*H74^2)-(0.0565*H74)+2184))))</f>
        <v>2.392831428</v>
      </c>
      <c r="AC74" s="13">
        <f>(0.0518*K74^2)+(27.217*K74)+116.22</f>
        <v>232.82788749999997</v>
      </c>
      <c r="AN74" s="1">
        <v>72</v>
      </c>
      <c r="AO74" s="1">
        <v>1</v>
      </c>
    </row>
    <row r="75" spans="1:41" s="1" customFormat="1" ht="14.4" x14ac:dyDescent="0.3">
      <c r="A75" s="6">
        <v>42185</v>
      </c>
      <c r="B75" s="6"/>
      <c r="C75" s="2">
        <v>21.8</v>
      </c>
      <c r="D75" s="2">
        <v>30.04</v>
      </c>
      <c r="E75" s="1" t="s">
        <v>89</v>
      </c>
      <c r="F75" s="101"/>
      <c r="G75" s="1">
        <v>1000</v>
      </c>
      <c r="H75" s="1">
        <v>7.45</v>
      </c>
      <c r="I75" s="1">
        <v>132.61000000000001</v>
      </c>
      <c r="K75" s="1">
        <v>4.07</v>
      </c>
      <c r="L75" s="1">
        <v>1</v>
      </c>
      <c r="M75" s="7"/>
      <c r="N75" s="2">
        <f t="shared" si="92"/>
        <v>21.8</v>
      </c>
      <c r="O75" s="8">
        <f t="shared" si="93"/>
        <v>0.93658535599999981</v>
      </c>
      <c r="P75" s="9">
        <f t="shared" si="94"/>
        <v>3.8700838727558833E-5</v>
      </c>
      <c r="Q75" s="9"/>
      <c r="R75" s="101"/>
      <c r="S75" s="101"/>
      <c r="T75" s="101"/>
      <c r="U75" s="101"/>
      <c r="V75" s="101"/>
      <c r="W75" s="101"/>
      <c r="X75" s="82">
        <f t="shared" si="95"/>
        <v>8.2444497500000003E-4</v>
      </c>
      <c r="Y75" s="75">
        <f t="shared" si="96"/>
        <v>0.15408519200000001</v>
      </c>
      <c r="Z75" s="10">
        <f t="shared" si="76"/>
        <v>0.82444497500000002</v>
      </c>
      <c r="AA75" s="10">
        <f t="shared" si="77"/>
        <v>154.08519200000001</v>
      </c>
      <c r="AB75" s="13">
        <f t="shared" si="97"/>
        <v>2.4648299250000001</v>
      </c>
      <c r="AC75" s="13">
        <f>(0.0518*K75^2)+(27.217*K75)+116.22</f>
        <v>227.85125182000002</v>
      </c>
      <c r="AN75" s="1">
        <v>73</v>
      </c>
      <c r="AO75" s="1">
        <v>1</v>
      </c>
    </row>
    <row r="76" spans="1:41" s="101" customFormat="1" ht="14.4" x14ac:dyDescent="0.3">
      <c r="A76" s="6">
        <v>42185</v>
      </c>
      <c r="B76" s="32">
        <v>0.19791666666666666</v>
      </c>
      <c r="C76" s="2">
        <v>22</v>
      </c>
      <c r="D76" s="2">
        <v>30</v>
      </c>
      <c r="E76" s="7" t="s">
        <v>89</v>
      </c>
      <c r="G76" s="1">
        <v>1000</v>
      </c>
      <c r="H76" s="1">
        <v>6.94</v>
      </c>
      <c r="I76" s="1">
        <v>12826</v>
      </c>
      <c r="K76" s="1">
        <v>3.76</v>
      </c>
      <c r="L76" s="1">
        <v>1</v>
      </c>
      <c r="M76" s="7"/>
      <c r="N76" s="2">
        <f t="shared" si="92"/>
        <v>22</v>
      </c>
      <c r="O76" s="8">
        <f t="shared" si="93"/>
        <v>0.93524829999999992</v>
      </c>
      <c r="P76" s="9">
        <f t="shared" si="94"/>
        <v>3.8619402873367253E-5</v>
      </c>
      <c r="Q76" s="9"/>
      <c r="X76" s="82">
        <f t="shared" si="95"/>
        <v>7.7351836400000001E-4</v>
      </c>
      <c r="Y76" s="75">
        <f t="shared" si="96"/>
        <v>0.15141100800000001</v>
      </c>
      <c r="Z76" s="10">
        <f t="shared" si="76"/>
        <v>0.77351836400000007</v>
      </c>
      <c r="AA76" s="10">
        <f t="shared" si="77"/>
        <v>151.41100800000001</v>
      </c>
      <c r="AB76" s="13">
        <f t="shared" si="97"/>
        <v>2.3288290919999999</v>
      </c>
      <c r="AC76" s="13">
        <f t="shared" ref="AC76" si="98">(0.0518*K76^2)+(27.217*K76)+116.22</f>
        <v>219.28824767999998</v>
      </c>
      <c r="AD76" s="1"/>
      <c r="AE76" s="1"/>
      <c r="AF76" s="1"/>
      <c r="AG76" s="1"/>
      <c r="AH76" s="1"/>
      <c r="AI76" s="1"/>
      <c r="AJ76" s="1"/>
      <c r="AK76" s="1"/>
      <c r="AN76" s="1">
        <v>74</v>
      </c>
      <c r="AO76" s="1">
        <v>1</v>
      </c>
    </row>
    <row r="77" spans="1:41" s="1" customFormat="1" ht="14.4" x14ac:dyDescent="0.3">
      <c r="A77" s="6">
        <v>42194</v>
      </c>
      <c r="B77" s="32">
        <v>0.3923611111111111</v>
      </c>
      <c r="C77" s="2">
        <v>21.7</v>
      </c>
      <c r="D77" s="2">
        <v>30.22</v>
      </c>
      <c r="E77" s="1" t="s">
        <v>89</v>
      </c>
      <c r="F77" s="101"/>
      <c r="G77" s="1">
        <v>1000</v>
      </c>
      <c r="H77" s="1">
        <v>6.55</v>
      </c>
      <c r="I77" s="1">
        <v>12925</v>
      </c>
      <c r="K77" s="1">
        <v>5.13</v>
      </c>
      <c r="L77" s="1">
        <v>1</v>
      </c>
      <c r="M77" s="7"/>
      <c r="N77" s="2">
        <f>C77</f>
        <v>21.7</v>
      </c>
      <c r="O77" s="8">
        <f>0.001316*((D77*25.4)-(2.5*2053/100))</f>
        <v>0.94260210799999977</v>
      </c>
      <c r="P77" s="9">
        <f>(O77*(G77/1000000))/(0.08205*(N77+273.15))</f>
        <v>3.8962668114226165E-5</v>
      </c>
      <c r="Q77" s="9"/>
      <c r="R77" s="101"/>
      <c r="S77" s="101"/>
      <c r="T77" s="101"/>
      <c r="U77" s="101"/>
      <c r="V77" s="101"/>
      <c r="W77" s="101"/>
      <c r="X77" s="82">
        <f>IF(H77&gt;300,((0.0000000002*H77^2)+(0.0001*H77)+0.0207),((-0.00000001*H77^2)+(0.0001*H77)+0.00008))</f>
        <v>7.3457097499999994E-4</v>
      </c>
      <c r="Y77" s="75">
        <f>(0.00008*K77^2)+(0.008*K77)+0.1202</f>
        <v>0.163345352</v>
      </c>
      <c r="Z77" s="10">
        <f t="shared" si="76"/>
        <v>0.73457097500000001</v>
      </c>
      <c r="AA77" s="10">
        <f t="shared" si="77"/>
        <v>163.34535200000002</v>
      </c>
      <c r="AB77" s="13">
        <f>IF(H77&lt;601, ((-0.00003*H77^2)+(0.2671*H77)+0.4766), (IF(H77&lt;19001,((0.1503*H77)+59.75),((0.000005*H77^2)-(0.0565*H77)+2184))))</f>
        <v>2.224817925</v>
      </c>
      <c r="AC77" s="13">
        <f>(0.0518*K77^2)+(27.217*K77)+116.22</f>
        <v>257.20642541999996</v>
      </c>
      <c r="AN77" s="1">
        <v>75</v>
      </c>
      <c r="AO77" s="1">
        <v>1</v>
      </c>
    </row>
    <row r="78" spans="1:41" s="1" customFormat="1" ht="14.4" x14ac:dyDescent="0.3">
      <c r="A78" s="6">
        <v>42194</v>
      </c>
      <c r="B78" s="6"/>
      <c r="C78" s="2">
        <v>21.7</v>
      </c>
      <c r="D78" s="2">
        <v>30.22</v>
      </c>
      <c r="E78" s="1" t="s">
        <v>89</v>
      </c>
      <c r="F78" s="101"/>
      <c r="G78" s="1">
        <v>1000</v>
      </c>
      <c r="H78" s="1">
        <v>7.21</v>
      </c>
      <c r="I78" s="1">
        <v>13111</v>
      </c>
      <c r="K78" s="1">
        <v>5.0199999999999996</v>
      </c>
      <c r="L78" s="1">
        <v>1</v>
      </c>
      <c r="M78" s="7"/>
      <c r="N78" s="2">
        <f t="shared" ref="N78:N80" si="99">C78</f>
        <v>21.7</v>
      </c>
      <c r="O78" s="8">
        <f t="shared" ref="O78:O80" si="100">0.001316*((D78*25.4)-(2.5*2053/100))</f>
        <v>0.94260210799999977</v>
      </c>
      <c r="P78" s="9">
        <f t="shared" ref="P78:P80" si="101">(O78*(G78/1000000))/(0.08205*(N78+273.15))</f>
        <v>3.8962668114226165E-5</v>
      </c>
      <c r="Q78" s="9"/>
      <c r="R78" s="101"/>
      <c r="S78" s="101"/>
      <c r="T78" s="101"/>
      <c r="U78" s="101"/>
      <c r="V78" s="101"/>
      <c r="W78" s="101"/>
      <c r="X78" s="82">
        <f t="shared" ref="X78:X80" si="102">IF(H78&gt;300,((0.0000000002*H78^2)+(0.0001*H78)+0.0207),((-0.00000001*H78^2)+(0.0001*H78)+0.00008))</f>
        <v>8.0048015900000002E-4</v>
      </c>
      <c r="Y78" s="75">
        <f t="shared" ref="Y78:Y80" si="103">(0.00008*K78^2)+(0.008*K78)+0.1202</f>
        <v>0.162376032</v>
      </c>
      <c r="Z78" s="10">
        <f t="shared" si="76"/>
        <v>0.80048015900000002</v>
      </c>
      <c r="AA78" s="10">
        <f t="shared" si="77"/>
        <v>162.37603200000001</v>
      </c>
      <c r="AB78" s="13">
        <f t="shared" ref="AB78:AB80" si="104">IF(H78&lt;601, ((-0.00003*H78^2)+(0.2671*H78)+0.4766), (IF(H78&lt;19001,((0.1503*H78)+59.75),((0.000005*H78^2)-(0.0565*H78)+2184))))</f>
        <v>2.4008314770000001</v>
      </c>
      <c r="AC78" s="13">
        <f>(0.0518*K78^2)+(27.217*K78)+116.22</f>
        <v>254.15472071999997</v>
      </c>
      <c r="AN78" s="1">
        <v>76</v>
      </c>
      <c r="AO78" s="1">
        <v>1</v>
      </c>
    </row>
    <row r="79" spans="1:41" s="1" customFormat="1" ht="14.4" x14ac:dyDescent="0.3">
      <c r="A79" s="6">
        <v>42194</v>
      </c>
      <c r="B79" s="6"/>
      <c r="C79" s="2">
        <v>21.7</v>
      </c>
      <c r="D79" s="2">
        <v>30.22</v>
      </c>
      <c r="E79" s="1" t="s">
        <v>89</v>
      </c>
      <c r="F79" s="101"/>
      <c r="G79" s="1">
        <v>1000</v>
      </c>
      <c r="H79" s="1">
        <v>7.73</v>
      </c>
      <c r="I79" s="1">
        <v>13004</v>
      </c>
      <c r="K79" s="1">
        <v>3.23</v>
      </c>
      <c r="L79" s="1">
        <v>1</v>
      </c>
      <c r="M79" s="7"/>
      <c r="N79" s="2">
        <f t="shared" si="99"/>
        <v>21.7</v>
      </c>
      <c r="O79" s="8">
        <f t="shared" si="100"/>
        <v>0.94260210799999977</v>
      </c>
      <c r="P79" s="9">
        <f t="shared" si="101"/>
        <v>3.8962668114226165E-5</v>
      </c>
      <c r="Q79" s="9"/>
      <c r="R79" s="101"/>
      <c r="S79" s="101"/>
      <c r="T79" s="101"/>
      <c r="U79" s="101"/>
      <c r="V79" s="101"/>
      <c r="W79" s="101"/>
      <c r="X79" s="82">
        <f t="shared" si="102"/>
        <v>8.52402471E-4</v>
      </c>
      <c r="Y79" s="75">
        <f t="shared" si="103"/>
        <v>0.146874632</v>
      </c>
      <c r="Z79" s="10">
        <f t="shared" si="76"/>
        <v>0.85240247099999999</v>
      </c>
      <c r="AA79" s="10">
        <f t="shared" si="77"/>
        <v>146.87463200000002</v>
      </c>
      <c r="AB79" s="13">
        <f t="shared" si="104"/>
        <v>2.5394904129999998</v>
      </c>
      <c r="AC79" s="13">
        <f>(0.0518*K79^2)+(27.217*K79)+116.22</f>
        <v>204.67133422000001</v>
      </c>
      <c r="AN79" s="1">
        <v>77</v>
      </c>
      <c r="AO79" s="1">
        <v>1</v>
      </c>
    </row>
    <row r="80" spans="1:41" s="101" customFormat="1" ht="14.4" x14ac:dyDescent="0.3">
      <c r="A80" s="6">
        <v>42194</v>
      </c>
      <c r="B80" s="32">
        <v>0.14583333333333334</v>
      </c>
      <c r="C80" s="2">
        <v>22</v>
      </c>
      <c r="D80" s="2">
        <v>30.13</v>
      </c>
      <c r="E80" s="7" t="s">
        <v>89</v>
      </c>
      <c r="G80" s="1">
        <v>1000</v>
      </c>
      <c r="H80" s="1">
        <v>6.94</v>
      </c>
      <c r="I80" s="1">
        <v>12972</v>
      </c>
      <c r="J80" s="1"/>
      <c r="K80" s="1">
        <v>3.4</v>
      </c>
      <c r="L80" s="1">
        <v>1</v>
      </c>
      <c r="M80" s="7"/>
      <c r="N80" s="2">
        <f t="shared" si="99"/>
        <v>22</v>
      </c>
      <c r="O80" s="8">
        <f t="shared" si="100"/>
        <v>0.93959373199999974</v>
      </c>
      <c r="P80" s="9">
        <f t="shared" si="101"/>
        <v>3.8798839702139693E-5</v>
      </c>
      <c r="Q80" s="9"/>
      <c r="X80" s="82">
        <f t="shared" si="102"/>
        <v>7.7351836400000001E-4</v>
      </c>
      <c r="Y80" s="75">
        <f t="shared" si="103"/>
        <v>0.14832480000000001</v>
      </c>
      <c r="Z80" s="10">
        <f t="shared" si="76"/>
        <v>0.77351836400000007</v>
      </c>
      <c r="AA80" s="10">
        <f t="shared" si="77"/>
        <v>148.32480000000001</v>
      </c>
      <c r="AB80" s="13">
        <f t="shared" si="104"/>
        <v>2.3288290919999999</v>
      </c>
      <c r="AC80" s="13">
        <f t="shared" ref="AC80" si="105">(0.0518*K80^2)+(27.217*K80)+116.22</f>
        <v>209.35660799999999</v>
      </c>
      <c r="AD80" s="1"/>
      <c r="AE80" s="1"/>
      <c r="AF80" s="1"/>
      <c r="AG80" s="1"/>
      <c r="AN80" s="1">
        <v>78</v>
      </c>
      <c r="AO80" s="1">
        <v>1</v>
      </c>
    </row>
    <row r="81" spans="1:41" s="1" customFormat="1" ht="14.4" x14ac:dyDescent="0.3">
      <c r="A81" s="6">
        <v>42199</v>
      </c>
      <c r="B81" s="32">
        <v>0.4236111111111111</v>
      </c>
      <c r="C81" s="2">
        <v>21.9</v>
      </c>
      <c r="D81" s="2">
        <v>29.81</v>
      </c>
      <c r="E81" s="7" t="s">
        <v>89</v>
      </c>
      <c r="F81" s="101"/>
      <c r="G81" s="1">
        <v>1000</v>
      </c>
      <c r="H81" s="1">
        <v>8.8699999999999992</v>
      </c>
      <c r="I81" s="1">
        <v>12805</v>
      </c>
      <c r="K81" s="1">
        <v>5.92</v>
      </c>
      <c r="L81" s="1">
        <v>1</v>
      </c>
      <c r="M81" s="7"/>
      <c r="N81" s="2">
        <f>C81</f>
        <v>21.9</v>
      </c>
      <c r="O81" s="8">
        <f>0.001316*((D81*25.4)-(2.5*2053/100))</f>
        <v>0.92889728399999982</v>
      </c>
      <c r="P81" s="9">
        <f>(O81*(G81/1000000))/(0.08205*(N81+273.15))</f>
        <v>3.8370149266678377E-5</v>
      </c>
      <c r="Q81" s="9"/>
      <c r="R81" s="101"/>
      <c r="S81" s="101"/>
      <c r="T81" s="101"/>
      <c r="U81" s="101"/>
      <c r="V81" s="101"/>
      <c r="W81" s="101"/>
      <c r="X81" s="82">
        <f>IF(H81&gt;300,((0.0000000002*H81^2)+(0.0001*H81)+0.0207),((-0.00000001*H81^2)+(0.0001*H81)+0.00008))</f>
        <v>9.66213231E-4</v>
      </c>
      <c r="Y81" s="75">
        <f>(0.00008*K81^2)+(0.008*K81)+0.1202</f>
        <v>0.170363712</v>
      </c>
      <c r="Z81" s="10">
        <f t="shared" si="76"/>
        <v>0.96621323100000001</v>
      </c>
      <c r="AA81" s="10">
        <f t="shared" si="77"/>
        <v>170.36371199999999</v>
      </c>
      <c r="AB81" s="13">
        <f>IF(H81&lt;601, ((-0.00003*H81^2)+(0.2671*H81)+0.4766), (IF(H81&lt;19001,((0.1503*H81)+59.75),((0.000005*H81^2)-(0.0565*H81)+2184))))</f>
        <v>2.8434166929999996</v>
      </c>
      <c r="AC81" s="13">
        <f>(0.0518*K81^2)+(27.217*K81)+116.22</f>
        <v>279.16004351999999</v>
      </c>
      <c r="AN81" s="1">
        <v>79</v>
      </c>
      <c r="AO81" s="1">
        <v>1</v>
      </c>
    </row>
    <row r="82" spans="1:41" s="1" customFormat="1" ht="14.4" x14ac:dyDescent="0.3">
      <c r="A82" s="6">
        <v>42199</v>
      </c>
      <c r="B82" s="6"/>
      <c r="C82" s="2">
        <v>21.9</v>
      </c>
      <c r="D82" s="2">
        <v>29.81</v>
      </c>
      <c r="E82" s="7" t="s">
        <v>89</v>
      </c>
      <c r="F82" s="101"/>
      <c r="G82" s="1">
        <v>1000</v>
      </c>
      <c r="H82" s="1">
        <v>5.93</v>
      </c>
      <c r="I82" s="1">
        <v>12889</v>
      </c>
      <c r="K82" s="1">
        <v>4.78</v>
      </c>
      <c r="L82" s="1">
        <v>1</v>
      </c>
      <c r="M82" s="7"/>
      <c r="N82" s="2">
        <f t="shared" ref="N82:N84" si="106">C82</f>
        <v>21.9</v>
      </c>
      <c r="O82" s="8">
        <f t="shared" ref="O82:O84" si="107">0.001316*((D82*25.4)-(2.5*2053/100))</f>
        <v>0.92889728399999982</v>
      </c>
      <c r="P82" s="9">
        <f t="shared" ref="P82:P84" si="108">(O82*(G82/1000000))/(0.08205*(N82+273.15))</f>
        <v>3.8370149266678377E-5</v>
      </c>
      <c r="Q82" s="9"/>
      <c r="R82" s="101"/>
      <c r="S82" s="101"/>
      <c r="T82" s="101"/>
      <c r="U82" s="101"/>
      <c r="V82" s="101"/>
      <c r="W82" s="101"/>
      <c r="X82" s="82">
        <f t="shared" ref="X82:X84" si="109">IF(H82&gt;300,((0.0000000002*H82^2)+(0.0001*H82)+0.0207),((-0.00000001*H82^2)+(0.0001*H82)+0.00008))</f>
        <v>6.7264835099999998E-4</v>
      </c>
      <c r="Y82" s="75">
        <f t="shared" ref="Y82:Y84" si="110">(0.00008*K82^2)+(0.008*K82)+0.1202</f>
        <v>0.16026787200000001</v>
      </c>
      <c r="Z82" s="10">
        <f t="shared" si="76"/>
        <v>0.67264835099999998</v>
      </c>
      <c r="AA82" s="10">
        <f t="shared" si="77"/>
        <v>160.26787200000001</v>
      </c>
      <c r="AB82" s="13">
        <f t="shared" ref="AB82:AB84" si="111">IF(H82&lt;601, ((-0.00003*H82^2)+(0.2671*H82)+0.4766), (IF(H82&lt;19001,((0.1503*H82)+59.75),((0.000005*H82^2)-(0.0565*H82)+2184))))</f>
        <v>2.0594480529999997</v>
      </c>
      <c r="AC82" s="13">
        <f>(0.0518*K82^2)+(27.217*K82)+116.22</f>
        <v>247.50080712000002</v>
      </c>
      <c r="AN82" s="1">
        <v>80</v>
      </c>
      <c r="AO82" s="1">
        <v>1</v>
      </c>
    </row>
    <row r="83" spans="1:41" s="1" customFormat="1" ht="14.4" x14ac:dyDescent="0.3">
      <c r="A83" s="6">
        <v>42199</v>
      </c>
      <c r="B83" s="6"/>
      <c r="C83" s="2">
        <v>21.9</v>
      </c>
      <c r="D83" s="2">
        <v>29.81</v>
      </c>
      <c r="E83" s="7" t="s">
        <v>89</v>
      </c>
      <c r="F83" s="101"/>
      <c r="G83" s="1">
        <v>1000</v>
      </c>
      <c r="H83" s="1">
        <v>6.82</v>
      </c>
      <c r="I83" s="1">
        <v>12929</v>
      </c>
      <c r="K83" s="1">
        <v>4.51</v>
      </c>
      <c r="L83" s="1">
        <v>1</v>
      </c>
      <c r="M83" s="7"/>
      <c r="N83" s="2">
        <f t="shared" si="106"/>
        <v>21.9</v>
      </c>
      <c r="O83" s="8">
        <f t="shared" si="107"/>
        <v>0.92889728399999982</v>
      </c>
      <c r="P83" s="9">
        <f t="shared" si="108"/>
        <v>3.8370149266678377E-5</v>
      </c>
      <c r="Q83" s="9"/>
      <c r="R83" s="101"/>
      <c r="S83" s="101"/>
      <c r="T83" s="101"/>
      <c r="U83" s="101"/>
      <c r="V83" s="101"/>
      <c r="W83" s="101"/>
      <c r="X83" s="82">
        <f t="shared" si="109"/>
        <v>7.6153487600000009E-4</v>
      </c>
      <c r="Y83" s="75">
        <f t="shared" si="110"/>
        <v>0.15790720799999999</v>
      </c>
      <c r="Z83" s="10">
        <f t="shared" si="76"/>
        <v>0.76153487600000003</v>
      </c>
      <c r="AA83" s="10">
        <f t="shared" si="77"/>
        <v>157.907208</v>
      </c>
      <c r="AB83" s="13">
        <f t="shared" si="111"/>
        <v>2.2968266280000003</v>
      </c>
      <c r="AC83" s="13">
        <f>(0.0518*K83^2)+(27.217*K83)+116.22</f>
        <v>240.02228717999998</v>
      </c>
      <c r="AN83" s="1">
        <v>81</v>
      </c>
      <c r="AO83" s="1">
        <v>1</v>
      </c>
    </row>
    <row r="84" spans="1:41" s="9" customFormat="1" ht="14.4" x14ac:dyDescent="0.3">
      <c r="A84" s="6">
        <v>42199</v>
      </c>
      <c r="B84" s="32"/>
      <c r="C84" s="2">
        <v>21.9</v>
      </c>
      <c r="D84" s="2">
        <v>29.81</v>
      </c>
      <c r="E84" s="7" t="s">
        <v>89</v>
      </c>
      <c r="F84" s="101"/>
      <c r="G84" s="1">
        <v>1000</v>
      </c>
      <c r="H84" s="1">
        <v>7.53</v>
      </c>
      <c r="I84" s="1">
        <v>12296</v>
      </c>
      <c r="J84" s="1"/>
      <c r="K84" s="1">
        <v>2.4900000000000002</v>
      </c>
      <c r="L84" s="1">
        <v>1</v>
      </c>
      <c r="M84" s="7"/>
      <c r="N84" s="2">
        <f t="shared" si="106"/>
        <v>21.9</v>
      </c>
      <c r="O84" s="8">
        <f t="shared" si="107"/>
        <v>0.92889728399999982</v>
      </c>
      <c r="P84" s="9">
        <f t="shared" si="108"/>
        <v>3.8370149266678377E-5</v>
      </c>
      <c r="R84" s="101"/>
      <c r="S84" s="101"/>
      <c r="T84" s="101"/>
      <c r="U84" s="101"/>
      <c r="V84" s="101"/>
      <c r="W84" s="101"/>
      <c r="X84" s="82">
        <f t="shared" si="109"/>
        <v>8.3243299100000008E-4</v>
      </c>
      <c r="Y84" s="75">
        <f t="shared" si="110"/>
        <v>0.14061600800000001</v>
      </c>
      <c r="Z84" s="10">
        <f t="shared" si="76"/>
        <v>0.83243299100000012</v>
      </c>
      <c r="AA84" s="10">
        <f t="shared" si="77"/>
        <v>140.61600799999999</v>
      </c>
      <c r="AB84" s="13">
        <f t="shared" si="111"/>
        <v>2.4861619729999997</v>
      </c>
      <c r="AC84" s="13">
        <f t="shared" ref="AC84" si="112">(0.0518*K84^2)+(27.217*K84)+116.22</f>
        <v>184.31149518000001</v>
      </c>
      <c r="AD84" s="1"/>
      <c r="AE84" s="1"/>
      <c r="AF84" s="1"/>
      <c r="AG84" s="1"/>
      <c r="AH84" s="101"/>
      <c r="AI84" s="101"/>
      <c r="AJ84" s="101"/>
      <c r="AK84" s="101"/>
      <c r="AL84" s="101"/>
      <c r="AN84" s="1">
        <v>82</v>
      </c>
      <c r="AO84" s="1">
        <v>1</v>
      </c>
    </row>
    <row r="85" spans="1:41" s="1" customFormat="1" ht="14.4" x14ac:dyDescent="0.3">
      <c r="A85" s="6">
        <v>42206</v>
      </c>
      <c r="B85" s="32">
        <v>0.47569444444444442</v>
      </c>
      <c r="C85" s="2">
        <v>22.4</v>
      </c>
      <c r="D85" s="2">
        <v>29.88</v>
      </c>
      <c r="E85" s="7" t="s">
        <v>89</v>
      </c>
      <c r="F85" s="101"/>
      <c r="G85" s="1">
        <v>1000</v>
      </c>
      <c r="H85" s="1">
        <v>7.63</v>
      </c>
      <c r="I85" s="1">
        <v>12517</v>
      </c>
      <c r="K85" s="1">
        <v>3.98</v>
      </c>
      <c r="L85" s="1">
        <v>1</v>
      </c>
      <c r="M85" s="7"/>
      <c r="N85" s="2">
        <f>C85</f>
        <v>22.4</v>
      </c>
      <c r="O85" s="8">
        <f>0.001316*((D85*25.4)-(2.5*2053/100))</f>
        <v>0.93123713199999969</v>
      </c>
      <c r="P85" s="9">
        <f>(O85*(G85/1000000))/(0.08205*(N85+273.15))</f>
        <v>3.8401725204591231E-5</v>
      </c>
      <c r="Q85" s="9"/>
      <c r="R85" s="101"/>
      <c r="S85" s="101"/>
      <c r="T85" s="101"/>
      <c r="U85" s="101"/>
      <c r="V85" s="101"/>
      <c r="W85" s="101"/>
      <c r="X85" s="82">
        <f>IF(H85&gt;300,((0.0000000002*H85^2)+(0.0001*H85)+0.0207),((-0.00000001*H85^2)+(0.0001*H85)+0.00008))</f>
        <v>8.4241783099999997E-4</v>
      </c>
      <c r="Y85" s="75">
        <f>(0.00008*K85^2)+(0.008*K85)+0.1202</f>
        <v>0.15330723200000002</v>
      </c>
      <c r="Z85" s="10">
        <f t="shared" si="76"/>
        <v>0.84241783100000001</v>
      </c>
      <c r="AA85" s="10">
        <f t="shared" si="77"/>
        <v>153.30723200000003</v>
      </c>
      <c r="AB85" s="13">
        <f>IF(H85&lt;601, ((-0.00003*H85^2)+(0.2671*H85)+0.4766), (IF(H85&lt;19001,((0.1503*H85)+59.75),((0.000005*H85^2)-(0.0565*H85)+2184))))</f>
        <v>2.5128264929999999</v>
      </c>
      <c r="AC85" s="13">
        <f t="shared" ref="AC85:AC90" si="113">(0.0518*K85^2)+(27.217*K85)+116.22</f>
        <v>225.36419272000001</v>
      </c>
      <c r="AN85" s="1">
        <v>83</v>
      </c>
      <c r="AO85" s="1">
        <v>1</v>
      </c>
    </row>
    <row r="86" spans="1:41" s="1" customFormat="1" ht="14.4" x14ac:dyDescent="0.3">
      <c r="A86" s="6">
        <v>42206</v>
      </c>
      <c r="B86" s="6"/>
      <c r="C86" s="2">
        <v>22.4</v>
      </c>
      <c r="D86" s="2">
        <v>29.88</v>
      </c>
      <c r="E86" s="7" t="s">
        <v>89</v>
      </c>
      <c r="F86" s="101"/>
      <c r="G86" s="1">
        <v>1000</v>
      </c>
      <c r="H86" s="1">
        <v>6.84</v>
      </c>
      <c r="I86" s="1">
        <v>12922</v>
      </c>
      <c r="K86" s="1">
        <v>3.86</v>
      </c>
      <c r="L86" s="1">
        <v>1</v>
      </c>
      <c r="M86" s="7"/>
      <c r="N86" s="2">
        <f t="shared" ref="N86:N87" si="114">C86</f>
        <v>22.4</v>
      </c>
      <c r="O86" s="8">
        <f t="shared" ref="O86:O87" si="115">0.001316*((D86*25.4)-(2.5*2053/100))</f>
        <v>0.93123713199999969</v>
      </c>
      <c r="P86" s="9">
        <f t="shared" ref="P86:P87" si="116">(O86*(G86/1000000))/(0.08205*(N86+273.15))</f>
        <v>3.8401725204591231E-5</v>
      </c>
      <c r="Q86" s="9"/>
      <c r="R86" s="101"/>
      <c r="S86" s="101"/>
      <c r="T86" s="101"/>
      <c r="U86" s="101"/>
      <c r="V86" s="101"/>
      <c r="W86" s="101"/>
      <c r="X86" s="82">
        <f t="shared" ref="X86:X87" si="117">IF(H86&gt;300,((0.0000000002*H86^2)+(0.0001*H86)+0.0207),((-0.00000001*H86^2)+(0.0001*H86)+0.00008))</f>
        <v>7.63532144E-4</v>
      </c>
      <c r="Y86" s="75">
        <f t="shared" ref="Y86:Y87" si="118">(0.00008*K86^2)+(0.008*K86)+0.1202</f>
        <v>0.15227196800000001</v>
      </c>
      <c r="Z86" s="10">
        <f t="shared" si="76"/>
        <v>0.76353214400000002</v>
      </c>
      <c r="AA86" s="10">
        <f t="shared" si="77"/>
        <v>152.27196799999999</v>
      </c>
      <c r="AB86" s="13">
        <f t="shared" ref="AB86:AB87" si="119">IF(H86&lt;601, ((-0.00003*H86^2)+(0.2671*H86)+0.4766), (IF(H86&lt;19001,((0.1503*H86)+59.75),((0.000005*H86^2)-(0.0565*H86)+2184))))</f>
        <v>2.302160432</v>
      </c>
      <c r="AC86" s="13">
        <f t="shared" si="113"/>
        <v>222.04941928</v>
      </c>
      <c r="AN86" s="1">
        <v>84</v>
      </c>
      <c r="AO86" s="1">
        <v>1</v>
      </c>
    </row>
    <row r="87" spans="1:41" s="1" customFormat="1" ht="14.4" x14ac:dyDescent="0.3">
      <c r="A87" s="6">
        <v>42206</v>
      </c>
      <c r="B87" s="6"/>
      <c r="C87" s="2">
        <v>22.4</v>
      </c>
      <c r="D87" s="2">
        <v>29.88</v>
      </c>
      <c r="E87" s="7" t="s">
        <v>89</v>
      </c>
      <c r="F87" s="101"/>
      <c r="G87" s="1">
        <v>1000</v>
      </c>
      <c r="H87" s="1">
        <v>8.1</v>
      </c>
      <c r="I87" s="1">
        <v>12663</v>
      </c>
      <c r="K87" s="1">
        <v>3.19</v>
      </c>
      <c r="L87" s="1">
        <v>1</v>
      </c>
      <c r="M87" s="7"/>
      <c r="N87" s="2">
        <f t="shared" si="114"/>
        <v>22.4</v>
      </c>
      <c r="O87" s="8">
        <f t="shared" si="115"/>
        <v>0.93123713199999969</v>
      </c>
      <c r="P87" s="9">
        <f t="shared" si="116"/>
        <v>3.8401725204591231E-5</v>
      </c>
      <c r="Q87" s="9"/>
      <c r="R87" s="101"/>
      <c r="S87" s="101"/>
      <c r="T87" s="101"/>
      <c r="U87" s="101"/>
      <c r="V87" s="101"/>
      <c r="W87" s="101"/>
      <c r="X87" s="82">
        <f t="shared" si="117"/>
        <v>8.8934389999999999E-4</v>
      </c>
      <c r="Y87" s="75">
        <f t="shared" si="118"/>
        <v>0.14653408800000001</v>
      </c>
      <c r="Z87" s="10">
        <f t="shared" si="76"/>
        <v>0.88934389999999997</v>
      </c>
      <c r="AA87" s="10">
        <f t="shared" si="77"/>
        <v>146.53408800000003</v>
      </c>
      <c r="AB87" s="13">
        <f t="shared" si="119"/>
        <v>2.6381416999999998</v>
      </c>
      <c r="AC87" s="13">
        <f t="shared" si="113"/>
        <v>203.56935197999999</v>
      </c>
      <c r="AN87" s="1">
        <v>85</v>
      </c>
      <c r="AO87" s="1">
        <v>1</v>
      </c>
    </row>
    <row r="88" spans="1:41" s="1" customFormat="1" ht="14.4" x14ac:dyDescent="0.3">
      <c r="A88" s="6">
        <v>42208</v>
      </c>
      <c r="B88" s="32"/>
      <c r="C88" s="2">
        <v>22.8</v>
      </c>
      <c r="D88" s="2">
        <v>30.06</v>
      </c>
      <c r="E88" s="7" t="s">
        <v>89</v>
      </c>
      <c r="F88" s="101"/>
      <c r="G88" s="1">
        <v>1000</v>
      </c>
      <c r="H88" s="1">
        <v>7.79</v>
      </c>
      <c r="I88" s="1">
        <v>12911</v>
      </c>
      <c r="K88" s="1">
        <v>4.13</v>
      </c>
      <c r="L88" s="1">
        <v>1</v>
      </c>
      <c r="M88" s="7"/>
      <c r="N88" s="2">
        <f>C88</f>
        <v>22.8</v>
      </c>
      <c r="O88" s="8">
        <f>0.001316*((D88*25.4)-(2.5*2053/100))</f>
        <v>0.93725388399999976</v>
      </c>
      <c r="P88" s="9">
        <f>(O88*(G88/1000000))/(0.08205*(N88+273.15))</f>
        <v>3.8597601605011139E-5</v>
      </c>
      <c r="Q88" s="9"/>
      <c r="R88" s="101"/>
      <c r="S88" s="101"/>
      <c r="T88" s="101"/>
      <c r="U88" s="101"/>
      <c r="V88" s="101"/>
      <c r="W88" s="101"/>
      <c r="X88" s="82">
        <f>IF(H88&gt;300,((0.0000000002*H88^2)+(0.0001*H88)+0.0207),((-0.00000001*H88^2)+(0.0001*H88)+0.00008))</f>
        <v>8.5839315900000006E-4</v>
      </c>
      <c r="Y88" s="75">
        <f>(0.00008*K88^2)+(0.008*K88)+0.1202</f>
        <v>0.15460455200000001</v>
      </c>
      <c r="Z88" s="10">
        <f t="shared" si="76"/>
        <v>0.85839315900000013</v>
      </c>
      <c r="AA88" s="10">
        <f t="shared" si="77"/>
        <v>154.60455199999998</v>
      </c>
      <c r="AB88" s="13">
        <f>IF(H88&lt;601, ((-0.00003*H88^2)+(0.2671*H88)+0.4766), (IF(H88&lt;19001,((0.1503*H88)+59.75),((0.000005*H88^2)-(0.0565*H88)+2184))))</f>
        <v>2.5554884769999999</v>
      </c>
      <c r="AC88" s="13">
        <f t="shared" si="113"/>
        <v>229.50975741999997</v>
      </c>
      <c r="AN88" s="1">
        <v>86</v>
      </c>
      <c r="AO88" s="1">
        <v>1</v>
      </c>
    </row>
    <row r="89" spans="1:41" s="1" customFormat="1" ht="14.4" x14ac:dyDescent="0.3">
      <c r="A89" s="6">
        <v>42208</v>
      </c>
      <c r="B89" s="6"/>
      <c r="C89" s="2">
        <v>22.8</v>
      </c>
      <c r="D89" s="2">
        <v>30.06</v>
      </c>
      <c r="E89" s="7" t="s">
        <v>89</v>
      </c>
      <c r="F89" s="101"/>
      <c r="G89" s="1">
        <v>1000</v>
      </c>
      <c r="H89" s="1">
        <v>7.95</v>
      </c>
      <c r="I89" s="1">
        <v>12938</v>
      </c>
      <c r="K89" s="1">
        <v>3.97</v>
      </c>
      <c r="L89" s="1">
        <v>1</v>
      </c>
      <c r="M89" s="7"/>
      <c r="N89" s="2">
        <f t="shared" ref="N89:N91" si="120">C89</f>
        <v>22.8</v>
      </c>
      <c r="O89" s="8">
        <f t="shared" ref="O89:O91" si="121">0.001316*((D89*25.4)-(2.5*2053/100))</f>
        <v>0.93725388399999976</v>
      </c>
      <c r="P89" s="9">
        <f t="shared" ref="P89:P91" si="122">(O89*(G89/1000000))/(0.08205*(N89+273.15))</f>
        <v>3.8597601605011139E-5</v>
      </c>
      <c r="Q89" s="9"/>
      <c r="R89" s="101"/>
      <c r="S89" s="101"/>
      <c r="T89" s="101"/>
      <c r="U89" s="101"/>
      <c r="V89" s="101"/>
      <c r="W89" s="101"/>
      <c r="X89" s="82">
        <f t="shared" ref="X89:X91" si="123">IF(H89&gt;300,((0.0000000002*H89^2)+(0.0001*H89)+0.0207),((-0.00000001*H89^2)+(0.0001*H89)+0.00008))</f>
        <v>8.7436797500000003E-4</v>
      </c>
      <c r="Y89" s="75">
        <f t="shared" ref="Y89:Y91" si="124">(0.00008*K89^2)+(0.008*K89)+0.1202</f>
        <v>0.15322087200000001</v>
      </c>
      <c r="Z89" s="10">
        <f t="shared" si="76"/>
        <v>0.87436797499999996</v>
      </c>
      <c r="AA89" s="10">
        <f t="shared" si="77"/>
        <v>153.22087200000001</v>
      </c>
      <c r="AB89" s="13">
        <f t="shared" ref="AB89:AB91" si="125">IF(H89&lt;601, ((-0.00003*H89^2)+(0.2671*H89)+0.4766), (IF(H89&lt;19001,((0.1503*H89)+59.75),((0.000005*H89^2)-(0.0565*H89)+2184))))</f>
        <v>2.5981489250000003</v>
      </c>
      <c r="AC89" s="13">
        <f t="shared" si="113"/>
        <v>225.08790462000002</v>
      </c>
      <c r="AN89" s="1">
        <v>87</v>
      </c>
      <c r="AO89" s="1">
        <v>1</v>
      </c>
    </row>
    <row r="90" spans="1:41" s="1" customFormat="1" ht="14.4" x14ac:dyDescent="0.3">
      <c r="A90" s="6">
        <v>42208</v>
      </c>
      <c r="B90" s="6"/>
      <c r="C90" s="2">
        <v>22.8</v>
      </c>
      <c r="D90" s="2">
        <v>30.06</v>
      </c>
      <c r="E90" s="7" t="s">
        <v>89</v>
      </c>
      <c r="F90" s="101"/>
      <c r="G90" s="1">
        <v>1000</v>
      </c>
      <c r="H90" s="1">
        <v>8.4</v>
      </c>
      <c r="I90" s="1">
        <v>13028</v>
      </c>
      <c r="K90" s="1">
        <v>4.16</v>
      </c>
      <c r="L90" s="1">
        <v>1</v>
      </c>
      <c r="M90" s="7"/>
      <c r="N90" s="2">
        <f t="shared" si="120"/>
        <v>22.8</v>
      </c>
      <c r="O90" s="8">
        <f t="shared" si="121"/>
        <v>0.93725388399999976</v>
      </c>
      <c r="P90" s="9">
        <f t="shared" si="122"/>
        <v>3.8597601605011139E-5</v>
      </c>
      <c r="Q90" s="9"/>
      <c r="R90" s="101"/>
      <c r="S90" s="101"/>
      <c r="T90" s="101"/>
      <c r="U90" s="101"/>
      <c r="V90" s="101"/>
      <c r="W90" s="101"/>
      <c r="X90" s="82">
        <f t="shared" si="123"/>
        <v>9.192944E-4</v>
      </c>
      <c r="Y90" s="75">
        <f t="shared" si="124"/>
        <v>0.15486444800000002</v>
      </c>
      <c r="Z90" s="10">
        <f t="shared" si="76"/>
        <v>0.91929439999999996</v>
      </c>
      <c r="AA90" s="10">
        <f t="shared" si="77"/>
        <v>154.86444800000001</v>
      </c>
      <c r="AB90" s="13">
        <f t="shared" si="125"/>
        <v>2.7181232</v>
      </c>
      <c r="AC90" s="13">
        <f t="shared" si="113"/>
        <v>230.33915008</v>
      </c>
      <c r="AN90" s="1">
        <v>88</v>
      </c>
      <c r="AO90" s="1">
        <v>1</v>
      </c>
    </row>
    <row r="91" spans="1:41" s="101" customFormat="1" ht="14.4" x14ac:dyDescent="0.3">
      <c r="A91" s="6">
        <v>42208</v>
      </c>
      <c r="B91" s="6"/>
      <c r="C91" s="2">
        <v>22.8</v>
      </c>
      <c r="D91" s="2">
        <v>30.06</v>
      </c>
      <c r="E91" s="7" t="s">
        <v>89</v>
      </c>
      <c r="G91" s="1">
        <v>1000</v>
      </c>
      <c r="H91" s="1">
        <v>8.17</v>
      </c>
      <c r="I91" s="1">
        <v>12983</v>
      </c>
      <c r="J91" s="1"/>
      <c r="K91" s="1">
        <v>6.05</v>
      </c>
      <c r="L91" s="1">
        <v>1</v>
      </c>
      <c r="M91" s="7"/>
      <c r="N91" s="2">
        <f t="shared" si="120"/>
        <v>22.8</v>
      </c>
      <c r="O91" s="8">
        <f t="shared" si="121"/>
        <v>0.93725388399999976</v>
      </c>
      <c r="P91" s="9">
        <f t="shared" si="122"/>
        <v>3.8597601605011139E-5</v>
      </c>
      <c r="Q91" s="9"/>
      <c r="X91" s="82">
        <f t="shared" si="123"/>
        <v>8.9633251100000003E-4</v>
      </c>
      <c r="Y91" s="75">
        <f t="shared" si="124"/>
        <v>0.17152819999999999</v>
      </c>
      <c r="Z91" s="10">
        <f t="shared" si="76"/>
        <v>0.89633251100000011</v>
      </c>
      <c r="AA91" s="10">
        <f t="shared" si="77"/>
        <v>171.52819999999997</v>
      </c>
      <c r="AB91" s="13">
        <f t="shared" si="125"/>
        <v>2.6568045329999999</v>
      </c>
      <c r="AC91" s="13">
        <f t="shared" ref="AC91" si="126">(0.0518*K91^2)+(27.217*K91)+116.22</f>
        <v>282.77885949999995</v>
      </c>
      <c r="AE91" s="7"/>
      <c r="AN91" s="1">
        <v>89</v>
      </c>
      <c r="AO91" s="1">
        <v>1</v>
      </c>
    </row>
    <row r="92" spans="1:41" s="1" customFormat="1" ht="14.4" x14ac:dyDescent="0.3">
      <c r="A92" s="6">
        <v>42213</v>
      </c>
      <c r="B92" s="32">
        <v>0.45833333333333331</v>
      </c>
      <c r="C92" s="2">
        <v>22.8</v>
      </c>
      <c r="D92" s="2">
        <v>30.13</v>
      </c>
      <c r="E92" s="7" t="s">
        <v>89</v>
      </c>
      <c r="F92" s="101"/>
      <c r="G92" s="1">
        <v>1000</v>
      </c>
      <c r="H92" s="1">
        <v>7.82</v>
      </c>
      <c r="I92" s="1">
        <v>13173</v>
      </c>
      <c r="K92" s="1">
        <v>4.99</v>
      </c>
      <c r="L92" s="1">
        <v>1</v>
      </c>
      <c r="M92" s="7"/>
      <c r="N92" s="2">
        <f>C92</f>
        <v>22.8</v>
      </c>
      <c r="O92" s="8">
        <f>0.001316*((D92*25.4)-(2.5*2053/100))</f>
        <v>0.93959373199999974</v>
      </c>
      <c r="P92" s="9">
        <f>(O92*(G92/1000000))/(0.08205*(N92+273.15))</f>
        <v>3.8693960257092521E-5</v>
      </c>
      <c r="Q92" s="9"/>
      <c r="R92" s="101"/>
      <c r="S92" s="101"/>
      <c r="T92" s="101"/>
      <c r="U92" s="101"/>
      <c r="V92" s="101"/>
      <c r="W92" s="101"/>
      <c r="X92" s="82">
        <f>IF(H92&gt;300,((0.0000000002*H92^2)+(0.0001*H92)+0.0207),((-0.00000001*H92^2)+(0.0001*H92)+0.00008))</f>
        <v>8.6138847599999998E-4</v>
      </c>
      <c r="Y92" s="75">
        <f>(0.00008*K92^2)+(0.008*K92)+0.1202</f>
        <v>0.162112008</v>
      </c>
      <c r="Z92" s="10">
        <f t="shared" si="76"/>
        <v>0.86138847600000001</v>
      </c>
      <c r="AA92" s="10">
        <f t="shared" si="77"/>
        <v>162.112008</v>
      </c>
      <c r="AB92" s="13">
        <f>IF(H92&lt;601, ((-0.00003*H92^2)+(0.2671*H92)+0.4766), (IF(H92&lt;19001,((0.1503*H92)+59.75),((0.000005*H92^2)-(0.0565*H92)+2184))))</f>
        <v>2.5634874280000002</v>
      </c>
      <c r="AC92" s="13">
        <f>(0.0518*K92^2)+(27.217*K92)+116.22</f>
        <v>253.32265518</v>
      </c>
      <c r="AN92" s="1">
        <v>90</v>
      </c>
      <c r="AO92" s="1">
        <v>1</v>
      </c>
    </row>
    <row r="93" spans="1:41" s="1" customFormat="1" ht="14.4" x14ac:dyDescent="0.3">
      <c r="A93" s="6">
        <v>42213</v>
      </c>
      <c r="B93" s="6"/>
      <c r="C93" s="2">
        <v>22.8</v>
      </c>
      <c r="D93" s="2">
        <v>30.13</v>
      </c>
      <c r="E93" s="7" t="s">
        <v>89</v>
      </c>
      <c r="F93" s="101"/>
      <c r="G93" s="1">
        <v>1000</v>
      </c>
      <c r="H93" s="1">
        <v>8.6300000000000008</v>
      </c>
      <c r="I93" s="1">
        <v>13178</v>
      </c>
      <c r="K93" s="1">
        <v>5.28</v>
      </c>
      <c r="L93" s="1">
        <v>1</v>
      </c>
      <c r="M93" s="7"/>
      <c r="N93" s="2">
        <f t="shared" ref="N93:N98" si="127">C93</f>
        <v>22.8</v>
      </c>
      <c r="O93" s="8">
        <f t="shared" ref="O93:O98" si="128">0.001316*((D93*25.4)-(2.5*2053/100))</f>
        <v>0.93959373199999974</v>
      </c>
      <c r="P93" s="9">
        <f t="shared" ref="P93:P98" si="129">(O93*(G93/1000000))/(0.08205*(N93+273.15))</f>
        <v>3.8693960257092521E-5</v>
      </c>
      <c r="Q93" s="9"/>
      <c r="R93" s="101"/>
      <c r="S93" s="101"/>
      <c r="T93" s="101"/>
      <c r="U93" s="101"/>
      <c r="V93" s="101"/>
      <c r="W93" s="101"/>
      <c r="X93" s="82">
        <f t="shared" ref="X93:X98" si="130">IF(H93&gt;300,((0.0000000002*H93^2)+(0.0001*H93)+0.0207),((-0.00000001*H93^2)+(0.0001*H93)+0.00008))</f>
        <v>9.4225523100000019E-4</v>
      </c>
      <c r="Y93" s="75">
        <f t="shared" ref="Y93:Y98" si="131">(0.00008*K93^2)+(0.008*K93)+0.1202</f>
        <v>0.16467027200000001</v>
      </c>
      <c r="Z93" s="10">
        <f t="shared" si="76"/>
        <v>0.94225523100000019</v>
      </c>
      <c r="AA93" s="10">
        <f t="shared" si="77"/>
        <v>164.67027200000001</v>
      </c>
      <c r="AB93" s="13">
        <f t="shared" ref="AB93:AB98" si="132">IF(H93&lt;601, ((-0.00003*H93^2)+(0.2671*H93)+0.4766), (IF(H93&lt;19001,((0.1503*H93)+59.75),((0.000005*H93^2)-(0.0565*H93)+2184))))</f>
        <v>2.7794386929999999</v>
      </c>
      <c r="AC93" s="13">
        <f>(0.0518*K93^2)+(27.217*K93)+116.22</f>
        <v>261.36986112</v>
      </c>
      <c r="AN93" s="1">
        <v>91</v>
      </c>
      <c r="AO93" s="1">
        <v>1</v>
      </c>
    </row>
    <row r="94" spans="1:41" s="1" customFormat="1" ht="14.4" x14ac:dyDescent="0.3">
      <c r="A94" s="6">
        <v>42213</v>
      </c>
      <c r="B94" s="6"/>
      <c r="C94" s="2">
        <v>22.8</v>
      </c>
      <c r="D94" s="2">
        <v>30.13</v>
      </c>
      <c r="E94" s="7" t="s">
        <v>89</v>
      </c>
      <c r="F94" s="101"/>
      <c r="G94" s="1">
        <v>1000</v>
      </c>
      <c r="H94" s="1">
        <v>5.24</v>
      </c>
      <c r="I94" s="1">
        <v>13239</v>
      </c>
      <c r="K94" s="1">
        <v>4.68</v>
      </c>
      <c r="L94" s="1">
        <v>1</v>
      </c>
      <c r="M94" s="7"/>
      <c r="N94" s="2">
        <f t="shared" si="127"/>
        <v>22.8</v>
      </c>
      <c r="O94" s="8">
        <f t="shared" si="128"/>
        <v>0.93959373199999974</v>
      </c>
      <c r="P94" s="9">
        <f t="shared" si="129"/>
        <v>3.8693960257092521E-5</v>
      </c>
      <c r="Q94" s="9"/>
      <c r="R94" s="101"/>
      <c r="S94" s="101"/>
      <c r="T94" s="101"/>
      <c r="U94" s="101"/>
      <c r="V94" s="101"/>
      <c r="W94" s="101"/>
      <c r="X94" s="82">
        <f t="shared" si="130"/>
        <v>6.0372542400000009E-4</v>
      </c>
      <c r="Y94" s="75">
        <f t="shared" si="131"/>
        <v>0.15939219199999999</v>
      </c>
      <c r="Z94" s="10">
        <f t="shared" si="76"/>
        <v>0.60372542400000007</v>
      </c>
      <c r="AA94" s="10">
        <f t="shared" si="77"/>
        <v>159.39219199999999</v>
      </c>
      <c r="AB94" s="13">
        <f t="shared" si="132"/>
        <v>1.8753802720000001</v>
      </c>
      <c r="AC94" s="13">
        <f>(0.0518*K94^2)+(27.217*K94)+116.22</f>
        <v>244.73010431999998</v>
      </c>
      <c r="AN94" s="1">
        <v>92</v>
      </c>
      <c r="AO94" s="1">
        <v>1</v>
      </c>
    </row>
    <row r="95" spans="1:41" s="101" customFormat="1" ht="14.4" x14ac:dyDescent="0.3">
      <c r="A95" s="6">
        <v>42213</v>
      </c>
      <c r="C95" s="2">
        <v>22.8</v>
      </c>
      <c r="D95" s="2">
        <v>30.13</v>
      </c>
      <c r="E95" s="7" t="s">
        <v>89</v>
      </c>
      <c r="G95" s="1">
        <v>1000</v>
      </c>
      <c r="H95" s="1">
        <v>5.88</v>
      </c>
      <c r="I95" s="1">
        <v>13043</v>
      </c>
      <c r="K95" s="1">
        <v>3.02</v>
      </c>
      <c r="L95" s="1">
        <v>1</v>
      </c>
      <c r="M95" s="7"/>
      <c r="N95" s="2">
        <f t="shared" si="127"/>
        <v>22.8</v>
      </c>
      <c r="O95" s="8">
        <f t="shared" si="128"/>
        <v>0.93959373199999974</v>
      </c>
      <c r="P95" s="9">
        <f t="shared" si="129"/>
        <v>3.8693960257092521E-5</v>
      </c>
      <c r="Q95" s="9"/>
      <c r="X95" s="82">
        <f t="shared" si="130"/>
        <v>6.6765425600000001E-4</v>
      </c>
      <c r="Y95" s="75">
        <f t="shared" si="131"/>
        <v>0.145089632</v>
      </c>
      <c r="Z95" s="10">
        <f t="shared" si="76"/>
        <v>0.66765425600000006</v>
      </c>
      <c r="AA95" s="10">
        <f t="shared" si="77"/>
        <v>145.08963199999999</v>
      </c>
      <c r="AB95" s="13">
        <f t="shared" si="132"/>
        <v>2.0461107680000001</v>
      </c>
      <c r="AC95" s="13">
        <f t="shared" ref="AC95:AC98" si="133">(0.0518*K95^2)+(27.217*K95)+116.22</f>
        <v>198.88777672000001</v>
      </c>
      <c r="AD95" s="1"/>
      <c r="AE95" s="1"/>
      <c r="AF95" s="1"/>
      <c r="AG95" s="1"/>
      <c r="AN95" s="1">
        <v>93</v>
      </c>
      <c r="AO95" s="1">
        <v>1</v>
      </c>
    </row>
    <row r="96" spans="1:41" s="101" customFormat="1" ht="14.4" x14ac:dyDescent="0.3">
      <c r="A96" s="6">
        <v>42227</v>
      </c>
      <c r="B96" s="32">
        <v>0.45833333333333331</v>
      </c>
      <c r="C96" s="2">
        <v>22.1</v>
      </c>
      <c r="D96" s="2">
        <v>30</v>
      </c>
      <c r="E96" s="7" t="s">
        <v>89</v>
      </c>
      <c r="G96" s="1">
        <v>1000</v>
      </c>
      <c r="H96" s="1">
        <v>5.4</v>
      </c>
      <c r="I96" s="1">
        <v>12926</v>
      </c>
      <c r="J96" s="1"/>
      <c r="K96" s="1">
        <v>4.26</v>
      </c>
      <c r="L96" s="1">
        <v>1</v>
      </c>
      <c r="M96" s="7"/>
      <c r="N96" s="2">
        <f t="shared" si="127"/>
        <v>22.1</v>
      </c>
      <c r="O96" s="8">
        <f t="shared" si="128"/>
        <v>0.93524829999999992</v>
      </c>
      <c r="P96" s="9">
        <f t="shared" si="129"/>
        <v>3.860632263530684E-5</v>
      </c>
      <c r="Q96" s="9"/>
      <c r="X96" s="82">
        <f t="shared" si="130"/>
        <v>6.1970840000000009E-4</v>
      </c>
      <c r="Y96" s="75">
        <f t="shared" si="131"/>
        <v>0.155731808</v>
      </c>
      <c r="Z96" s="10">
        <f t="shared" si="76"/>
        <v>0.61970840000000005</v>
      </c>
      <c r="AA96" s="10">
        <f t="shared" si="77"/>
        <v>155.731808</v>
      </c>
      <c r="AB96" s="13">
        <f t="shared" si="132"/>
        <v>1.9180652</v>
      </c>
      <c r="AC96" s="13">
        <f t="shared" si="133"/>
        <v>233.10446567999998</v>
      </c>
      <c r="AD96" s="1"/>
      <c r="AE96" s="1"/>
      <c r="AF96" s="1"/>
      <c r="AG96" s="1"/>
      <c r="AH96" s="1"/>
      <c r="AI96" s="1"/>
      <c r="AJ96" s="1"/>
      <c r="AK96" s="1"/>
      <c r="AN96" s="1">
        <v>94</v>
      </c>
      <c r="AO96" s="1">
        <v>1</v>
      </c>
    </row>
    <row r="97" spans="1:41" s="101" customFormat="1" ht="14.4" x14ac:dyDescent="0.3">
      <c r="A97" s="6">
        <v>42227</v>
      </c>
      <c r="B97" s="6"/>
      <c r="C97" s="2">
        <v>22.1</v>
      </c>
      <c r="D97" s="2">
        <v>30</v>
      </c>
      <c r="E97" s="7" t="s">
        <v>89</v>
      </c>
      <c r="G97" s="1">
        <v>1000</v>
      </c>
      <c r="H97" s="1">
        <v>6.08</v>
      </c>
      <c r="I97" s="1">
        <v>13053</v>
      </c>
      <c r="J97" s="1"/>
      <c r="K97" s="1">
        <v>4.1500000000000004</v>
      </c>
      <c r="L97" s="1">
        <v>1</v>
      </c>
      <c r="M97" s="7"/>
      <c r="N97" s="2">
        <f t="shared" si="127"/>
        <v>22.1</v>
      </c>
      <c r="O97" s="8">
        <f t="shared" si="128"/>
        <v>0.93524829999999992</v>
      </c>
      <c r="P97" s="9">
        <f t="shared" si="129"/>
        <v>3.860632263530684E-5</v>
      </c>
      <c r="Q97" s="9"/>
      <c r="X97" s="82">
        <f t="shared" si="130"/>
        <v>6.8763033600000001E-4</v>
      </c>
      <c r="Y97" s="75">
        <f t="shared" si="131"/>
        <v>0.15477779999999999</v>
      </c>
      <c r="Z97" s="10">
        <f t="shared" si="76"/>
        <v>0.68763033600000001</v>
      </c>
      <c r="AA97" s="10">
        <f t="shared" si="77"/>
        <v>154.77779999999998</v>
      </c>
      <c r="AB97" s="13">
        <f t="shared" si="132"/>
        <v>2.0994590080000002</v>
      </c>
      <c r="AC97" s="13">
        <f t="shared" si="133"/>
        <v>230.06267550000001</v>
      </c>
      <c r="AD97" s="1"/>
      <c r="AE97" s="1"/>
      <c r="AF97" s="1"/>
      <c r="AG97" s="1"/>
      <c r="AH97" s="1"/>
      <c r="AI97" s="1"/>
      <c r="AJ97" s="1"/>
      <c r="AK97" s="1"/>
      <c r="AN97" s="1">
        <v>95</v>
      </c>
      <c r="AO97" s="1">
        <v>1</v>
      </c>
    </row>
    <row r="98" spans="1:41" s="101" customFormat="1" ht="14.4" x14ac:dyDescent="0.3">
      <c r="A98" s="6">
        <v>42227</v>
      </c>
      <c r="B98" s="6"/>
      <c r="C98" s="2">
        <v>22.1</v>
      </c>
      <c r="D98" s="2">
        <v>30</v>
      </c>
      <c r="E98" s="7" t="s">
        <v>89</v>
      </c>
      <c r="G98" s="1">
        <v>1000</v>
      </c>
      <c r="H98" s="1">
        <v>5.82</v>
      </c>
      <c r="I98" s="1">
        <v>13141</v>
      </c>
      <c r="J98" s="1"/>
      <c r="K98" s="1">
        <v>4.0999999999999996</v>
      </c>
      <c r="L98" s="1">
        <v>1</v>
      </c>
      <c r="M98" s="7"/>
      <c r="N98" s="2">
        <f t="shared" si="127"/>
        <v>22.1</v>
      </c>
      <c r="O98" s="8">
        <f t="shared" si="128"/>
        <v>0.93524829999999992</v>
      </c>
      <c r="P98" s="9">
        <f t="shared" si="129"/>
        <v>3.860632263530684E-5</v>
      </c>
      <c r="Q98" s="9"/>
      <c r="X98" s="82">
        <f t="shared" si="130"/>
        <v>6.61661276E-4</v>
      </c>
      <c r="Y98" s="75">
        <f t="shared" si="131"/>
        <v>0.1543448</v>
      </c>
      <c r="Z98" s="10">
        <f t="shared" si="76"/>
        <v>0.66166127600000002</v>
      </c>
      <c r="AA98" s="10">
        <f t="shared" si="77"/>
        <v>154.34480000000002</v>
      </c>
      <c r="AB98" s="13">
        <f t="shared" si="132"/>
        <v>2.0301058280000004</v>
      </c>
      <c r="AC98" s="13">
        <f t="shared" si="133"/>
        <v>228.68045799999999</v>
      </c>
      <c r="AD98" s="1"/>
      <c r="AE98" s="1"/>
      <c r="AF98" s="1"/>
      <c r="AG98" s="1"/>
      <c r="AH98" s="1"/>
      <c r="AI98" s="1"/>
      <c r="AJ98" s="1"/>
      <c r="AK98" s="1"/>
      <c r="AN98" s="1">
        <v>96</v>
      </c>
      <c r="AO98" s="1">
        <v>1</v>
      </c>
    </row>
    <row r="99" spans="1:41" s="1" customFormat="1" ht="14.4" x14ac:dyDescent="0.3">
      <c r="A99" s="6">
        <v>42234</v>
      </c>
      <c r="B99" s="32">
        <v>0.375</v>
      </c>
      <c r="C99" s="2">
        <v>22</v>
      </c>
      <c r="D99" s="2">
        <v>30.14</v>
      </c>
      <c r="E99" s="7" t="s">
        <v>89</v>
      </c>
      <c r="F99" s="101"/>
      <c r="G99" s="1">
        <v>1000</v>
      </c>
      <c r="H99" s="1">
        <v>7.56</v>
      </c>
      <c r="I99" s="1">
        <v>12998</v>
      </c>
      <c r="K99" s="1">
        <v>4.0999999999999996</v>
      </c>
      <c r="L99" s="1">
        <v>1</v>
      </c>
      <c r="M99" s="7"/>
      <c r="N99" s="2">
        <f>C99</f>
        <v>22</v>
      </c>
      <c r="O99" s="8">
        <f>0.001316*((D99*25.4)-(2.5*2053/100))</f>
        <v>0.93992799599999977</v>
      </c>
      <c r="P99" s="9">
        <f>(O99*(G99/1000000))/(0.08205*(N99+273.15))</f>
        <v>3.8812642535122189E-5</v>
      </c>
      <c r="Q99" s="9"/>
      <c r="R99" s="101"/>
      <c r="S99" s="101"/>
      <c r="T99" s="101">
        <f>R99*12*1000000</f>
        <v>0</v>
      </c>
      <c r="U99" s="101">
        <f>S99*12*1000000</f>
        <v>0</v>
      </c>
      <c r="V99" s="101"/>
      <c r="W99" s="101"/>
      <c r="X99" s="101">
        <f>IF(H99&lt;340, ((-0.00000008*H99^2)+(0.0002*H99)-0.0009), (IF(H99&lt;19001,((0.0000000002*H99^2)+(0.00007*H99)+0.0322),((0.000000001*H99^2)+(0.00005*H99)+0.0286))))</f>
        <v>6.0742771199999998E-4</v>
      </c>
      <c r="Y99" s="75">
        <f t="shared" ref="Y99:Y134" si="134">(0.00003*K99^2)+(0.0135*K99)+0.0542</f>
        <v>0.11005429999999999</v>
      </c>
      <c r="Z99" s="10">
        <f t="shared" si="76"/>
        <v>0.6074277119999999</v>
      </c>
      <c r="AA99" s="10">
        <f t="shared" si="77"/>
        <v>110.05429999999998</v>
      </c>
      <c r="AB99" s="13">
        <f>IF(H99&lt;601, ((-0.00003*H99^2)+(0.2671*H99)+0.4766), (IF(H99&lt;19001,((0.1503*H99)+59.75),((0.000005*H99^2)-(0.0565*H99)+2184))))</f>
        <v>2.4941613920000001</v>
      </c>
      <c r="AC99" s="13">
        <f>(0.0518*K99^2)+(27.217*K99)+116.22</f>
        <v>228.68045799999999</v>
      </c>
      <c r="AD99" s="13">
        <f>(IF(H99&lt;601, ((-0.00003*H99^2)+(0.2671*H99)+0.4766), (IF(H99&lt;19001,((0.1503*H99)+59.75),((0.000005*H99^2)-(0.0565*H99)+2184)))))*(1000/G99)</f>
        <v>2.4941613920000001</v>
      </c>
      <c r="AE99" s="13">
        <f>((0.0518*K99^2)+(27.217*K99)+116.22)*(1000/G99)</f>
        <v>228.68045799999999</v>
      </c>
      <c r="AN99" s="1">
        <v>97</v>
      </c>
      <c r="AO99" s="1">
        <v>1</v>
      </c>
    </row>
    <row r="100" spans="1:41" s="1" customFormat="1" ht="14.4" x14ac:dyDescent="0.3">
      <c r="A100" s="6">
        <v>42234</v>
      </c>
      <c r="B100" s="6"/>
      <c r="C100" s="2">
        <v>22</v>
      </c>
      <c r="D100" s="2">
        <v>30.14</v>
      </c>
      <c r="E100" s="7" t="s">
        <v>89</v>
      </c>
      <c r="F100" s="101"/>
      <c r="G100" s="1">
        <v>1000</v>
      </c>
      <c r="H100" s="1">
        <v>7.96</v>
      </c>
      <c r="I100" s="1">
        <v>12965</v>
      </c>
      <c r="K100" s="1">
        <v>3.92</v>
      </c>
      <c r="L100" s="1">
        <v>1</v>
      </c>
      <c r="M100" s="7"/>
      <c r="N100" s="2">
        <f t="shared" ref="N100:N102" si="135">C100</f>
        <v>22</v>
      </c>
      <c r="O100" s="8">
        <f t="shared" ref="O100:O102" si="136">0.001316*((D100*25.4)-(2.5*2053/100))</f>
        <v>0.93992799599999977</v>
      </c>
      <c r="P100" s="9">
        <f t="shared" ref="P100:P102" si="137">(O100*(G100/1000000))/(0.08205*(N100+273.15))</f>
        <v>3.8812642535122189E-5</v>
      </c>
      <c r="Q100" s="9"/>
      <c r="R100" s="101"/>
      <c r="S100" s="101"/>
      <c r="T100" s="101">
        <f>R100*12*1000000</f>
        <v>0</v>
      </c>
      <c r="U100" s="101">
        <f>S100*12*1000000</f>
        <v>0</v>
      </c>
      <c r="V100" s="101"/>
      <c r="W100" s="101"/>
      <c r="X100" s="101">
        <f t="shared" ref="X100:X102" si="138">IF(H100&lt;340, ((-0.00000008*H100^2)+(0.0002*H100)-0.0009), (IF(H100&lt;19001,((0.0000000002*H100^2)+(0.00007*H100)+0.0322),((0.000000001*H100^2)+(0.00005*H100)+0.0286))))</f>
        <v>6.8693107200000015E-4</v>
      </c>
      <c r="Y100" s="75">
        <f t="shared" si="134"/>
        <v>0.107580992</v>
      </c>
      <c r="Z100" s="10">
        <f t="shared" si="76"/>
        <v>0.68693107200000025</v>
      </c>
      <c r="AA100" s="10">
        <f t="shared" si="77"/>
        <v>107.58099199999999</v>
      </c>
      <c r="AB100" s="13">
        <f t="shared" ref="AB100:AB102" si="139">IF(H100&lt;601, ((-0.00003*H100^2)+(0.2671*H100)+0.4766), (IF(H100&lt;19001,((0.1503*H100)+59.75),((0.000005*H100^2)-(0.0565*H100)+2184))))</f>
        <v>2.600815152</v>
      </c>
      <c r="AC100" s="13">
        <f>(0.0518*K100^2)+(27.217*K100)+116.22</f>
        <v>223.70661952</v>
      </c>
      <c r="AD100" s="13">
        <f>(IF(H100&lt;601, ((-0.00003*H100^2)+(0.2671*H100)+0.4766), (IF(H100&lt;19001,((0.1503*H100)+59.75),((0.000005*H100^2)-(0.0565*H100)+2184)))))*(1000/G100)</f>
        <v>2.600815152</v>
      </c>
      <c r="AE100" s="13">
        <f>((0.0518*K100^2)+(27.217*K100)+116.22)*(1000/G100)</f>
        <v>223.70661952</v>
      </c>
      <c r="AN100" s="1">
        <v>98</v>
      </c>
      <c r="AO100" s="1">
        <v>1</v>
      </c>
    </row>
    <row r="101" spans="1:41" s="1" customFormat="1" ht="14.4" x14ac:dyDescent="0.3">
      <c r="A101" s="6">
        <v>42234</v>
      </c>
      <c r="B101" s="6"/>
      <c r="C101" s="2">
        <v>22</v>
      </c>
      <c r="D101" s="2">
        <v>30.14</v>
      </c>
      <c r="E101" s="7" t="s">
        <v>89</v>
      </c>
      <c r="F101" s="101"/>
      <c r="G101" s="1">
        <v>1000</v>
      </c>
      <c r="H101" s="1">
        <v>7.08</v>
      </c>
      <c r="I101" s="1">
        <v>13010</v>
      </c>
      <c r="K101" s="1">
        <v>4.33</v>
      </c>
      <c r="L101" s="1">
        <v>1</v>
      </c>
      <c r="M101" s="7"/>
      <c r="N101" s="2">
        <f t="shared" si="135"/>
        <v>22</v>
      </c>
      <c r="O101" s="8">
        <f t="shared" si="136"/>
        <v>0.93992799599999977</v>
      </c>
      <c r="P101" s="9">
        <f t="shared" si="137"/>
        <v>3.8812642535122189E-5</v>
      </c>
      <c r="Q101" s="9"/>
      <c r="R101" s="101"/>
      <c r="S101" s="101"/>
      <c r="T101" s="101">
        <f t="shared" ref="T101:U102" si="140">R101*12*1000000</f>
        <v>0</v>
      </c>
      <c r="U101" s="101">
        <f t="shared" si="140"/>
        <v>0</v>
      </c>
      <c r="V101" s="101"/>
      <c r="W101" s="101"/>
      <c r="X101" s="101">
        <f t="shared" si="138"/>
        <v>5.1198988800000016E-4</v>
      </c>
      <c r="Y101" s="75">
        <f t="shared" si="134"/>
        <v>0.11321746699999999</v>
      </c>
      <c r="Z101" s="10">
        <f t="shared" si="76"/>
        <v>0.51198988800000023</v>
      </c>
      <c r="AA101" s="10">
        <f t="shared" si="77"/>
        <v>113.21746699999998</v>
      </c>
      <c r="AB101" s="13">
        <f t="shared" si="139"/>
        <v>2.3661642079999998</v>
      </c>
      <c r="AC101" s="13">
        <f>(0.0518*K101^2)+(27.217*K101)+116.22</f>
        <v>235.04080302</v>
      </c>
      <c r="AD101" s="13">
        <f t="shared" ref="AD101:AD102" si="141">(IF(H101&lt;601, ((-0.00003*H101^2)+(0.2671*H101)+0.4766), (IF(H101&lt;19001,((0.1503*H101)+59.75),((0.000005*H101^2)-(0.0565*H101)+2184)))))*(1000/G101)</f>
        <v>2.3661642079999998</v>
      </c>
      <c r="AE101" s="13">
        <f t="shared" ref="AE101:AE102" si="142">((0.0518*K101^2)+(27.217*K101)+116.22)*(1000/G101)</f>
        <v>235.04080302</v>
      </c>
      <c r="AN101" s="1">
        <v>99</v>
      </c>
      <c r="AO101" s="1">
        <v>1</v>
      </c>
    </row>
    <row r="102" spans="1:41" s="101" customFormat="1" ht="14.4" x14ac:dyDescent="0.3">
      <c r="A102" s="6">
        <v>42234</v>
      </c>
      <c r="B102" s="6"/>
      <c r="C102" s="2">
        <v>22</v>
      </c>
      <c r="D102" s="2">
        <v>30.14</v>
      </c>
      <c r="E102" s="7" t="s">
        <v>89</v>
      </c>
      <c r="G102" s="1">
        <v>1000</v>
      </c>
      <c r="H102" s="1">
        <v>7.38</v>
      </c>
      <c r="I102" s="1">
        <v>13017</v>
      </c>
      <c r="J102" s="1"/>
      <c r="K102" s="1">
        <v>3.99</v>
      </c>
      <c r="L102" s="1">
        <v>1</v>
      </c>
      <c r="M102" s="7"/>
      <c r="N102" s="2">
        <f t="shared" si="135"/>
        <v>22</v>
      </c>
      <c r="O102" s="8">
        <f t="shared" si="136"/>
        <v>0.93992799599999977</v>
      </c>
      <c r="P102" s="9">
        <f t="shared" si="137"/>
        <v>3.8812642535122189E-5</v>
      </c>
      <c r="Q102" s="9"/>
      <c r="T102" s="101">
        <f t="shared" si="140"/>
        <v>0</v>
      </c>
      <c r="U102" s="101">
        <f t="shared" si="140"/>
        <v>0</v>
      </c>
      <c r="X102" s="101">
        <f t="shared" si="138"/>
        <v>5.7164284800000011E-4</v>
      </c>
      <c r="Y102" s="75">
        <f t="shared" si="134"/>
        <v>0.108542603</v>
      </c>
      <c r="Z102" s="10">
        <f t="shared" si="76"/>
        <v>0.57164284800000009</v>
      </c>
      <c r="AA102" s="10">
        <f t="shared" si="77"/>
        <v>108.542603</v>
      </c>
      <c r="AB102" s="13">
        <f t="shared" si="139"/>
        <v>2.4461640679999999</v>
      </c>
      <c r="AC102" s="13">
        <f t="shared" ref="AC102" si="143">(0.0518*K102^2)+(27.217*K102)+116.22</f>
        <v>225.64049118000003</v>
      </c>
      <c r="AD102" s="13">
        <f t="shared" si="141"/>
        <v>2.4461640679999999</v>
      </c>
      <c r="AE102" s="13">
        <f t="shared" si="142"/>
        <v>225.64049118000003</v>
      </c>
      <c r="AF102" s="1"/>
      <c r="AG102" s="1"/>
      <c r="AH102" s="1"/>
      <c r="AI102" s="1"/>
      <c r="AN102" s="1">
        <v>100</v>
      </c>
      <c r="AO102" s="1">
        <v>1</v>
      </c>
    </row>
    <row r="103" spans="1:41" s="1" customFormat="1" ht="14.4" x14ac:dyDescent="0.3">
      <c r="A103" s="6">
        <v>42241</v>
      </c>
      <c r="B103" s="32">
        <v>0.3611111111111111</v>
      </c>
      <c r="C103" s="2">
        <v>22.2</v>
      </c>
      <c r="D103" s="2">
        <v>30.07</v>
      </c>
      <c r="E103" s="7" t="s">
        <v>89</v>
      </c>
      <c r="F103" s="101" t="s">
        <v>566</v>
      </c>
      <c r="G103" s="1">
        <v>1000</v>
      </c>
      <c r="H103" s="1">
        <v>8.26</v>
      </c>
      <c r="I103" s="1">
        <v>12919</v>
      </c>
      <c r="K103" s="1">
        <v>4.9400000000000004</v>
      </c>
      <c r="L103" s="1">
        <v>1</v>
      </c>
      <c r="M103" s="7"/>
      <c r="N103" s="2">
        <f>C103</f>
        <v>22.2</v>
      </c>
      <c r="O103" s="8">
        <f>0.001316*((D103*25.4)-(2.5*2053/100))</f>
        <v>0.9375881479999999</v>
      </c>
      <c r="P103" s="9">
        <f>(O103*(G103/1000000))/(0.08205*(N103+273.15))</f>
        <v>3.868980565822865E-5</v>
      </c>
      <c r="Q103" s="9"/>
      <c r="R103" s="101"/>
      <c r="S103" s="101"/>
      <c r="T103" s="101">
        <f>R103*12*1000000</f>
        <v>0</v>
      </c>
      <c r="U103" s="101">
        <f>S103*12*1000000</f>
        <v>0</v>
      </c>
      <c r="V103" s="101"/>
      <c r="W103" s="101"/>
      <c r="X103" s="101">
        <f>IF(H103&lt;340, ((-0.00000008*H103^2)+(0.0002*H103)-0.0009), (IF(H103&lt;19001,((0.0000000002*H103^2)+(0.00007*H103)+0.0322),((0.000000001*H103^2)+(0.00005*H103)+0.0286))))</f>
        <v>7.4654179199999996E-4</v>
      </c>
      <c r="Y103" s="75">
        <f t="shared" si="134"/>
        <v>0.12162210799999999</v>
      </c>
      <c r="Z103" s="10">
        <f t="shared" si="76"/>
        <v>0.74654179200000004</v>
      </c>
      <c r="AA103" s="10">
        <f t="shared" si="77"/>
        <v>121.622108</v>
      </c>
      <c r="AB103" s="13">
        <f>IF(H103&lt;601, ((-0.00003*H103^2)+(0.2671*H103)+0.4766), (IF(H103&lt;19001,((0.1503*H103)+59.75),((0.000005*H103^2)-(0.0565*H103)+2184))))</f>
        <v>2.680799172</v>
      </c>
      <c r="AC103" s="13">
        <f>(0.0518*K103^2)+(27.217*K103)+116.22</f>
        <v>251.93608648</v>
      </c>
      <c r="AD103" s="13">
        <f>(IF(H103&lt;601, ((-0.00003*H103^2)+(0.2671*H103)+0.4766), (IF(H103&lt;19001,((0.1503*H103)+59.75),((0.000005*H103^2)-(0.0565*H103)+2184)))))*(1000/G103)</f>
        <v>2.680799172</v>
      </c>
      <c r="AE103" s="13">
        <f>((0.0518*K103^2)+(27.217*K103)+116.22)*(1000/G103)</f>
        <v>251.93608648</v>
      </c>
      <c r="AN103" s="1">
        <v>101</v>
      </c>
      <c r="AO103" s="1">
        <v>1</v>
      </c>
    </row>
    <row r="104" spans="1:41" s="1" customFormat="1" ht="14.4" x14ac:dyDescent="0.3">
      <c r="A104" s="6">
        <v>42241</v>
      </c>
      <c r="B104" s="6"/>
      <c r="C104" s="2">
        <v>22.2</v>
      </c>
      <c r="D104" s="2">
        <v>30.07</v>
      </c>
      <c r="E104" s="7" t="s">
        <v>89</v>
      </c>
      <c r="F104" s="101" t="s">
        <v>566</v>
      </c>
      <c r="G104" s="1">
        <v>1000</v>
      </c>
      <c r="H104" s="1">
        <v>6.68</v>
      </c>
      <c r="I104" s="1">
        <v>12961</v>
      </c>
      <c r="K104" s="1">
        <v>2.74</v>
      </c>
      <c r="L104" s="1">
        <v>1</v>
      </c>
      <c r="M104" s="7"/>
      <c r="N104" s="2">
        <f t="shared" ref="N104:N106" si="144">C104</f>
        <v>22.2</v>
      </c>
      <c r="O104" s="8">
        <f t="shared" ref="O104:O106" si="145">0.001316*((D104*25.4)-(2.5*2053/100))</f>
        <v>0.9375881479999999</v>
      </c>
      <c r="P104" s="9">
        <f t="shared" ref="P104:P106" si="146">(O104*(G104/1000000))/(0.08205*(N104+273.15))</f>
        <v>3.868980565822865E-5</v>
      </c>
      <c r="Q104" s="9"/>
      <c r="R104" s="101"/>
      <c r="S104" s="101"/>
      <c r="T104" s="101">
        <f>R104*12*1000000</f>
        <v>0</v>
      </c>
      <c r="U104" s="101">
        <f>S104*12*1000000</f>
        <v>0</v>
      </c>
      <c r="V104" s="101"/>
      <c r="W104" s="101"/>
      <c r="X104" s="101">
        <f t="shared" ref="X104:X106" si="147">IF(H104&lt;340, ((-0.00000008*H104^2)+(0.0002*H104)-0.0009), (IF(H104&lt;19001,((0.0000000002*H104^2)+(0.00007*H104)+0.0322),((0.000000001*H104^2)+(0.00005*H104)+0.0286))))</f>
        <v>4.3243020799999996E-4</v>
      </c>
      <c r="Y104" s="75">
        <f t="shared" si="134"/>
        <v>9.1415228000000001E-2</v>
      </c>
      <c r="Z104" s="10">
        <f t="shared" si="76"/>
        <v>0.43243020799999993</v>
      </c>
      <c r="AA104" s="10">
        <f t="shared" si="77"/>
        <v>91.415227999999999</v>
      </c>
      <c r="AB104" s="13">
        <f t="shared" ref="AB104:AB106" si="148">IF(H104&lt;601, ((-0.00003*H104^2)+(0.2671*H104)+0.4766), (IF(H104&lt;19001,((0.1503*H104)+59.75),((0.000005*H104^2)-(0.0565*H104)+2184))))</f>
        <v>2.2594893279999999</v>
      </c>
      <c r="AC104" s="13">
        <f>(0.0518*K104^2)+(27.217*K104)+116.22</f>
        <v>191.18347367999999</v>
      </c>
      <c r="AD104" s="13">
        <f>(IF(H104&lt;601, ((-0.00003*H104^2)+(0.2671*H104)+0.4766), (IF(H104&lt;19001,((0.1503*H104)+59.75),((0.000005*H104^2)-(0.0565*H104)+2184)))))*(1000/G104)</f>
        <v>2.2594893279999999</v>
      </c>
      <c r="AE104" s="13">
        <f>((0.0518*K104^2)+(27.217*K104)+116.22)*(1000/G104)</f>
        <v>191.18347367999999</v>
      </c>
      <c r="AN104" s="1">
        <v>102</v>
      </c>
      <c r="AO104" s="1">
        <v>1</v>
      </c>
    </row>
    <row r="105" spans="1:41" s="1" customFormat="1" ht="14.4" x14ac:dyDescent="0.3">
      <c r="A105" s="6">
        <v>42241</v>
      </c>
      <c r="B105" s="6"/>
      <c r="C105" s="2">
        <v>22.2</v>
      </c>
      <c r="D105" s="2">
        <v>30.07</v>
      </c>
      <c r="E105" s="7" t="s">
        <v>89</v>
      </c>
      <c r="F105" s="101" t="s">
        <v>566</v>
      </c>
      <c r="G105" s="1">
        <v>1000</v>
      </c>
      <c r="H105" s="1">
        <v>8.5500000000000007</v>
      </c>
      <c r="I105" s="1">
        <v>12975</v>
      </c>
      <c r="K105" s="1">
        <v>3.17</v>
      </c>
      <c r="L105" s="1">
        <v>1</v>
      </c>
      <c r="M105" s="7"/>
      <c r="N105" s="2">
        <f t="shared" si="144"/>
        <v>22.2</v>
      </c>
      <c r="O105" s="8">
        <f t="shared" si="145"/>
        <v>0.9375881479999999</v>
      </c>
      <c r="P105" s="9">
        <f t="shared" si="146"/>
        <v>3.868980565822865E-5</v>
      </c>
      <c r="Q105" s="9"/>
      <c r="R105" s="101"/>
      <c r="S105" s="101"/>
      <c r="T105" s="101">
        <f t="shared" ref="T105:U106" si="149">R105*12*1000000</f>
        <v>0</v>
      </c>
      <c r="U105" s="101">
        <f t="shared" si="149"/>
        <v>0</v>
      </c>
      <c r="V105" s="101"/>
      <c r="W105" s="101"/>
      <c r="X105" s="101">
        <f t="shared" si="147"/>
        <v>8.0415180000000018E-4</v>
      </c>
      <c r="Y105" s="75">
        <f t="shared" si="134"/>
        <v>9.7296466999999998E-2</v>
      </c>
      <c r="Z105" s="10">
        <f t="shared" si="76"/>
        <v>0.80415180000000019</v>
      </c>
      <c r="AA105" s="10">
        <f t="shared" si="77"/>
        <v>97.296467000000007</v>
      </c>
      <c r="AB105" s="13">
        <f t="shared" si="148"/>
        <v>2.7581119250000001</v>
      </c>
      <c r="AC105" s="13">
        <f>(0.0518*K105^2)+(27.217*K105)+116.22</f>
        <v>203.01842302</v>
      </c>
      <c r="AD105" s="13">
        <f t="shared" ref="AD105:AD106" si="150">(IF(H105&lt;601, ((-0.00003*H105^2)+(0.2671*H105)+0.4766), (IF(H105&lt;19001,((0.1503*H105)+59.75),((0.000005*H105^2)-(0.0565*H105)+2184)))))*(1000/G105)</f>
        <v>2.7581119250000001</v>
      </c>
      <c r="AE105" s="13">
        <f t="shared" ref="AE105:AE106" si="151">((0.0518*K105^2)+(27.217*K105)+116.22)*(1000/G105)</f>
        <v>203.01842302</v>
      </c>
      <c r="AN105" s="1">
        <v>103</v>
      </c>
      <c r="AO105" s="1">
        <v>1</v>
      </c>
    </row>
    <row r="106" spans="1:41" s="101" customFormat="1" ht="14.4" x14ac:dyDescent="0.3">
      <c r="A106" s="6">
        <v>42241</v>
      </c>
      <c r="B106" s="128">
        <v>0.625</v>
      </c>
      <c r="C106" s="13">
        <v>22.2</v>
      </c>
      <c r="D106" s="13">
        <v>30.04</v>
      </c>
      <c r="E106" s="7" t="s">
        <v>89</v>
      </c>
      <c r="F106" s="101" t="s">
        <v>566</v>
      </c>
      <c r="G106" s="1">
        <v>1000</v>
      </c>
      <c r="H106" s="1">
        <v>10.78</v>
      </c>
      <c r="I106" s="1">
        <v>12627</v>
      </c>
      <c r="K106" s="1">
        <v>8.57</v>
      </c>
      <c r="L106" s="1">
        <v>1</v>
      </c>
      <c r="M106" s="7"/>
      <c r="N106" s="2">
        <f t="shared" si="144"/>
        <v>22.2</v>
      </c>
      <c r="O106" s="8">
        <f t="shared" si="145"/>
        <v>0.93658535599999981</v>
      </c>
      <c r="P106" s="9">
        <f t="shared" si="146"/>
        <v>3.8648425199571624E-5</v>
      </c>
      <c r="Q106" s="9"/>
      <c r="T106" s="101">
        <f t="shared" si="149"/>
        <v>0</v>
      </c>
      <c r="U106" s="101">
        <f t="shared" si="149"/>
        <v>0</v>
      </c>
      <c r="X106" s="101">
        <f t="shared" si="147"/>
        <v>1.2467033279999998E-3</v>
      </c>
      <c r="Y106" s="75">
        <f t="shared" si="134"/>
        <v>0.17209834699999998</v>
      </c>
      <c r="Z106" s="10">
        <f t="shared" si="76"/>
        <v>1.2467033279999997</v>
      </c>
      <c r="AA106" s="10">
        <f t="shared" si="77"/>
        <v>172.09834699999999</v>
      </c>
      <c r="AB106" s="13">
        <f t="shared" si="148"/>
        <v>3.3524517479999996</v>
      </c>
      <c r="AC106" s="13">
        <f t="shared" ref="AC106" si="152">(0.0518*K106^2)+(27.217*K106)+116.22</f>
        <v>353.27413581999997</v>
      </c>
      <c r="AD106" s="13">
        <f t="shared" si="150"/>
        <v>3.3524517479999996</v>
      </c>
      <c r="AE106" s="13">
        <f t="shared" si="151"/>
        <v>353.27413581999997</v>
      </c>
      <c r="AG106" s="7"/>
      <c r="AN106" s="1">
        <v>104</v>
      </c>
      <c r="AO106" s="1">
        <v>1</v>
      </c>
    </row>
    <row r="107" spans="1:41" s="1" customFormat="1" ht="14.4" x14ac:dyDescent="0.3">
      <c r="A107" s="6">
        <v>42248</v>
      </c>
      <c r="B107" s="32">
        <v>0.45833333333333331</v>
      </c>
      <c r="C107" s="2">
        <v>22.2</v>
      </c>
      <c r="D107" s="2">
        <v>30.25</v>
      </c>
      <c r="E107" s="7" t="s">
        <v>89</v>
      </c>
      <c r="F107" s="101" t="s">
        <v>566</v>
      </c>
      <c r="G107" s="1">
        <v>1000</v>
      </c>
      <c r="H107" s="1">
        <v>7.65</v>
      </c>
      <c r="I107" s="1">
        <v>13177</v>
      </c>
      <c r="K107" s="1">
        <v>5.04</v>
      </c>
      <c r="L107" s="1">
        <v>1</v>
      </c>
      <c r="M107" s="7"/>
      <c r="N107" s="2">
        <f>C107</f>
        <v>22.2</v>
      </c>
      <c r="O107" s="8">
        <f>0.001316*((D107*25.4)-(2.5*2053/100))</f>
        <v>0.94360489999999975</v>
      </c>
      <c r="P107" s="9">
        <f>(O107*(G107/1000000))/(0.08205*(N107+273.15))</f>
        <v>3.8938088410170764E-5</v>
      </c>
      <c r="Q107" s="9"/>
      <c r="R107" s="101"/>
      <c r="S107" s="101"/>
      <c r="T107" s="101">
        <f>R107*12*1000000</f>
        <v>0</v>
      </c>
      <c r="U107" s="101">
        <f>S107*12*1000000</f>
        <v>0</v>
      </c>
      <c r="V107" s="101"/>
      <c r="W107" s="101"/>
      <c r="X107" s="101">
        <f>IF(H107&lt;340, ((-0.00000008*H107^2)+(0.0002*H107)-0.0009), (IF(H107&lt;19001,((0.0000000002*H107^2)+(0.00007*H107)+0.0322),((0.000000001*H107^2)+(0.00005*H107)+0.0286))))</f>
        <v>6.2531820000000021E-4</v>
      </c>
      <c r="Y107" s="75">
        <f t="shared" si="134"/>
        <v>0.123002048</v>
      </c>
      <c r="Z107" s="10">
        <f t="shared" si="76"/>
        <v>0.62531820000000016</v>
      </c>
      <c r="AA107" s="10">
        <f t="shared" si="77"/>
        <v>123.00204800000002</v>
      </c>
      <c r="AB107" s="13">
        <f>IF(H107&lt;601, ((-0.00003*H107^2)+(0.2671*H107)+0.4766), (IF(H107&lt;19001,((0.1503*H107)+59.75),((0.000005*H107^2)-(0.0565*H107)+2184))))</f>
        <v>2.5181593250000001</v>
      </c>
      <c r="AC107" s="13">
        <f t="shared" ref="AC107:AC112" si="153">(0.0518*K107^2)+(27.217*K107)+116.22</f>
        <v>254.70948288</v>
      </c>
      <c r="AD107" s="13">
        <f>(IF(H107&lt;601, ((-0.00003*H107^2)+(0.2671*H107)+0.4766), (IF(H107&lt;19001,((0.1503*H107)+59.75),((0.000005*H107^2)-(0.0565*H107)+2184)))))*(1000/G107)</f>
        <v>2.5181593250000001</v>
      </c>
      <c r="AE107" s="13">
        <f>((0.0518*K107^2)+(27.217*K107)+116.22)*(1000/G107)</f>
        <v>254.70948288</v>
      </c>
      <c r="AN107" s="1">
        <v>105</v>
      </c>
      <c r="AO107" s="1">
        <v>1</v>
      </c>
    </row>
    <row r="108" spans="1:41" s="1" customFormat="1" ht="14.4" x14ac:dyDescent="0.3">
      <c r="A108" s="6">
        <v>42248</v>
      </c>
      <c r="B108" s="6"/>
      <c r="C108" s="2">
        <v>22.2</v>
      </c>
      <c r="D108" s="2">
        <v>30.25</v>
      </c>
      <c r="E108" s="7" t="s">
        <v>89</v>
      </c>
      <c r="F108" s="101" t="s">
        <v>566</v>
      </c>
      <c r="G108" s="1">
        <v>1000</v>
      </c>
      <c r="H108" s="1">
        <v>7.37</v>
      </c>
      <c r="I108" s="1">
        <v>13361</v>
      </c>
      <c r="K108" s="1">
        <v>4.51</v>
      </c>
      <c r="L108" s="1">
        <v>1</v>
      </c>
      <c r="M108" s="7"/>
      <c r="N108" s="2">
        <f t="shared" ref="N108:N109" si="154">C108</f>
        <v>22.2</v>
      </c>
      <c r="O108" s="8">
        <f t="shared" ref="O108:O109" si="155">0.001316*((D108*25.4)-(2.5*2053/100))</f>
        <v>0.94360489999999975</v>
      </c>
      <c r="P108" s="9">
        <f t="shared" ref="P108:P109" si="156">(O108*(G108/1000000))/(0.08205*(N108+273.15))</f>
        <v>3.8938088410170764E-5</v>
      </c>
      <c r="Q108" s="9"/>
      <c r="R108" s="101"/>
      <c r="S108" s="101"/>
      <c r="T108" s="101">
        <f>R108*12*1000000</f>
        <v>0</v>
      </c>
      <c r="U108" s="101">
        <f>S108*12*1000000</f>
        <v>0</v>
      </c>
      <c r="V108" s="101"/>
      <c r="W108" s="101"/>
      <c r="X108" s="101">
        <f t="shared" ref="X108:X109" si="157">IF(H108&lt;340, ((-0.00000008*H108^2)+(0.0002*H108)-0.0009), (IF(H108&lt;19001,((0.0000000002*H108^2)+(0.00007*H108)+0.0322),((0.000000001*H108^2)+(0.00005*H108)+0.0286))))</f>
        <v>5.6965464800000018E-4</v>
      </c>
      <c r="Y108" s="75">
        <f t="shared" si="134"/>
        <v>0.115695203</v>
      </c>
      <c r="Z108" s="10">
        <f t="shared" si="76"/>
        <v>0.56965464800000021</v>
      </c>
      <c r="AA108" s="10">
        <f t="shared" si="77"/>
        <v>115.69520299999999</v>
      </c>
      <c r="AB108" s="13">
        <f t="shared" ref="AB108:AB109" si="158">IF(H108&lt;601, ((-0.00003*H108^2)+(0.2671*H108)+0.4766), (IF(H108&lt;19001,((0.1503*H108)+59.75),((0.000005*H108^2)-(0.0565*H108)+2184))))</f>
        <v>2.4434974930000002</v>
      </c>
      <c r="AC108" s="13">
        <f t="shared" si="153"/>
        <v>240.02228717999998</v>
      </c>
      <c r="AD108" s="13">
        <f t="shared" ref="AD108:AD109" si="159">(IF(H108&lt;601, ((-0.00003*H108^2)+(0.2671*H108)+0.4766), (IF(H108&lt;19001,((0.1503*H108)+59.75),((0.000005*H108^2)-(0.0565*H108)+2184)))))*(1000/G108)</f>
        <v>2.4434974930000002</v>
      </c>
      <c r="AE108" s="13">
        <f t="shared" ref="AE108:AE109" si="160">((0.0518*K108^2)+(27.217*K108)+116.22)*(1000/G108)</f>
        <v>240.02228717999998</v>
      </c>
      <c r="AN108" s="1">
        <v>106</v>
      </c>
      <c r="AO108" s="1">
        <v>1</v>
      </c>
    </row>
    <row r="109" spans="1:41" s="1" customFormat="1" ht="14.4" x14ac:dyDescent="0.3">
      <c r="A109" s="6">
        <v>42248</v>
      </c>
      <c r="B109" s="6"/>
      <c r="C109" s="2">
        <v>22.2</v>
      </c>
      <c r="D109" s="2">
        <v>30.25</v>
      </c>
      <c r="E109" s="7" t="s">
        <v>89</v>
      </c>
      <c r="F109" s="101" t="s">
        <v>566</v>
      </c>
      <c r="G109" s="1">
        <v>1000</v>
      </c>
      <c r="H109" s="1">
        <v>7.51</v>
      </c>
      <c r="I109" s="1">
        <v>13165</v>
      </c>
      <c r="K109" s="1">
        <v>4.45</v>
      </c>
      <c r="L109" s="1">
        <v>1</v>
      </c>
      <c r="M109" s="7"/>
      <c r="N109" s="2">
        <f t="shared" si="154"/>
        <v>22.2</v>
      </c>
      <c r="O109" s="8">
        <f t="shared" si="155"/>
        <v>0.94360489999999975</v>
      </c>
      <c r="P109" s="9">
        <f t="shared" si="156"/>
        <v>3.8938088410170764E-5</v>
      </c>
      <c r="Q109" s="9"/>
      <c r="R109" s="101"/>
      <c r="S109" s="101"/>
      <c r="T109" s="101">
        <f t="shared" ref="T109:U109" si="161">R109*12*1000000</f>
        <v>0</v>
      </c>
      <c r="U109" s="101">
        <f t="shared" si="161"/>
        <v>0</v>
      </c>
      <c r="V109" s="101"/>
      <c r="W109" s="101"/>
      <c r="X109" s="101">
        <f t="shared" si="157"/>
        <v>5.97487992E-4</v>
      </c>
      <c r="Y109" s="75">
        <f t="shared" si="134"/>
        <v>0.114869075</v>
      </c>
      <c r="Z109" s="10">
        <f t="shared" si="76"/>
        <v>0.59748799199999991</v>
      </c>
      <c r="AA109" s="10">
        <f t="shared" si="77"/>
        <v>114.869075</v>
      </c>
      <c r="AB109" s="13">
        <f t="shared" si="158"/>
        <v>2.4808289969999997</v>
      </c>
      <c r="AC109" s="13">
        <f t="shared" si="153"/>
        <v>238.36141950000001</v>
      </c>
      <c r="AD109" s="13">
        <f t="shared" si="159"/>
        <v>2.4808289969999997</v>
      </c>
      <c r="AE109" s="13">
        <f t="shared" si="160"/>
        <v>238.36141950000001</v>
      </c>
      <c r="AN109" s="1">
        <v>107</v>
      </c>
      <c r="AO109" s="1">
        <v>1</v>
      </c>
    </row>
    <row r="110" spans="1:41" s="1" customFormat="1" ht="14.4" x14ac:dyDescent="0.3">
      <c r="A110" s="6">
        <v>42255</v>
      </c>
      <c r="B110" s="32">
        <v>0.3611111111111111</v>
      </c>
      <c r="C110" s="2">
        <v>22.2</v>
      </c>
      <c r="D110" s="2">
        <v>30.2</v>
      </c>
      <c r="E110" s="7" t="s">
        <v>89</v>
      </c>
      <c r="F110" s="101"/>
      <c r="G110" s="1">
        <v>1000</v>
      </c>
      <c r="H110" s="1">
        <v>5.43</v>
      </c>
      <c r="I110" s="1">
        <v>13403</v>
      </c>
      <c r="K110" s="1">
        <v>5.23</v>
      </c>
      <c r="L110" s="1">
        <v>1</v>
      </c>
      <c r="M110" s="7"/>
      <c r="N110" s="2">
        <f>C110</f>
        <v>22.2</v>
      </c>
      <c r="O110" s="8">
        <f>0.001316*((D110*25.4)-(2.5*2053/100))</f>
        <v>0.94193357999999971</v>
      </c>
      <c r="P110" s="9">
        <f>(O110*(G110/1000000))/(0.08205*(N110+273.15))</f>
        <v>3.8869120979075726E-5</v>
      </c>
      <c r="Q110" s="9"/>
      <c r="R110" s="101"/>
      <c r="S110" s="101"/>
      <c r="T110" s="101"/>
      <c r="U110" s="101"/>
      <c r="V110" s="101"/>
      <c r="W110" s="101"/>
      <c r="X110" s="101">
        <f>IF(H110&lt;340, ((-0.00000008*H110^2)+(0.0002*H110)-0.0009), (IF(H110&lt;19001,((0.0000000002*H110^2)+(0.00007*H110)+0.0322),((0.000000001*H110^2)+(0.00005*H110)+0.0286))))</f>
        <v>1.8364120800000005E-4</v>
      </c>
      <c r="Y110" s="75">
        <f t="shared" si="134"/>
        <v>0.12562558699999998</v>
      </c>
      <c r="Z110" s="10">
        <f t="shared" si="76"/>
        <v>0.18364120800000006</v>
      </c>
      <c r="AA110" s="10">
        <f t="shared" si="77"/>
        <v>125.62558699999998</v>
      </c>
      <c r="AB110" s="13">
        <f>IF(H110&lt;601, ((-0.00003*H110^2)+(0.2671*H110)+0.4766), (IF(H110&lt;19001,((0.1503*H110)+59.75),((0.000005*H110^2)-(0.0565*H110)+2184))))</f>
        <v>1.9260684530000001</v>
      </c>
      <c r="AC110" s="13">
        <f t="shared" si="153"/>
        <v>259.98179021999999</v>
      </c>
      <c r="AD110" s="13">
        <f>(IF(H110&lt;601, ((-0.00003*H110^2)+(0.2671*H110)+0.4766), (IF(H110&lt;19001,((0.1503*H110)+59.75),((0.000005*H110^2)-(0.0565*H110)+2184)))))*(1000/G110)</f>
        <v>1.9260684530000001</v>
      </c>
      <c r="AE110" s="13">
        <f>((0.0518*K110^2)+(27.217*K110)+116.22)*(1000/G110)</f>
        <v>259.98179021999999</v>
      </c>
      <c r="AN110" s="1">
        <v>108</v>
      </c>
      <c r="AO110" s="1">
        <v>1</v>
      </c>
    </row>
    <row r="111" spans="1:41" s="1" customFormat="1" ht="14.4" x14ac:dyDescent="0.3">
      <c r="A111" s="6">
        <v>42255</v>
      </c>
      <c r="B111" s="6"/>
      <c r="C111" s="2">
        <v>22.2</v>
      </c>
      <c r="D111" s="2">
        <v>30.2</v>
      </c>
      <c r="E111" s="7" t="s">
        <v>89</v>
      </c>
      <c r="F111" s="101"/>
      <c r="G111" s="1">
        <v>1000</v>
      </c>
      <c r="H111" s="1">
        <v>6.5</v>
      </c>
      <c r="I111" s="1">
        <v>13601</v>
      </c>
      <c r="K111" s="1">
        <v>5.21</v>
      </c>
      <c r="L111" s="1">
        <v>1</v>
      </c>
      <c r="M111" s="7"/>
      <c r="N111" s="2">
        <f t="shared" ref="N111:N113" si="162">C111</f>
        <v>22.2</v>
      </c>
      <c r="O111" s="8">
        <f t="shared" ref="O111:O113" si="163">0.001316*((D111*25.4)-(2.5*2053/100))</f>
        <v>0.94193357999999971</v>
      </c>
      <c r="P111" s="9">
        <f t="shared" ref="P111:P113" si="164">(O111*(G111/1000000))/(0.08205*(N111+273.15))</f>
        <v>3.8869120979075726E-5</v>
      </c>
      <c r="Q111" s="9"/>
      <c r="R111" s="101"/>
      <c r="S111" s="101"/>
      <c r="T111" s="101"/>
      <c r="U111" s="101"/>
      <c r="V111" s="101"/>
      <c r="W111" s="101"/>
      <c r="X111" s="101">
        <f t="shared" ref="X111:X113" si="165">IF(H111&lt;340, ((-0.00000008*H111^2)+(0.0002*H111)-0.0009), (IF(H111&lt;19001,((0.0000000002*H111^2)+(0.00007*H111)+0.0322),((0.000000001*H111^2)+(0.00005*H111)+0.0286))))</f>
        <v>3.9662000000000009E-4</v>
      </c>
      <c r="Y111" s="75">
        <f t="shared" si="134"/>
        <v>0.12534932300000001</v>
      </c>
      <c r="Z111" s="10">
        <f t="shared" si="76"/>
        <v>0.39662000000000008</v>
      </c>
      <c r="AA111" s="10">
        <f t="shared" si="77"/>
        <v>125.34932300000001</v>
      </c>
      <c r="AB111" s="13">
        <f t="shared" ref="AB111:AB113" si="166">IF(H111&lt;601, ((-0.00003*H111^2)+(0.2671*H111)+0.4766), (IF(H111&lt;19001,((0.1503*H111)+59.75),((0.000005*H111^2)-(0.0565*H111)+2184))))</f>
        <v>2.2114825000000002</v>
      </c>
      <c r="AC111" s="13">
        <f t="shared" si="153"/>
        <v>259.42663438</v>
      </c>
      <c r="AD111" s="13">
        <f t="shared" ref="AD111:AD113" si="167">(IF(H111&lt;601, ((-0.00003*H111^2)+(0.2671*H111)+0.4766), (IF(H111&lt;19001,((0.1503*H111)+59.75),((0.000005*H111^2)-(0.0565*H111)+2184)))))*(1000/G111)</f>
        <v>2.2114825000000002</v>
      </c>
      <c r="AE111" s="13">
        <f t="shared" ref="AE111:AE113" si="168">((0.0518*K111^2)+(27.217*K111)+116.22)*(1000/G111)</f>
        <v>259.42663438</v>
      </c>
      <c r="AN111" s="1">
        <v>109</v>
      </c>
      <c r="AO111" s="1">
        <v>1</v>
      </c>
    </row>
    <row r="112" spans="1:41" s="1" customFormat="1" ht="14.4" x14ac:dyDescent="0.3">
      <c r="A112" s="6">
        <v>42255</v>
      </c>
      <c r="B112" s="6"/>
      <c r="C112" s="2">
        <v>22.2</v>
      </c>
      <c r="D112" s="2">
        <v>30.2</v>
      </c>
      <c r="E112" s="7" t="s">
        <v>89</v>
      </c>
      <c r="F112" s="101"/>
      <c r="G112" s="1">
        <v>1000</v>
      </c>
      <c r="H112" s="1">
        <v>7.91</v>
      </c>
      <c r="I112" s="1">
        <v>13512</v>
      </c>
      <c r="K112" s="1">
        <v>4.4800000000000004</v>
      </c>
      <c r="L112" s="1">
        <v>1</v>
      </c>
      <c r="M112" s="7"/>
      <c r="N112" s="2">
        <f t="shared" si="162"/>
        <v>22.2</v>
      </c>
      <c r="O112" s="8">
        <f t="shared" si="163"/>
        <v>0.94193357999999971</v>
      </c>
      <c r="P112" s="9">
        <f t="shared" si="164"/>
        <v>3.8869120979075726E-5</v>
      </c>
      <c r="Q112" s="9"/>
      <c r="R112" s="101"/>
      <c r="S112" s="101"/>
      <c r="T112" s="101"/>
      <c r="U112" s="101"/>
      <c r="V112" s="101"/>
      <c r="W112" s="101"/>
      <c r="X112" s="101">
        <f t="shared" si="165"/>
        <v>6.7699455200000017E-4</v>
      </c>
      <c r="Y112" s="75">
        <f t="shared" si="134"/>
        <v>0.11528211200000001</v>
      </c>
      <c r="Z112" s="10">
        <f t="shared" si="76"/>
        <v>0.67699455200000025</v>
      </c>
      <c r="AA112" s="10">
        <f t="shared" si="77"/>
        <v>115.28211200000001</v>
      </c>
      <c r="AB112" s="13">
        <f t="shared" si="166"/>
        <v>2.5874839569999999</v>
      </c>
      <c r="AC112" s="13">
        <f t="shared" si="153"/>
        <v>239.19180671999999</v>
      </c>
      <c r="AD112" s="13">
        <f t="shared" si="167"/>
        <v>2.5874839569999999</v>
      </c>
      <c r="AE112" s="13">
        <f t="shared" si="168"/>
        <v>239.19180671999999</v>
      </c>
      <c r="AN112" s="1">
        <v>110</v>
      </c>
      <c r="AO112" s="1">
        <v>1</v>
      </c>
    </row>
    <row r="113" spans="1:41" s="101" customFormat="1" ht="14.4" x14ac:dyDescent="0.3">
      <c r="A113" s="6">
        <v>42255</v>
      </c>
      <c r="B113" s="128">
        <v>0.64930555555555558</v>
      </c>
      <c r="C113" s="2">
        <v>22.3</v>
      </c>
      <c r="D113" s="2">
        <v>30.13</v>
      </c>
      <c r="E113" s="7" t="s">
        <v>89</v>
      </c>
      <c r="G113" s="1">
        <v>1000</v>
      </c>
      <c r="H113" s="1">
        <v>9.49</v>
      </c>
      <c r="I113" s="1">
        <v>13475</v>
      </c>
      <c r="J113" s="1"/>
      <c r="K113" s="1">
        <v>3.06</v>
      </c>
      <c r="L113" s="1">
        <v>1</v>
      </c>
      <c r="M113" s="7"/>
      <c r="N113" s="2">
        <f t="shared" si="162"/>
        <v>22.3</v>
      </c>
      <c r="O113" s="8">
        <f t="shared" si="163"/>
        <v>0.93959373199999974</v>
      </c>
      <c r="P113" s="9">
        <f t="shared" si="164"/>
        <v>3.8759443351113654E-5</v>
      </c>
      <c r="Q113" s="9"/>
      <c r="X113" s="101">
        <f t="shared" si="165"/>
        <v>9.9079519200000014E-4</v>
      </c>
      <c r="Y113" s="75">
        <f t="shared" si="134"/>
        <v>9.5790908000000008E-2</v>
      </c>
      <c r="Z113" s="10">
        <f t="shared" si="76"/>
        <v>0.9907951920000001</v>
      </c>
      <c r="AA113" s="10">
        <f t="shared" si="77"/>
        <v>95.790908000000016</v>
      </c>
      <c r="AB113" s="13">
        <f t="shared" si="166"/>
        <v>3.0086771969999999</v>
      </c>
      <c r="AC113" s="13">
        <f t="shared" ref="AC113" si="169">(0.0518*K113^2)+(27.217*K113)+116.22</f>
        <v>199.98905447999999</v>
      </c>
      <c r="AD113" s="13">
        <f t="shared" si="167"/>
        <v>3.0086771969999999</v>
      </c>
      <c r="AE113" s="13">
        <f t="shared" si="168"/>
        <v>199.98905447999999</v>
      </c>
      <c r="AG113" s="7"/>
      <c r="AN113" s="1">
        <v>111</v>
      </c>
      <c r="AO113" s="1">
        <v>1</v>
      </c>
    </row>
    <row r="114" spans="1:41" s="1" customFormat="1" ht="14.4" x14ac:dyDescent="0.3">
      <c r="A114" s="6">
        <v>42262</v>
      </c>
      <c r="B114" s="32">
        <v>0.4236111111111111</v>
      </c>
      <c r="C114" s="2">
        <v>22.4</v>
      </c>
      <c r="D114" s="2">
        <v>30.46</v>
      </c>
      <c r="E114" s="7" t="s">
        <v>89</v>
      </c>
      <c r="F114" s="101"/>
      <c r="G114" s="1">
        <v>1000</v>
      </c>
      <c r="H114" s="1">
        <v>6.94</v>
      </c>
      <c r="I114" s="1">
        <v>13045</v>
      </c>
      <c r="K114" s="1">
        <v>6.63</v>
      </c>
      <c r="L114" s="1">
        <v>1</v>
      </c>
      <c r="M114" s="7"/>
      <c r="N114" s="2">
        <f>C114</f>
        <v>22.4</v>
      </c>
      <c r="O114" s="8">
        <f>0.001316*((D114*25.4)-(2.5*2053/100))</f>
        <v>0.95062444399999979</v>
      </c>
      <c r="P114" s="9">
        <f>(O114*(G114/1000000))/(0.08205*(N114+273.15))</f>
        <v>3.9201206026710855E-5</v>
      </c>
      <c r="Q114" s="9"/>
      <c r="R114" s="101"/>
      <c r="S114" s="101"/>
      <c r="T114" s="101"/>
      <c r="U114" s="101"/>
      <c r="V114" s="101"/>
      <c r="W114" s="101"/>
      <c r="X114" s="101">
        <f>IF(H114&lt;340, ((-0.00000008*H114^2)+(0.0002*H114)-0.0009), (IF(H114&lt;19001,((0.0000000002*H114^2)+(0.00007*H114)+0.0322),((0.000000001*H114^2)+(0.00005*H114)+0.0286))))</f>
        <v>4.8414691200000023E-4</v>
      </c>
      <c r="Y114" s="75">
        <f t="shared" si="134"/>
        <v>0.145023707</v>
      </c>
      <c r="Z114" s="10">
        <f t="shared" si="76"/>
        <v>0.48414691200000021</v>
      </c>
      <c r="AA114" s="10">
        <f t="shared" si="77"/>
        <v>145.023707</v>
      </c>
      <c r="AB114" s="13">
        <f>IF(H114&lt;601, ((-0.00003*H114^2)+(0.2671*H114)+0.4766), (IF(H114&lt;19001,((0.1503*H114)+59.75),((0.000005*H114^2)-(0.0565*H114)+2184))))</f>
        <v>2.3288290919999999</v>
      </c>
      <c r="AC114" s="13">
        <f>(0.0518*K114^2)+(27.217*K114)+116.22</f>
        <v>298.94567741999998</v>
      </c>
      <c r="AD114" s="13">
        <f>(IF(H114&lt;601, ((-0.00003*H114^2)+(0.2671*H114)+0.4766), (IF(H114&lt;19001,((0.1503*H114)+59.75),((0.000005*H114^2)-(0.0565*H114)+2184)))))*(1000/G114)</f>
        <v>2.3288290919999999</v>
      </c>
      <c r="AE114" s="13">
        <f>((0.0518*K114^2)+(27.217*K114)+116.22)*(1000/G114)</f>
        <v>298.94567741999998</v>
      </c>
      <c r="AN114" s="1">
        <v>112</v>
      </c>
      <c r="AO114" s="1">
        <v>1</v>
      </c>
    </row>
    <row r="115" spans="1:41" s="1" customFormat="1" ht="14.4" x14ac:dyDescent="0.3">
      <c r="A115" s="6">
        <v>42262</v>
      </c>
      <c r="B115" s="6"/>
      <c r="C115" s="2">
        <v>22.4</v>
      </c>
      <c r="D115" s="2">
        <v>30.46</v>
      </c>
      <c r="E115" s="7" t="s">
        <v>89</v>
      </c>
      <c r="F115" s="101"/>
      <c r="G115" s="1">
        <v>1000</v>
      </c>
      <c r="H115" s="1">
        <v>6.97</v>
      </c>
      <c r="I115" s="1">
        <v>12721</v>
      </c>
      <c r="K115" s="1">
        <v>5.01</v>
      </c>
      <c r="L115" s="1">
        <v>1</v>
      </c>
      <c r="M115" s="7"/>
      <c r="N115" s="2">
        <f t="shared" ref="N115:N117" si="170">C115</f>
        <v>22.4</v>
      </c>
      <c r="O115" s="8">
        <f t="shared" ref="O115:O117" si="171">0.001316*((D115*25.4)-(2.5*2053/100))</f>
        <v>0.95062444399999979</v>
      </c>
      <c r="P115" s="9">
        <f t="shared" ref="P115:P117" si="172">(O115*(G115/1000000))/(0.08205*(N115+273.15))</f>
        <v>3.9201206026710855E-5</v>
      </c>
      <c r="Q115" s="9"/>
      <c r="R115" s="101"/>
      <c r="S115" s="101"/>
      <c r="T115" s="101"/>
      <c r="U115" s="101"/>
      <c r="V115" s="101"/>
      <c r="W115" s="101"/>
      <c r="X115" s="101">
        <f t="shared" ref="X115:X117" si="173">IF(H115&lt;340, ((-0.00000008*H115^2)+(0.0002*H115)-0.0009), (IF(H115&lt;19001,((0.0000000002*H115^2)+(0.00007*H115)+0.0322),((0.000000001*H115^2)+(0.00005*H115)+0.0286))))</f>
        <v>4.9011352799999998E-4</v>
      </c>
      <c r="Y115" s="75">
        <f t="shared" si="134"/>
        <v>0.122588003</v>
      </c>
      <c r="Z115" s="10">
        <f t="shared" si="76"/>
        <v>0.49011352799999996</v>
      </c>
      <c r="AA115" s="10">
        <f t="shared" si="77"/>
        <v>122.588003</v>
      </c>
      <c r="AB115" s="13">
        <f t="shared" ref="AB115:AB117" si="174">IF(H115&lt;601, ((-0.00003*H115^2)+(0.2671*H115)+0.4766), (IF(H115&lt;19001,((0.1503*H115)+59.75),((0.000005*H115^2)-(0.0565*H115)+2184))))</f>
        <v>2.3368295729999997</v>
      </c>
      <c r="AC115" s="13">
        <f>(0.0518*K115^2)+(27.217*K115)+116.22</f>
        <v>253.87735518</v>
      </c>
      <c r="AD115" s="13">
        <f t="shared" ref="AD115:AD117" si="175">(IF(H115&lt;601, ((-0.00003*H115^2)+(0.2671*H115)+0.4766), (IF(H115&lt;19001,((0.1503*H115)+59.75),((0.000005*H115^2)-(0.0565*H115)+2184)))))*(1000/G115)</f>
        <v>2.3368295729999997</v>
      </c>
      <c r="AE115" s="13">
        <f t="shared" ref="AE115:AE117" si="176">((0.0518*K115^2)+(27.217*K115)+116.22)*(1000/G115)</f>
        <v>253.87735518</v>
      </c>
      <c r="AN115" s="1">
        <v>113</v>
      </c>
      <c r="AO115" s="1">
        <v>1</v>
      </c>
    </row>
    <row r="116" spans="1:41" s="1" customFormat="1" ht="14.4" x14ac:dyDescent="0.3">
      <c r="A116" s="6">
        <v>42262</v>
      </c>
      <c r="B116" s="6"/>
      <c r="C116" s="2">
        <v>22.4</v>
      </c>
      <c r="D116" s="2">
        <v>30.46</v>
      </c>
      <c r="E116" s="7" t="s">
        <v>89</v>
      </c>
      <c r="F116" s="101"/>
      <c r="G116" s="1">
        <v>1000</v>
      </c>
      <c r="H116" s="1">
        <v>6.98</v>
      </c>
      <c r="I116" s="1">
        <v>13086</v>
      </c>
      <c r="K116" s="1">
        <v>3.88</v>
      </c>
      <c r="L116" s="1">
        <v>1</v>
      </c>
      <c r="M116" s="7"/>
      <c r="N116" s="2">
        <f t="shared" si="170"/>
        <v>22.4</v>
      </c>
      <c r="O116" s="8">
        <f t="shared" si="171"/>
        <v>0.95062444399999979</v>
      </c>
      <c r="P116" s="9">
        <f t="shared" si="172"/>
        <v>3.9201206026710855E-5</v>
      </c>
      <c r="Q116" s="9"/>
      <c r="R116" s="101"/>
      <c r="S116" s="101"/>
      <c r="T116" s="101"/>
      <c r="U116" s="101"/>
      <c r="V116" s="101"/>
      <c r="W116" s="101"/>
      <c r="X116" s="101">
        <f t="shared" si="173"/>
        <v>4.9210236800000017E-4</v>
      </c>
      <c r="Y116" s="75">
        <f t="shared" si="134"/>
        <v>0.10703163199999999</v>
      </c>
      <c r="Z116" s="10">
        <f t="shared" si="76"/>
        <v>0.49210236800000018</v>
      </c>
      <c r="AA116" s="10">
        <f t="shared" si="77"/>
        <v>107.03163199999999</v>
      </c>
      <c r="AB116" s="13">
        <f t="shared" si="174"/>
        <v>2.3394963880000001</v>
      </c>
      <c r="AC116" s="13">
        <f>(0.0518*K116^2)+(27.217*K116)+116.22</f>
        <v>222.60177791999999</v>
      </c>
      <c r="AD116" s="13">
        <f t="shared" si="175"/>
        <v>2.3394963880000001</v>
      </c>
      <c r="AE116" s="13">
        <f t="shared" si="176"/>
        <v>222.60177791999999</v>
      </c>
      <c r="AN116" s="1">
        <v>114</v>
      </c>
      <c r="AO116" s="1">
        <v>1</v>
      </c>
    </row>
    <row r="117" spans="1:41" s="101" customFormat="1" ht="14.4" x14ac:dyDescent="0.3">
      <c r="A117" s="6">
        <v>42262</v>
      </c>
      <c r="B117" s="6"/>
      <c r="C117" s="2">
        <v>22.4</v>
      </c>
      <c r="D117" s="2">
        <v>30.46</v>
      </c>
      <c r="E117" s="7" t="s">
        <v>89</v>
      </c>
      <c r="G117" s="1">
        <v>1000</v>
      </c>
      <c r="H117" s="1">
        <v>6.77</v>
      </c>
      <c r="I117" s="1">
        <v>13527</v>
      </c>
      <c r="J117" s="1"/>
      <c r="K117" s="1">
        <v>3.17</v>
      </c>
      <c r="L117" s="1">
        <v>1</v>
      </c>
      <c r="M117" s="7"/>
      <c r="N117" s="2">
        <f t="shared" si="170"/>
        <v>22.4</v>
      </c>
      <c r="O117" s="8">
        <f t="shared" si="171"/>
        <v>0.95062444399999979</v>
      </c>
      <c r="P117" s="9">
        <f t="shared" si="172"/>
        <v>3.9201206026710855E-5</v>
      </c>
      <c r="Q117" s="9"/>
      <c r="X117" s="101">
        <f t="shared" si="173"/>
        <v>4.5033336800000007E-4</v>
      </c>
      <c r="Y117" s="75">
        <f t="shared" si="134"/>
        <v>9.7296466999999998E-2</v>
      </c>
      <c r="Z117" s="10">
        <f t="shared" si="76"/>
        <v>0.45033336800000007</v>
      </c>
      <c r="AA117" s="10">
        <f t="shared" si="77"/>
        <v>97.296467000000007</v>
      </c>
      <c r="AB117" s="13">
        <f t="shared" si="174"/>
        <v>2.283492013</v>
      </c>
      <c r="AC117" s="13">
        <f t="shared" ref="AC117" si="177">(0.0518*K117^2)+(27.217*K117)+116.22</f>
        <v>203.01842302</v>
      </c>
      <c r="AD117" s="13">
        <f t="shared" si="175"/>
        <v>2.283492013</v>
      </c>
      <c r="AE117" s="13">
        <f t="shared" si="176"/>
        <v>203.01842302</v>
      </c>
      <c r="AG117" s="7"/>
      <c r="AN117" s="1">
        <v>115</v>
      </c>
      <c r="AO117" s="1">
        <v>1</v>
      </c>
    </row>
    <row r="118" spans="1:41" s="1" customFormat="1" ht="14.4" x14ac:dyDescent="0.3">
      <c r="A118" s="6">
        <v>42269</v>
      </c>
      <c r="B118" s="32">
        <v>0.3576388888888889</v>
      </c>
      <c r="C118" s="2">
        <v>22.4</v>
      </c>
      <c r="D118" s="2">
        <v>30.26</v>
      </c>
      <c r="E118" s="7" t="s">
        <v>89</v>
      </c>
      <c r="F118" s="101"/>
      <c r="G118" s="1">
        <v>1000</v>
      </c>
      <c r="H118" s="1">
        <v>7.82</v>
      </c>
      <c r="I118" s="1">
        <v>13456</v>
      </c>
      <c r="K118" s="1">
        <v>8.1300000000000008</v>
      </c>
      <c r="L118" s="1">
        <v>1</v>
      </c>
      <c r="M118" s="7"/>
      <c r="N118" s="2">
        <f>C118</f>
        <v>22.4</v>
      </c>
      <c r="O118" s="8">
        <f>0.001316*((D118*25.4)-(2.5*2053/100))</f>
        <v>0.94393916399999989</v>
      </c>
      <c r="P118" s="9">
        <f>(O118*(G118/1000000))/(0.08205*(N118+273.15))</f>
        <v>3.8925522984600644E-5</v>
      </c>
      <c r="Q118" s="9"/>
      <c r="R118" s="101"/>
      <c r="S118" s="101"/>
      <c r="T118" s="101"/>
      <c r="U118" s="101"/>
      <c r="V118" s="101"/>
      <c r="W118" s="101"/>
      <c r="X118" s="101">
        <f>IF(H118&lt;340, ((-0.00000008*H118^2)+(0.0002*H118)-0.0009), (IF(H118&lt;19001,((0.0000000002*H118^2)+(0.00007*H118)+0.0322),((0.000000001*H118^2)+(0.00005*H118)+0.0286))))</f>
        <v>6.5910780800000016E-4</v>
      </c>
      <c r="Y118" s="75">
        <f t="shared" si="134"/>
        <v>0.165937907</v>
      </c>
      <c r="Z118" s="25">
        <f t="shared" si="76"/>
        <v>0.65910780800000024</v>
      </c>
      <c r="AA118" s="25">
        <f t="shared" si="77"/>
        <v>165.937907</v>
      </c>
      <c r="AB118" s="13">
        <f>IF(H118&lt;601, ((-0.00003*H118^2)+(0.2671*H118)+0.4766), (IF(H118&lt;19001,((0.1503*H118)+59.75),((0.000005*H118^2)-(0.0565*H118)+2184))))</f>
        <v>2.5634874280000002</v>
      </c>
      <c r="AC118" s="13">
        <f>(0.0518*K118^2)+(27.217*K118)+116.22</f>
        <v>340.91802942000004</v>
      </c>
      <c r="AD118" s="13">
        <f>(IF(H118&lt;601, ((-0.00003*H118^2)+(0.2671*H118)+0.4766), (IF(H118&lt;19001,((0.1503*H118)+59.75),((0.000005*H118^2)-(0.0565*H118)+2184)))))*(1000/G118)</f>
        <v>2.5634874280000002</v>
      </c>
      <c r="AE118" s="13">
        <f>((0.0518*K118^2)+(27.217*K118)+116.22)*(1000/G118)</f>
        <v>340.91802942000004</v>
      </c>
      <c r="AN118" s="1">
        <v>116</v>
      </c>
      <c r="AO118" s="1">
        <v>1</v>
      </c>
    </row>
    <row r="119" spans="1:41" s="1" customFormat="1" ht="14.4" x14ac:dyDescent="0.3">
      <c r="A119" s="6">
        <v>42269</v>
      </c>
      <c r="B119" s="6"/>
      <c r="C119" s="2">
        <v>22.4</v>
      </c>
      <c r="D119" s="2">
        <v>30.26</v>
      </c>
      <c r="E119" s="7" t="s">
        <v>89</v>
      </c>
      <c r="F119" s="101"/>
      <c r="G119" s="1">
        <v>1000</v>
      </c>
      <c r="H119" s="1">
        <v>5.92</v>
      </c>
      <c r="I119" s="1">
        <v>13735</v>
      </c>
      <c r="K119" s="1">
        <v>8.27</v>
      </c>
      <c r="L119" s="1">
        <v>1</v>
      </c>
      <c r="M119" s="7"/>
      <c r="N119" s="2">
        <f t="shared" ref="N119:N121" si="178">C119</f>
        <v>22.4</v>
      </c>
      <c r="O119" s="8">
        <f t="shared" ref="O119:O121" si="179">0.001316*((D119*25.4)-(2.5*2053/100))</f>
        <v>0.94393916399999989</v>
      </c>
      <c r="P119" s="9">
        <f t="shared" ref="P119:P121" si="180">(O119*(G119/1000000))/(0.08205*(N119+273.15))</f>
        <v>3.8925522984600644E-5</v>
      </c>
      <c r="Q119" s="9"/>
      <c r="R119" s="101"/>
      <c r="S119" s="101"/>
      <c r="T119" s="101"/>
      <c r="U119" s="101"/>
      <c r="V119" s="101"/>
      <c r="W119" s="101"/>
      <c r="X119" s="101">
        <f t="shared" ref="X119:X121" si="181">IF(H119&lt;340, ((-0.00000008*H119^2)+(0.0002*H119)-0.0009), (IF(H119&lt;19001,((0.0000000002*H119^2)+(0.00007*H119)+0.0322),((0.000000001*H119^2)+(0.00005*H119)+0.0286))))</f>
        <v>2.8119628799999998E-4</v>
      </c>
      <c r="Y119" s="75">
        <f t="shared" si="134"/>
        <v>0.16789678699999999</v>
      </c>
      <c r="Z119" s="25">
        <f t="shared" si="76"/>
        <v>0.28119628799999996</v>
      </c>
      <c r="AA119" s="25">
        <f t="shared" si="77"/>
        <v>167.89678699999999</v>
      </c>
      <c r="AB119" s="13">
        <f t="shared" ref="AB119:AB121" si="182">IF(H119&lt;601, ((-0.00003*H119^2)+(0.2671*H119)+0.4766), (IF(H119&lt;19001,((0.1503*H119)+59.75),((0.000005*H119^2)-(0.0565*H119)+2184))))</f>
        <v>2.056780608</v>
      </c>
      <c r="AC119" s="13">
        <f>(0.0518*K119^2)+(27.217*K119)+116.22</f>
        <v>344.84734221999997</v>
      </c>
      <c r="AD119" s="13">
        <f t="shared" ref="AD119:AD121" si="183">(IF(H119&lt;601, ((-0.00003*H119^2)+(0.2671*H119)+0.4766), (IF(H119&lt;19001,((0.1503*H119)+59.75),((0.000005*H119^2)-(0.0565*H119)+2184)))))*(1000/G119)</f>
        <v>2.056780608</v>
      </c>
      <c r="AE119" s="13">
        <f t="shared" ref="AE119:AE121" si="184">((0.0518*K119^2)+(27.217*K119)+116.22)*(1000/G119)</f>
        <v>344.84734221999997</v>
      </c>
      <c r="AN119" s="1">
        <v>117</v>
      </c>
      <c r="AO119" s="1">
        <v>1</v>
      </c>
    </row>
    <row r="120" spans="1:41" s="1" customFormat="1" ht="14.4" x14ac:dyDescent="0.3">
      <c r="A120" s="6">
        <v>42269</v>
      </c>
      <c r="B120" s="6"/>
      <c r="C120" s="2">
        <v>22.4</v>
      </c>
      <c r="D120" s="2">
        <v>30.26</v>
      </c>
      <c r="E120" s="7" t="s">
        <v>89</v>
      </c>
      <c r="F120" s="101"/>
      <c r="G120" s="1">
        <v>1000</v>
      </c>
      <c r="H120" s="1">
        <v>5.65</v>
      </c>
      <c r="I120" s="1">
        <v>13653</v>
      </c>
      <c r="K120" s="1">
        <v>4.42</v>
      </c>
      <c r="L120" s="1">
        <v>1</v>
      </c>
      <c r="M120" s="7"/>
      <c r="N120" s="2">
        <f t="shared" si="178"/>
        <v>22.4</v>
      </c>
      <c r="O120" s="8">
        <f t="shared" si="179"/>
        <v>0.94393916399999989</v>
      </c>
      <c r="P120" s="9">
        <f t="shared" si="180"/>
        <v>3.8925522984600644E-5</v>
      </c>
      <c r="Q120" s="9"/>
      <c r="R120" s="101"/>
      <c r="S120" s="101"/>
      <c r="T120" s="101"/>
      <c r="U120" s="101"/>
      <c r="V120" s="101"/>
      <c r="W120" s="101"/>
      <c r="X120" s="101">
        <f t="shared" si="181"/>
        <v>2.2744620000000014E-4</v>
      </c>
      <c r="Y120" s="75">
        <f t="shared" si="134"/>
        <v>0.11445609200000001</v>
      </c>
      <c r="Z120" s="25">
        <f t="shared" si="76"/>
        <v>0.22744620000000015</v>
      </c>
      <c r="AA120" s="25">
        <f t="shared" si="77"/>
        <v>114.456092</v>
      </c>
      <c r="AB120" s="13">
        <f t="shared" si="182"/>
        <v>1.9847573250000003</v>
      </c>
      <c r="AC120" s="13">
        <f>(0.0518*K120^2)+(27.217*K120)+116.22</f>
        <v>237.53112551999999</v>
      </c>
      <c r="AD120" s="13">
        <f t="shared" si="183"/>
        <v>1.9847573250000003</v>
      </c>
      <c r="AE120" s="13">
        <f t="shared" si="184"/>
        <v>237.53112551999999</v>
      </c>
      <c r="AN120" s="1">
        <v>118</v>
      </c>
      <c r="AO120" s="1">
        <v>1</v>
      </c>
    </row>
    <row r="121" spans="1:41" s="101" customFormat="1" ht="14.4" x14ac:dyDescent="0.3">
      <c r="A121" s="6">
        <v>42269</v>
      </c>
      <c r="B121" s="6"/>
      <c r="C121" s="2">
        <v>22.4</v>
      </c>
      <c r="D121" s="2">
        <v>30.26</v>
      </c>
      <c r="E121" s="7" t="s">
        <v>89</v>
      </c>
      <c r="G121" s="1">
        <v>1000</v>
      </c>
      <c r="H121" s="1">
        <v>6.27</v>
      </c>
      <c r="I121" s="1">
        <v>13477</v>
      </c>
      <c r="J121" s="1"/>
      <c r="K121" s="1">
        <v>4.28</v>
      </c>
      <c r="L121" s="1">
        <v>1</v>
      </c>
      <c r="M121" s="7"/>
      <c r="N121" s="2">
        <f t="shared" si="178"/>
        <v>22.4</v>
      </c>
      <c r="O121" s="8">
        <f t="shared" si="179"/>
        <v>0.94393916399999989</v>
      </c>
      <c r="P121" s="9">
        <f t="shared" si="180"/>
        <v>3.8925522984600644E-5</v>
      </c>
      <c r="Q121" s="9"/>
      <c r="X121" s="101">
        <f t="shared" si="181"/>
        <v>3.5085496799999987E-4</v>
      </c>
      <c r="Y121" s="75">
        <f t="shared" si="134"/>
        <v>0.112529552</v>
      </c>
      <c r="Z121" s="25">
        <f t="shared" si="76"/>
        <v>0.35085496799999988</v>
      </c>
      <c r="AA121" s="25">
        <f t="shared" si="77"/>
        <v>112.52955200000001</v>
      </c>
      <c r="AB121" s="13">
        <f t="shared" si="182"/>
        <v>2.1501376130000001</v>
      </c>
      <c r="AC121" s="13">
        <f t="shared" ref="AC121" si="185">(0.0518*K121^2)+(27.217*K121)+116.22</f>
        <v>233.65765311999999</v>
      </c>
      <c r="AD121" s="13">
        <f t="shared" si="183"/>
        <v>2.1501376130000001</v>
      </c>
      <c r="AE121" s="13">
        <f t="shared" si="184"/>
        <v>233.65765311999999</v>
      </c>
      <c r="AG121" s="7"/>
      <c r="AN121" s="1">
        <v>119</v>
      </c>
      <c r="AO121" s="1">
        <v>1</v>
      </c>
    </row>
    <row r="122" spans="1:41" s="1" customFormat="1" ht="14.4" x14ac:dyDescent="0.3">
      <c r="A122" s="6">
        <v>42276</v>
      </c>
      <c r="B122" s="32">
        <v>0.36458333333333331</v>
      </c>
      <c r="C122" s="2">
        <v>22.5</v>
      </c>
      <c r="D122" s="2">
        <v>30.06</v>
      </c>
      <c r="E122" s="7" t="s">
        <v>89</v>
      </c>
      <c r="F122" s="101">
        <v>1000</v>
      </c>
      <c r="G122" s="1">
        <v>1000</v>
      </c>
      <c r="H122" s="1">
        <v>6.1</v>
      </c>
      <c r="I122" s="1">
        <v>12826</v>
      </c>
      <c r="K122" s="1">
        <v>4.5599999999999996</v>
      </c>
      <c r="L122" s="1">
        <v>1</v>
      </c>
      <c r="M122" s="7"/>
      <c r="N122" s="2">
        <f>C122</f>
        <v>22.5</v>
      </c>
      <c r="O122" s="8">
        <f>0.001316*((D122*25.4)-(2.5*2053/100))</f>
        <v>0.93725388399999976</v>
      </c>
      <c r="P122" s="9">
        <f>(O122*(G122/1000000))/(0.08205*(N122+273.15))</f>
        <v>3.8636767106386083E-5</v>
      </c>
      <c r="Q122" s="9"/>
      <c r="R122" s="101"/>
      <c r="S122" s="101"/>
      <c r="T122" s="101"/>
      <c r="U122" s="101"/>
      <c r="V122" s="101"/>
      <c r="W122" s="101"/>
      <c r="X122" s="101">
        <f>IF(H122&lt;340, ((-0.00000008*H122^2)+(0.0002*H122)-0.0009), (IF(H122&lt;19001,((0.0000000002*H122^2)+(0.00007*H122)+0.0322),((0.000000001*H122^2)+(0.00005*H122)+0.0286))))</f>
        <v>3.170231999999999E-4</v>
      </c>
      <c r="Y122" s="75">
        <f t="shared" si="134"/>
        <v>0.11638380799999999</v>
      </c>
      <c r="Z122" s="25">
        <f t="shared" si="76"/>
        <v>0.31702319999999989</v>
      </c>
      <c r="AA122" s="25">
        <f t="shared" si="77"/>
        <v>116.38380799999999</v>
      </c>
      <c r="AB122" s="13">
        <f>IF(H122&lt;601, ((-0.00003*H122^2)+(0.2671*H122)+0.4766), (IF(H122&lt;19001,((0.1503*H122)+59.75),((0.000005*H122^2)-(0.0565*H122)+2184))))</f>
        <v>2.1047937000000001</v>
      </c>
      <c r="AC122" s="13">
        <f t="shared" ref="AC122:AC130" si="186">(0.0518*K122^2)+(27.217*K122)+116.22</f>
        <v>241.40662847999999</v>
      </c>
      <c r="AD122" s="13">
        <f>(IF(H122&lt;601, ((-0.00003*H122^2)+(0.2671*H122)+0.4766), (IF(H122&lt;19001,((0.1503*H122)+59.75),((0.000005*H122^2)-(0.0565*H122)+2184)))))*(1000/G122)</f>
        <v>2.1047937000000001</v>
      </c>
      <c r="AE122" s="13">
        <f>((0.0518*K122^2)+(27.217*K122)+116.22)*(1000/G122)</f>
        <v>241.40662847999999</v>
      </c>
      <c r="AN122" s="1">
        <v>120</v>
      </c>
      <c r="AO122" s="1">
        <v>1</v>
      </c>
    </row>
    <row r="123" spans="1:41" s="1" customFormat="1" ht="14.4" x14ac:dyDescent="0.3">
      <c r="A123" s="6">
        <v>42276</v>
      </c>
      <c r="B123" s="6"/>
      <c r="C123" s="2">
        <v>22.5</v>
      </c>
      <c r="D123" s="2">
        <v>30.06</v>
      </c>
      <c r="E123" s="7" t="s">
        <v>89</v>
      </c>
      <c r="F123" s="101">
        <v>1000</v>
      </c>
      <c r="G123" s="1">
        <v>1000</v>
      </c>
      <c r="H123" s="1">
        <v>7.44</v>
      </c>
      <c r="I123" s="1">
        <v>13003</v>
      </c>
      <c r="K123" s="1">
        <v>4.45</v>
      </c>
      <c r="L123" s="1">
        <v>1</v>
      </c>
      <c r="M123" s="7"/>
      <c r="N123" s="2">
        <f t="shared" ref="N123:N124" si="187">C123</f>
        <v>22.5</v>
      </c>
      <c r="O123" s="8">
        <f t="shared" ref="O123:O124" si="188">0.001316*((D123*25.4)-(2.5*2053/100))</f>
        <v>0.93725388399999976</v>
      </c>
      <c r="P123" s="9">
        <f t="shared" ref="P123:P124" si="189">(O123*(G123/1000000))/(0.08205*(N123+273.15))</f>
        <v>3.8636767106386083E-5</v>
      </c>
      <c r="Q123" s="9"/>
      <c r="R123" s="101"/>
      <c r="S123" s="101"/>
      <c r="T123" s="101"/>
      <c r="U123" s="101"/>
      <c r="V123" s="101"/>
      <c r="W123" s="101"/>
      <c r="X123" s="101">
        <f t="shared" ref="X123:X124" si="190">IF(H123&lt;340, ((-0.00000008*H123^2)+(0.0002*H123)-0.0009), (IF(H123&lt;19001,((0.0000000002*H123^2)+(0.00007*H123)+0.0322),((0.000000001*H123^2)+(0.00005*H123)+0.0286))))</f>
        <v>5.8357171200000015E-4</v>
      </c>
      <c r="Y123" s="75">
        <f t="shared" si="134"/>
        <v>0.114869075</v>
      </c>
      <c r="Z123" s="25">
        <f t="shared" si="76"/>
        <v>0.58357171200000013</v>
      </c>
      <c r="AA123" s="25">
        <f t="shared" si="77"/>
        <v>114.869075</v>
      </c>
      <c r="AB123" s="13">
        <f t="shared" ref="AB123:AB124" si="191">IF(H123&lt;601, ((-0.00003*H123^2)+(0.2671*H123)+0.4766), (IF(H123&lt;19001,((0.1503*H123)+59.75),((0.000005*H123^2)-(0.0565*H123)+2184))))</f>
        <v>2.4621633920000003</v>
      </c>
      <c r="AC123" s="13">
        <f t="shared" si="186"/>
        <v>238.36141950000001</v>
      </c>
      <c r="AD123" s="13">
        <f t="shared" ref="AD123:AD124" si="192">(IF(H123&lt;601, ((-0.00003*H123^2)+(0.2671*H123)+0.4766), (IF(H123&lt;19001,((0.1503*H123)+59.75),((0.000005*H123^2)-(0.0565*H123)+2184)))))*(1000/G123)</f>
        <v>2.4621633920000003</v>
      </c>
      <c r="AE123" s="13">
        <f t="shared" ref="AE123:AE124" si="193">((0.0518*K123^2)+(27.217*K123)+116.22)*(1000/G123)</f>
        <v>238.36141950000001</v>
      </c>
      <c r="AN123" s="1">
        <v>121</v>
      </c>
      <c r="AO123" s="1">
        <v>1</v>
      </c>
    </row>
    <row r="124" spans="1:41" s="1" customFormat="1" ht="14.4" x14ac:dyDescent="0.3">
      <c r="A124" s="6">
        <v>42276</v>
      </c>
      <c r="B124" s="6"/>
      <c r="C124" s="2">
        <v>22.5</v>
      </c>
      <c r="D124" s="2">
        <v>30.06</v>
      </c>
      <c r="E124" s="7" t="s">
        <v>89</v>
      </c>
      <c r="F124" s="101">
        <v>1000</v>
      </c>
      <c r="G124" s="1">
        <v>1000</v>
      </c>
      <c r="H124" s="1">
        <v>7.51</v>
      </c>
      <c r="I124" s="1">
        <v>12965</v>
      </c>
      <c r="K124" s="1">
        <v>4.32</v>
      </c>
      <c r="L124" s="1">
        <v>1</v>
      </c>
      <c r="M124" s="7"/>
      <c r="N124" s="2">
        <f t="shared" si="187"/>
        <v>22.5</v>
      </c>
      <c r="O124" s="8">
        <f t="shared" si="188"/>
        <v>0.93725388399999976</v>
      </c>
      <c r="P124" s="9">
        <f t="shared" si="189"/>
        <v>3.8636767106386083E-5</v>
      </c>
      <c r="Q124" s="9"/>
      <c r="R124" s="101"/>
      <c r="S124" s="101"/>
      <c r="T124" s="101"/>
      <c r="U124" s="101"/>
      <c r="V124" s="101"/>
      <c r="W124" s="101"/>
      <c r="X124" s="101">
        <f t="shared" si="190"/>
        <v>5.97487992E-4</v>
      </c>
      <c r="Y124" s="75">
        <f t="shared" si="134"/>
        <v>0.113079872</v>
      </c>
      <c r="Z124" s="25">
        <f t="shared" si="76"/>
        <v>0.59748799199999991</v>
      </c>
      <c r="AA124" s="25">
        <f t="shared" si="77"/>
        <v>113.07987200000001</v>
      </c>
      <c r="AB124" s="13">
        <f t="shared" si="191"/>
        <v>2.4808289969999997</v>
      </c>
      <c r="AC124" s="13">
        <f t="shared" si="186"/>
        <v>234.76415231999999</v>
      </c>
      <c r="AD124" s="13">
        <f t="shared" si="192"/>
        <v>2.4808289969999997</v>
      </c>
      <c r="AE124" s="13">
        <f t="shared" si="193"/>
        <v>234.76415231999999</v>
      </c>
      <c r="AN124" s="1">
        <v>122</v>
      </c>
      <c r="AO124" s="1">
        <v>1</v>
      </c>
    </row>
    <row r="125" spans="1:41" s="1" customFormat="1" ht="14.4" x14ac:dyDescent="0.3">
      <c r="A125" s="6">
        <v>42283</v>
      </c>
      <c r="B125" s="32">
        <v>0.35416666666666669</v>
      </c>
      <c r="C125" s="2">
        <v>22</v>
      </c>
      <c r="D125" s="2">
        <v>30.16</v>
      </c>
      <c r="E125" s="7" t="s">
        <v>89</v>
      </c>
      <c r="F125" s="101" t="s">
        <v>249</v>
      </c>
      <c r="G125" s="101">
        <v>1000</v>
      </c>
      <c r="H125" s="1">
        <v>7.97</v>
      </c>
      <c r="I125" s="1">
        <v>13029</v>
      </c>
      <c r="K125" s="1">
        <v>6.09</v>
      </c>
      <c r="L125" s="1">
        <v>1</v>
      </c>
      <c r="M125" s="7"/>
      <c r="N125" s="2">
        <f>C125</f>
        <v>22</v>
      </c>
      <c r="O125" s="8">
        <f>0.001316*((D125*25.4)-(2.5*2053/100))</f>
        <v>0.94059652399999982</v>
      </c>
      <c r="P125" s="9">
        <f>(O125*(G125/1000000))/(0.08205*(N125+273.15))</f>
        <v>3.8840248201087186E-5</v>
      </c>
      <c r="Q125" s="9"/>
      <c r="R125" s="101"/>
      <c r="S125" s="101"/>
      <c r="T125" s="101"/>
      <c r="U125" s="101"/>
      <c r="V125" s="101"/>
      <c r="W125" s="101"/>
      <c r="X125" s="101">
        <f>IF(H125&lt;340, ((-0.00000008*H125^2)+(0.0002*H125)-0.0009), (IF(H125&lt;19001,((0.0000000002*H125^2)+(0.00007*H125)+0.0322),((0.000000001*H125^2)+(0.00005*H125)+0.0286))))</f>
        <v>6.8891832799999994E-4</v>
      </c>
      <c r="Y125" s="75">
        <f t="shared" si="134"/>
        <v>0.13752764299999998</v>
      </c>
      <c r="Z125" s="25">
        <f t="shared" si="76"/>
        <v>0.68891832799999997</v>
      </c>
      <c r="AA125" s="25">
        <f t="shared" si="77"/>
        <v>137.52764299999998</v>
      </c>
      <c r="AB125" s="13">
        <f>IF(H125&lt;601, ((-0.00003*H125^2)+(0.2671*H125)+0.4766), (IF(H125&lt;19001,((0.1503*H125)+59.75),((0.000005*H125^2)-(0.0565*H125)+2184))))</f>
        <v>2.6034813729999997</v>
      </c>
      <c r="AC125" s="13">
        <f t="shared" si="186"/>
        <v>283.89269358000001</v>
      </c>
      <c r="AD125" s="13">
        <f>(IF(H125&lt;601, ((-0.00003*H125^2)+(0.2671*H125)+0.4766), (IF(H125&lt;19001,((0.1503*H125)+59.75),((0.000005*H125^2)-(0.0565*H125)+2184)))))*(1000/G125)</f>
        <v>2.6034813729999997</v>
      </c>
      <c r="AE125" s="13">
        <f>((0.0518*K125^2)+(27.217*K125)+116.22)*(1000/G125)</f>
        <v>283.89269358000001</v>
      </c>
      <c r="AN125" s="1">
        <v>123</v>
      </c>
      <c r="AO125" s="1">
        <v>1</v>
      </c>
    </row>
    <row r="126" spans="1:41" s="1" customFormat="1" ht="14.4" x14ac:dyDescent="0.3">
      <c r="A126" s="6">
        <v>42283</v>
      </c>
      <c r="B126" s="6"/>
      <c r="C126" s="2">
        <v>22</v>
      </c>
      <c r="D126" s="2">
        <v>30.16</v>
      </c>
      <c r="E126" s="7" t="s">
        <v>89</v>
      </c>
      <c r="F126" s="101" t="s">
        <v>249</v>
      </c>
      <c r="G126" s="101">
        <v>1000</v>
      </c>
      <c r="H126" s="1">
        <v>8.86</v>
      </c>
      <c r="I126" s="1">
        <v>13253</v>
      </c>
      <c r="K126" s="1">
        <v>5.3</v>
      </c>
      <c r="L126" s="1">
        <v>1</v>
      </c>
      <c r="M126" s="7"/>
      <c r="N126" s="2">
        <f t="shared" ref="N126:N127" si="194">C126</f>
        <v>22</v>
      </c>
      <c r="O126" s="8">
        <f t="shared" ref="O126:O127" si="195">0.001316*((D126*25.4)-(2.5*2053/100))</f>
        <v>0.94059652399999982</v>
      </c>
      <c r="P126" s="9">
        <f t="shared" ref="P126:P127" si="196">(O126*(G126/1000000))/(0.08205*(N126+273.15))</f>
        <v>3.8840248201087186E-5</v>
      </c>
      <c r="Q126" s="9"/>
      <c r="R126" s="101"/>
      <c r="S126" s="101"/>
      <c r="T126" s="101"/>
      <c r="U126" s="101"/>
      <c r="V126" s="101"/>
      <c r="W126" s="101"/>
      <c r="X126" s="101">
        <f t="shared" ref="X126:X127" si="197">IF(H126&lt;340, ((-0.00000008*H126^2)+(0.0002*H126)-0.0009), (IF(H126&lt;19001,((0.0000000002*H126^2)+(0.00007*H126)+0.0322),((0.000000001*H126^2)+(0.00005*H126)+0.0286))))</f>
        <v>8.6572003200000003E-4</v>
      </c>
      <c r="Y126" s="75">
        <f t="shared" si="134"/>
        <v>0.1265927</v>
      </c>
      <c r="Z126" s="25">
        <f t="shared" si="76"/>
        <v>0.86572003200000003</v>
      </c>
      <c r="AA126" s="25">
        <f t="shared" si="77"/>
        <v>126.59269999999999</v>
      </c>
      <c r="AB126" s="13">
        <f t="shared" ref="AB126:AB127" si="198">IF(H126&lt;601, ((-0.00003*H126^2)+(0.2671*H126)+0.4766), (IF(H126&lt;19001,((0.1503*H126)+59.75),((0.000005*H126^2)-(0.0565*H126)+2184))))</f>
        <v>2.8407510119999997</v>
      </c>
      <c r="AC126" s="13">
        <f t="shared" si="186"/>
        <v>261.925162</v>
      </c>
      <c r="AD126" s="13">
        <f t="shared" ref="AD126:AD127" si="199">(IF(H126&lt;601, ((-0.00003*H126^2)+(0.2671*H126)+0.4766), (IF(H126&lt;19001,((0.1503*H126)+59.75),((0.000005*H126^2)-(0.0565*H126)+2184)))))*(1000/G126)</f>
        <v>2.8407510119999997</v>
      </c>
      <c r="AE126" s="13">
        <f t="shared" ref="AE126:AE127" si="200">((0.0518*K126^2)+(27.217*K126)+116.22)*(1000/G126)</f>
        <v>261.925162</v>
      </c>
      <c r="AN126" s="1">
        <v>124</v>
      </c>
      <c r="AO126" s="1">
        <v>1</v>
      </c>
    </row>
    <row r="127" spans="1:41" s="1" customFormat="1" ht="14.4" x14ac:dyDescent="0.3">
      <c r="A127" s="6">
        <v>42283</v>
      </c>
      <c r="B127" s="6"/>
      <c r="C127" s="2">
        <v>22</v>
      </c>
      <c r="D127" s="2">
        <v>30.16</v>
      </c>
      <c r="E127" s="7" t="s">
        <v>89</v>
      </c>
      <c r="F127" s="101" t="s">
        <v>249</v>
      </c>
      <c r="G127" s="101">
        <v>1000</v>
      </c>
      <c r="H127" s="1">
        <v>6.89</v>
      </c>
      <c r="I127" s="1">
        <v>13153</v>
      </c>
      <c r="K127" s="1">
        <v>5.62</v>
      </c>
      <c r="L127" s="1">
        <v>1</v>
      </c>
      <c r="M127" s="7"/>
      <c r="N127" s="2">
        <f t="shared" si="194"/>
        <v>22</v>
      </c>
      <c r="O127" s="8">
        <f t="shared" si="195"/>
        <v>0.94059652399999982</v>
      </c>
      <c r="P127" s="9">
        <f t="shared" si="196"/>
        <v>3.8840248201087186E-5</v>
      </c>
      <c r="Q127" s="9"/>
      <c r="R127" s="101"/>
      <c r="S127" s="101"/>
      <c r="T127" s="101"/>
      <c r="U127" s="101"/>
      <c r="V127" s="101"/>
      <c r="W127" s="101"/>
      <c r="X127" s="101">
        <f t="shared" si="197"/>
        <v>4.7420223200000011E-4</v>
      </c>
      <c r="Y127" s="75">
        <f t="shared" si="134"/>
        <v>0.13101753199999999</v>
      </c>
      <c r="Z127" s="25">
        <f t="shared" ref="Z127:Z134" si="201">X127*1000000/G127</f>
        <v>0.47420223200000011</v>
      </c>
      <c r="AA127" s="25">
        <f t="shared" ref="AA127:AA134" si="202">Y127*1000000/G127</f>
        <v>131.01753199999999</v>
      </c>
      <c r="AB127" s="13">
        <f t="shared" si="198"/>
        <v>2.3154948370000001</v>
      </c>
      <c r="AC127" s="13">
        <f t="shared" si="186"/>
        <v>270.81561192000004</v>
      </c>
      <c r="AD127" s="13">
        <f t="shared" si="199"/>
        <v>2.3154948370000001</v>
      </c>
      <c r="AE127" s="13">
        <f t="shared" si="200"/>
        <v>270.81561192000004</v>
      </c>
      <c r="AN127" s="1">
        <v>125</v>
      </c>
      <c r="AO127" s="1">
        <v>1</v>
      </c>
    </row>
    <row r="128" spans="1:41" s="1" customFormat="1" ht="14.4" x14ac:dyDescent="0.3">
      <c r="A128" s="6">
        <v>42297</v>
      </c>
      <c r="B128" s="32"/>
      <c r="C128" s="2">
        <v>22.4</v>
      </c>
      <c r="D128" s="2">
        <v>30.43</v>
      </c>
      <c r="E128" s="7" t="s">
        <v>248</v>
      </c>
      <c r="F128" s="101"/>
      <c r="G128" s="101">
        <v>1000</v>
      </c>
      <c r="H128" s="1">
        <v>5.05</v>
      </c>
      <c r="I128" s="1">
        <v>13504</v>
      </c>
      <c r="K128" s="1">
        <v>4.51</v>
      </c>
      <c r="L128" s="1">
        <v>1</v>
      </c>
      <c r="M128" s="7"/>
      <c r="N128" s="2">
        <f>C128</f>
        <v>22.4</v>
      </c>
      <c r="O128" s="8">
        <f>0.001316*((D128*25.4)-(2.5*2053/100))</f>
        <v>0.94962165199999971</v>
      </c>
      <c r="P128" s="9">
        <f>(O128*(G128/1000000))/(0.08205*(N128+273.15))</f>
        <v>3.915985357039432E-5</v>
      </c>
      <c r="Q128" s="9"/>
      <c r="R128" s="101"/>
      <c r="S128" s="101"/>
      <c r="T128" s="101"/>
      <c r="U128" s="101"/>
      <c r="V128" s="101"/>
      <c r="W128" s="101"/>
      <c r="X128" s="101">
        <f>IF(H128&lt;340, ((-0.00000008*H128^2)+(0.0002*H128)-0.0009), (IF(H128&lt;19001,((0.0000000002*H128^2)+(0.00007*H128)+0.0322),((0.000000001*H128^2)+(0.00005*H128)+0.0286))))</f>
        <v>1.0795979999999998E-4</v>
      </c>
      <c r="Y128" s="75">
        <f t="shared" si="134"/>
        <v>0.115695203</v>
      </c>
      <c r="Z128" s="25">
        <f t="shared" si="201"/>
        <v>0.10795979999999997</v>
      </c>
      <c r="AA128" s="25">
        <f t="shared" si="202"/>
        <v>115.69520299999999</v>
      </c>
      <c r="AB128" s="13">
        <f>IF(H128&lt;601, ((-0.00003*H128^2)+(0.2671*H128)+0.4766), (IF(H128&lt;19001,((0.1503*H128)+59.75),((0.000005*H128^2)-(0.0565*H128)+2184))))</f>
        <v>1.8246899249999999</v>
      </c>
      <c r="AC128" s="13">
        <f t="shared" si="186"/>
        <v>240.02228717999998</v>
      </c>
      <c r="AD128" s="13">
        <f>(IF(H128&lt;601, ((-0.00003*H128^2)+(0.2671*H128)+0.4766), (IF(H128&lt;19001,((0.1503*H128)+59.75),((0.000005*H128^2)-(0.0565*H128)+2184)))))*(1000/G128)</f>
        <v>1.8246899249999999</v>
      </c>
      <c r="AE128" s="13">
        <f>((0.0518*K128^2)+(27.217*K128)+116.22)*(1000/G128)</f>
        <v>240.02228717999998</v>
      </c>
      <c r="AN128" s="1">
        <v>126</v>
      </c>
      <c r="AO128" s="1">
        <v>1</v>
      </c>
    </row>
    <row r="129" spans="1:113" s="1" customFormat="1" ht="14.4" x14ac:dyDescent="0.3">
      <c r="A129" s="6">
        <v>42297</v>
      </c>
      <c r="B129" s="32"/>
      <c r="C129" s="2">
        <v>22.4</v>
      </c>
      <c r="D129" s="2">
        <v>30.43</v>
      </c>
      <c r="E129" s="7" t="s">
        <v>248</v>
      </c>
      <c r="F129" s="101"/>
      <c r="G129" s="101">
        <v>1000</v>
      </c>
      <c r="H129" s="1">
        <v>8.2200000000000006</v>
      </c>
      <c r="I129" s="1">
        <v>13347</v>
      </c>
      <c r="K129" s="1">
        <v>4.17</v>
      </c>
      <c r="L129" s="1">
        <v>1</v>
      </c>
      <c r="M129" s="7"/>
      <c r="N129" s="2">
        <f t="shared" ref="N129:N131" si="203">C129</f>
        <v>22.4</v>
      </c>
      <c r="O129" s="8">
        <f t="shared" ref="O129:O131" si="204">0.001316*((D129*25.4)-(2.5*2053/100))</f>
        <v>0.94962165199999971</v>
      </c>
      <c r="P129" s="9">
        <f t="shared" ref="P129:P131" si="205">(O129*(G129/1000000))/(0.08205*(N129+273.15))</f>
        <v>3.915985357039432E-5</v>
      </c>
      <c r="Q129" s="9"/>
      <c r="R129" s="101"/>
      <c r="S129" s="101"/>
      <c r="T129" s="101"/>
      <c r="U129" s="101"/>
      <c r="V129" s="101"/>
      <c r="W129" s="101"/>
      <c r="X129" s="101">
        <f t="shared" ref="X129:X131" si="206">IF(H129&lt;340, ((-0.00000008*H129^2)+(0.0002*H129)-0.0009), (IF(H129&lt;19001,((0.0000000002*H129^2)+(0.00007*H129)+0.0322),((0.000000001*H129^2)+(0.00005*H129)+0.0286))))</f>
        <v>7.3859452800000024E-4</v>
      </c>
      <c r="Y129" s="75">
        <f t="shared" si="134"/>
        <v>0.111016667</v>
      </c>
      <c r="Z129" s="25">
        <f t="shared" si="201"/>
        <v>0.73859452800000025</v>
      </c>
      <c r="AA129" s="25">
        <f t="shared" si="202"/>
        <v>111.016667</v>
      </c>
      <c r="AB129" s="13">
        <f t="shared" ref="AB129:AB131" si="207">IF(H129&lt;601, ((-0.00003*H129^2)+(0.2671*H129)+0.4766), (IF(H129&lt;19001,((0.1503*H129)+59.75),((0.000005*H129^2)-(0.0565*H129)+2184))))</f>
        <v>2.6701349480000003</v>
      </c>
      <c r="AC129" s="13">
        <f t="shared" si="186"/>
        <v>230.61563502000001</v>
      </c>
      <c r="AD129" s="13">
        <f t="shared" ref="AD129:AD131" si="208">(IF(H129&lt;601, ((-0.00003*H129^2)+(0.2671*H129)+0.4766), (IF(H129&lt;19001,((0.1503*H129)+59.75),((0.000005*H129^2)-(0.0565*H129)+2184)))))*(1000/G129)</f>
        <v>2.6701349480000003</v>
      </c>
      <c r="AE129" s="13">
        <f t="shared" ref="AE129:AE131" si="209">((0.0518*K129^2)+(27.217*K129)+116.22)*(1000/G129)</f>
        <v>230.61563502000001</v>
      </c>
      <c r="AN129" s="1">
        <v>127</v>
      </c>
      <c r="AO129" s="1">
        <v>1</v>
      </c>
    </row>
    <row r="130" spans="1:113" s="1" customFormat="1" ht="14.4" x14ac:dyDescent="0.3">
      <c r="A130" s="6">
        <v>42297</v>
      </c>
      <c r="B130" s="32"/>
      <c r="C130" s="2">
        <v>22.4</v>
      </c>
      <c r="D130" s="2">
        <v>30.43</v>
      </c>
      <c r="E130" s="7" t="s">
        <v>248</v>
      </c>
      <c r="F130" s="101"/>
      <c r="G130" s="101">
        <v>1000</v>
      </c>
      <c r="H130" s="1">
        <v>4.4400000000000004</v>
      </c>
      <c r="I130" s="1">
        <v>13621</v>
      </c>
      <c r="K130" s="1">
        <v>4.76</v>
      </c>
      <c r="L130" s="1">
        <v>1</v>
      </c>
      <c r="M130" s="7"/>
      <c r="N130" s="2">
        <f t="shared" si="203"/>
        <v>22.4</v>
      </c>
      <c r="O130" s="8">
        <f t="shared" si="204"/>
        <v>0.94962165199999971</v>
      </c>
      <c r="P130" s="9">
        <f t="shared" si="205"/>
        <v>3.915985357039432E-5</v>
      </c>
      <c r="Q130" s="9"/>
      <c r="R130" s="101"/>
      <c r="S130" s="101"/>
      <c r="T130" s="101"/>
      <c r="U130" s="101"/>
      <c r="V130" s="101"/>
      <c r="W130" s="101"/>
      <c r="X130" s="101">
        <f t="shared" si="206"/>
        <v>-1.3577087999999834E-5</v>
      </c>
      <c r="Y130" s="75">
        <f t="shared" si="134"/>
        <v>0.119139728</v>
      </c>
      <c r="Z130" s="25">
        <f t="shared" si="201"/>
        <v>-1.3577087999999833E-2</v>
      </c>
      <c r="AA130" s="25">
        <f t="shared" si="202"/>
        <v>119.13972800000001</v>
      </c>
      <c r="AB130" s="13">
        <f t="shared" si="207"/>
        <v>1.6619325920000003</v>
      </c>
      <c r="AC130" s="13">
        <f t="shared" si="186"/>
        <v>246.94658368</v>
      </c>
      <c r="AD130" s="13">
        <f t="shared" si="208"/>
        <v>1.6619325920000003</v>
      </c>
      <c r="AE130" s="13">
        <f t="shared" si="209"/>
        <v>246.94658368</v>
      </c>
      <c r="AN130" s="1">
        <v>128</v>
      </c>
      <c r="AO130" s="1">
        <v>1</v>
      </c>
    </row>
    <row r="131" spans="1:113" s="101" customFormat="1" ht="14.4" x14ac:dyDescent="0.3">
      <c r="A131" s="6">
        <v>42297</v>
      </c>
      <c r="B131" s="32"/>
      <c r="C131" s="2">
        <v>22.4</v>
      </c>
      <c r="D131" s="2">
        <v>30.43</v>
      </c>
      <c r="E131" s="7" t="s">
        <v>248</v>
      </c>
      <c r="F131" s="7"/>
      <c r="G131" s="1">
        <v>1000</v>
      </c>
      <c r="H131" s="1">
        <v>4.4800000000000004</v>
      </c>
      <c r="I131" s="1">
        <v>15712</v>
      </c>
      <c r="J131" s="1"/>
      <c r="K131" s="1">
        <v>2.1800000000000002</v>
      </c>
      <c r="L131" s="1">
        <v>1</v>
      </c>
      <c r="M131" s="7"/>
      <c r="N131" s="2">
        <f t="shared" si="203"/>
        <v>22.4</v>
      </c>
      <c r="O131" s="8">
        <f t="shared" si="204"/>
        <v>0.94962165199999971</v>
      </c>
      <c r="P131" s="9">
        <f t="shared" si="205"/>
        <v>3.915985357039432E-5</v>
      </c>
      <c r="Q131" s="9"/>
      <c r="X131" s="101">
        <f t="shared" si="206"/>
        <v>-5.6056319999998579E-6</v>
      </c>
      <c r="Y131" s="75">
        <f t="shared" si="134"/>
        <v>8.3772572000000003E-2</v>
      </c>
      <c r="Z131" s="25">
        <f t="shared" si="201"/>
        <v>-5.6056319999998579E-3</v>
      </c>
      <c r="AA131" s="25">
        <f t="shared" si="202"/>
        <v>83.772571999999997</v>
      </c>
      <c r="AB131" s="13">
        <f t="shared" si="207"/>
        <v>1.6726058880000001</v>
      </c>
      <c r="AC131" s="13">
        <f t="shared" ref="AC131" si="210">(0.0518*K131^2)+(27.217*K131)+116.22</f>
        <v>175.79923432000001</v>
      </c>
      <c r="AD131" s="13">
        <f t="shared" si="208"/>
        <v>1.6726058880000001</v>
      </c>
      <c r="AE131" s="13">
        <f t="shared" si="209"/>
        <v>175.79923432000001</v>
      </c>
      <c r="AF131" s="1"/>
      <c r="AG131" s="1"/>
      <c r="AH131" s="1"/>
      <c r="AI131" s="1"/>
      <c r="AN131" s="1">
        <v>129</v>
      </c>
      <c r="AO131" s="1">
        <v>1</v>
      </c>
    </row>
    <row r="132" spans="1:113" s="1" customFormat="1" ht="14.4" x14ac:dyDescent="0.3">
      <c r="A132" s="6">
        <v>42311</v>
      </c>
      <c r="B132" s="32"/>
      <c r="C132" s="2">
        <v>22.8</v>
      </c>
      <c r="D132" s="2">
        <v>30.25</v>
      </c>
      <c r="E132" s="7" t="s">
        <v>248</v>
      </c>
      <c r="F132" s="101"/>
      <c r="G132" s="101">
        <v>1000</v>
      </c>
      <c r="H132" s="1">
        <v>7.42</v>
      </c>
      <c r="I132" s="1">
        <v>13337</v>
      </c>
      <c r="K132" s="1">
        <v>4.76</v>
      </c>
      <c r="L132" s="1">
        <v>1</v>
      </c>
      <c r="M132" s="7"/>
      <c r="N132" s="2">
        <f>C132</f>
        <v>22.8</v>
      </c>
      <c r="O132" s="8">
        <f>0.001316*((D132*25.4)-(2.5*2053/100))</f>
        <v>0.94360489999999975</v>
      </c>
      <c r="P132" s="9">
        <f>(O132*(G132/1000000))/(0.08205*(N132+273.15))</f>
        <v>3.8859146517803466E-5</v>
      </c>
      <c r="Q132" s="9"/>
      <c r="R132" s="101"/>
      <c r="S132" s="101"/>
      <c r="T132" s="101"/>
      <c r="U132" s="101"/>
      <c r="V132" s="101"/>
      <c r="W132" s="101"/>
      <c r="X132" s="101">
        <f>IF(H132&lt;340, ((-0.00000008*H132^2)+(0.0002*H132)-0.0009), (IF(H132&lt;19001,((0.0000000002*H132^2)+(0.00007*H132)+0.0322),((0.000000001*H132^2)+(0.00005*H132)+0.0286))))</f>
        <v>5.7959548800000002E-4</v>
      </c>
      <c r="Y132" s="75">
        <f t="shared" si="134"/>
        <v>0.119139728</v>
      </c>
      <c r="Z132" s="25">
        <f t="shared" si="201"/>
        <v>0.57959548800000005</v>
      </c>
      <c r="AA132" s="25">
        <f t="shared" si="202"/>
        <v>119.13972800000001</v>
      </c>
      <c r="AB132" s="13">
        <f>IF(H132&lt;601, ((-0.00003*H132^2)+(0.2671*H132)+0.4766), (IF(H132&lt;19001,((0.1503*H132)+59.75),((0.000005*H132^2)-(0.0565*H132)+2184))))</f>
        <v>2.4568303079999998</v>
      </c>
      <c r="AC132" s="13">
        <f>(0.0518*K132^2)+(27.217*K132)+116.22</f>
        <v>246.94658368</v>
      </c>
      <c r="AD132" s="13">
        <f>(IF(H132&lt;601, ((-0.00003*H132^2)+(0.2671*H132)+0.4766), (IF(H132&lt;19001,((0.1503*H132)+59.75),((0.000005*H132^2)-(0.0565*H132)+2184)))))*(1000/G132)</f>
        <v>2.4568303079999998</v>
      </c>
      <c r="AE132" s="13">
        <f>((0.0518*K132^2)+(27.217*K132)+116.22)*(1000/G132)</f>
        <v>246.94658368</v>
      </c>
      <c r="AN132" s="1">
        <v>130</v>
      </c>
      <c r="AO132" s="1">
        <v>1</v>
      </c>
    </row>
    <row r="133" spans="1:113" s="1" customFormat="1" ht="14.4" x14ac:dyDescent="0.3">
      <c r="A133" s="6">
        <v>42311</v>
      </c>
      <c r="B133" s="32"/>
      <c r="C133" s="2">
        <v>22.8</v>
      </c>
      <c r="D133" s="2">
        <v>30.25</v>
      </c>
      <c r="E133" s="7" t="s">
        <v>248</v>
      </c>
      <c r="F133" s="101"/>
      <c r="G133" s="101">
        <v>1000</v>
      </c>
      <c r="H133" s="1">
        <v>7.31</v>
      </c>
      <c r="I133" s="1">
        <v>13964</v>
      </c>
      <c r="K133" s="1">
        <v>4.88</v>
      </c>
      <c r="L133" s="1">
        <v>1</v>
      </c>
      <c r="M133" s="7"/>
      <c r="N133" s="2">
        <f t="shared" ref="N133:N134" si="211">C133</f>
        <v>22.8</v>
      </c>
      <c r="O133" s="8">
        <f t="shared" ref="O133:O134" si="212">0.001316*((D133*25.4)-(2.5*2053/100))</f>
        <v>0.94360489999999975</v>
      </c>
      <c r="P133" s="9">
        <f t="shared" ref="P133:P134" si="213">(O133*(G133/1000000))/(0.08205*(N133+273.15))</f>
        <v>3.8859146517803466E-5</v>
      </c>
      <c r="Q133" s="9"/>
      <c r="R133" s="101"/>
      <c r="S133" s="101"/>
      <c r="T133" s="101"/>
      <c r="U133" s="101"/>
      <c r="V133" s="101"/>
      <c r="W133" s="101"/>
      <c r="X133" s="101">
        <f t="shared" ref="X133:X134" si="214">IF(H133&lt;340, ((-0.00000008*H133^2)+(0.0002*H133)-0.0009), (IF(H133&lt;19001,((0.0000000002*H133^2)+(0.00007*H133)+0.0322),((0.000000001*H133^2)+(0.00005*H133)+0.0286))))</f>
        <v>5.57725112E-4</v>
      </c>
      <c r="Y133" s="75">
        <f t="shared" si="134"/>
        <v>0.12079443199999999</v>
      </c>
      <c r="Z133" s="25">
        <f t="shared" si="201"/>
        <v>0.55772511199999997</v>
      </c>
      <c r="AA133" s="25">
        <f t="shared" si="202"/>
        <v>120.79443199999999</v>
      </c>
      <c r="AB133" s="13">
        <f t="shared" ref="AB133:AB134" si="215">IF(H133&lt;601, ((-0.00003*H133^2)+(0.2671*H133)+0.4766), (IF(H133&lt;19001,((0.1503*H133)+59.75),((0.000005*H133^2)-(0.0565*H133)+2184))))</f>
        <v>2.4274979169999997</v>
      </c>
      <c r="AC133" s="13">
        <f>(0.0518*K133^2)+(27.217*K133)+116.22</f>
        <v>250.27254592</v>
      </c>
      <c r="AD133" s="13">
        <f t="shared" ref="AD133:AD134" si="216">(IF(H133&lt;601, ((-0.00003*H133^2)+(0.2671*H133)+0.4766), (IF(H133&lt;19001,((0.1503*H133)+59.75),((0.000005*H133^2)-(0.0565*H133)+2184)))))*(1000/G133)</f>
        <v>2.4274979169999997</v>
      </c>
      <c r="AE133" s="13">
        <f t="shared" ref="AE133:AE134" si="217">((0.0518*K133^2)+(27.217*K133)+116.22)*(1000/G133)</f>
        <v>250.27254592</v>
      </c>
      <c r="AN133" s="1">
        <v>131</v>
      </c>
      <c r="AO133" s="1">
        <v>1</v>
      </c>
    </row>
    <row r="134" spans="1:113" s="1" customFormat="1" ht="14.4" x14ac:dyDescent="0.3">
      <c r="A134" s="6">
        <v>42311</v>
      </c>
      <c r="B134" s="32"/>
      <c r="C134" s="2">
        <v>22.8</v>
      </c>
      <c r="D134" s="2">
        <v>30.25</v>
      </c>
      <c r="E134" s="7" t="s">
        <v>248</v>
      </c>
      <c r="F134" s="101"/>
      <c r="G134" s="101">
        <v>1000</v>
      </c>
      <c r="H134" s="1">
        <v>8.33</v>
      </c>
      <c r="I134" s="1">
        <v>13324</v>
      </c>
      <c r="K134" s="1">
        <v>4.6900000000000004</v>
      </c>
      <c r="L134" s="1">
        <v>1</v>
      </c>
      <c r="M134" s="7"/>
      <c r="N134" s="2">
        <f t="shared" si="211"/>
        <v>22.8</v>
      </c>
      <c r="O134" s="8">
        <f t="shared" si="212"/>
        <v>0.94360489999999975</v>
      </c>
      <c r="P134" s="9">
        <f t="shared" si="213"/>
        <v>3.8859146517803466E-5</v>
      </c>
      <c r="Q134" s="9"/>
      <c r="R134" s="101"/>
      <c r="S134" s="101"/>
      <c r="T134" s="101"/>
      <c r="U134" s="101"/>
      <c r="V134" s="101"/>
      <c r="W134" s="101"/>
      <c r="X134" s="101">
        <f t="shared" si="214"/>
        <v>7.6044888800000029E-4</v>
      </c>
      <c r="Y134" s="75">
        <f t="shared" si="134"/>
        <v>0.11817488300000001</v>
      </c>
      <c r="Z134" s="25">
        <f t="shared" si="201"/>
        <v>0.76044888800000021</v>
      </c>
      <c r="AA134" s="25">
        <f t="shared" si="202"/>
        <v>118.17488300000001</v>
      </c>
      <c r="AB134" s="13">
        <f t="shared" si="215"/>
        <v>2.6994613329999999</v>
      </c>
      <c r="AC134" s="13">
        <f>(0.0518*K134^2)+(27.217*K134)+116.22</f>
        <v>245.00712798000001</v>
      </c>
      <c r="AD134" s="13">
        <f t="shared" si="216"/>
        <v>2.6994613329999999</v>
      </c>
      <c r="AE134" s="13">
        <f t="shared" si="217"/>
        <v>245.00712798000001</v>
      </c>
      <c r="AN134" s="1">
        <v>132</v>
      </c>
      <c r="AO134" s="1">
        <v>1</v>
      </c>
    </row>
    <row r="135" spans="1:113" s="101" customFormat="1" ht="14.4" x14ac:dyDescent="0.3">
      <c r="A135" s="41"/>
      <c r="B135" s="79"/>
      <c r="C135" s="43"/>
      <c r="D135" s="43"/>
      <c r="E135" s="7"/>
      <c r="G135" s="7"/>
      <c r="H135" s="7"/>
      <c r="I135" s="7"/>
      <c r="J135" s="7"/>
      <c r="K135" s="7"/>
      <c r="L135" s="7"/>
      <c r="M135" s="7"/>
      <c r="N135" s="2"/>
      <c r="O135" s="8"/>
      <c r="P135" s="9"/>
      <c r="Q135" s="9"/>
      <c r="Y135" s="75"/>
      <c r="Z135" s="25"/>
      <c r="AA135" s="25"/>
      <c r="AB135" s="13"/>
      <c r="AC135" s="27"/>
      <c r="AD135" s="13"/>
      <c r="AE135" s="13"/>
      <c r="AF135" s="1"/>
      <c r="AG135" s="1"/>
      <c r="AH135" s="1"/>
      <c r="AI135" s="1"/>
      <c r="AN135" s="1"/>
      <c r="AO135" s="1"/>
    </row>
    <row r="136" spans="1:113" s="101" customFormat="1" ht="14.4" x14ac:dyDescent="0.3">
      <c r="A136" s="41"/>
      <c r="B136" s="79"/>
      <c r="C136" s="43"/>
      <c r="D136" s="43"/>
      <c r="E136" s="7"/>
      <c r="G136" s="7"/>
      <c r="H136" s="7"/>
      <c r="I136" s="7"/>
      <c r="J136" s="7"/>
      <c r="K136" s="7"/>
      <c r="L136" s="7"/>
      <c r="M136" s="7"/>
      <c r="N136" s="2"/>
      <c r="O136" s="8"/>
      <c r="P136" s="9"/>
      <c r="Q136" s="9"/>
      <c r="Y136" s="75"/>
      <c r="Z136" s="25"/>
      <c r="AA136" s="25"/>
      <c r="AB136" s="13"/>
      <c r="AC136" s="27"/>
      <c r="AD136" s="13"/>
      <c r="AE136" s="13"/>
      <c r="AF136" s="1"/>
      <c r="AG136" s="1"/>
      <c r="AH136" s="1"/>
      <c r="AI136" s="1"/>
      <c r="AN136" s="1"/>
      <c r="AO136" s="1"/>
    </row>
    <row r="137" spans="1:113" s="101" customFormat="1" ht="14.4" x14ac:dyDescent="0.3">
      <c r="A137" s="41"/>
      <c r="B137" s="79"/>
      <c r="C137" s="43"/>
      <c r="D137" s="43"/>
      <c r="E137" s="7"/>
      <c r="G137" s="7"/>
      <c r="H137" s="7"/>
      <c r="I137" s="7"/>
      <c r="J137" s="7"/>
      <c r="K137" s="7"/>
      <c r="L137" s="7"/>
      <c r="M137" s="7"/>
      <c r="N137" s="2"/>
      <c r="O137" s="8"/>
      <c r="P137" s="9"/>
      <c r="Q137" s="9"/>
      <c r="Y137" s="75"/>
      <c r="Z137" s="25"/>
      <c r="AA137" s="25"/>
      <c r="AB137" s="13"/>
      <c r="AC137" s="27"/>
      <c r="AD137" s="13"/>
      <c r="AE137" s="13"/>
      <c r="AF137" s="1"/>
      <c r="AG137" s="1"/>
      <c r="AH137" s="1"/>
      <c r="AI137" s="1"/>
      <c r="AN137" s="1"/>
      <c r="AO137" s="1"/>
    </row>
    <row r="138" spans="1:113" s="101" customFormat="1" ht="14.4" x14ac:dyDescent="0.3">
      <c r="A138" s="41"/>
      <c r="B138" s="79"/>
      <c r="C138" s="43"/>
      <c r="D138" s="43"/>
      <c r="E138" s="7"/>
      <c r="G138" s="7"/>
      <c r="H138" s="7"/>
      <c r="I138" s="7"/>
      <c r="J138" s="7"/>
      <c r="K138" s="7"/>
      <c r="L138" s="7"/>
      <c r="M138" s="7"/>
      <c r="N138" s="2"/>
      <c r="O138" s="8"/>
      <c r="P138" s="9"/>
      <c r="Q138" s="9"/>
      <c r="Y138" s="75"/>
      <c r="Z138" s="25"/>
      <c r="AA138" s="25"/>
      <c r="AB138" s="13"/>
      <c r="AC138" s="27"/>
      <c r="AD138" s="13"/>
      <c r="AE138" s="13"/>
      <c r="AF138" s="1"/>
      <c r="AG138" s="1"/>
      <c r="AH138" s="1"/>
      <c r="AI138" s="1"/>
      <c r="AN138" s="1"/>
      <c r="AO138" s="1"/>
    </row>
    <row r="139" spans="1:113" s="101" customFormat="1" ht="14.4" x14ac:dyDescent="0.3">
      <c r="A139" s="41"/>
      <c r="B139" s="79"/>
      <c r="C139" s="43"/>
      <c r="D139" s="43"/>
      <c r="E139" s="7"/>
      <c r="G139" s="7"/>
      <c r="H139" s="7"/>
      <c r="I139" s="7"/>
      <c r="J139" s="7"/>
      <c r="K139" s="7"/>
      <c r="L139" s="7"/>
      <c r="M139" s="7"/>
      <c r="N139" s="2"/>
      <c r="O139" s="8"/>
      <c r="P139" s="9"/>
      <c r="Q139" s="9"/>
      <c r="Y139" s="75"/>
      <c r="Z139" s="25"/>
      <c r="AA139" s="25"/>
      <c r="AB139" s="13"/>
      <c r="AC139" s="27"/>
      <c r="AD139" s="13"/>
      <c r="AE139" s="13"/>
      <c r="AF139" s="1"/>
      <c r="AG139" s="1"/>
      <c r="AH139" s="1"/>
      <c r="AI139" s="1"/>
      <c r="AN139" s="1"/>
      <c r="AO139" s="1"/>
    </row>
    <row r="140" spans="1:113" s="1" customFormat="1" ht="14.4" x14ac:dyDescent="0.3">
      <c r="A140" s="41"/>
      <c r="B140" s="79"/>
      <c r="C140" s="43"/>
      <c r="D140" s="43"/>
      <c r="E140" s="7"/>
      <c r="F140" s="101"/>
      <c r="G140" s="101"/>
      <c r="H140" s="7"/>
      <c r="I140" s="7"/>
      <c r="J140" s="7"/>
      <c r="K140" s="7"/>
      <c r="L140" s="7"/>
      <c r="M140" s="7"/>
      <c r="N140" s="2"/>
      <c r="O140" s="8"/>
      <c r="P140" s="9"/>
      <c r="Q140" s="9"/>
      <c r="R140" s="101"/>
      <c r="S140" s="101"/>
      <c r="T140" s="101"/>
      <c r="U140" s="101"/>
      <c r="V140" s="101"/>
      <c r="W140" s="101"/>
      <c r="X140" s="101"/>
      <c r="Y140" s="75"/>
      <c r="Z140" s="25"/>
      <c r="AA140" s="25"/>
      <c r="AB140" s="13"/>
      <c r="AC140" s="27"/>
      <c r="AD140" s="13"/>
      <c r="AE140" s="13"/>
    </row>
    <row r="141" spans="1:113" s="1" customFormat="1" ht="14.4" x14ac:dyDescent="0.3">
      <c r="A141" s="41"/>
      <c r="B141" s="79"/>
      <c r="C141" s="43"/>
      <c r="D141" s="43"/>
      <c r="E141" s="7"/>
      <c r="F141" s="101"/>
      <c r="G141" s="101"/>
      <c r="H141" s="7"/>
      <c r="I141" s="7"/>
      <c r="J141" s="7"/>
      <c r="K141" s="7"/>
      <c r="L141" s="7"/>
      <c r="M141" s="7"/>
      <c r="N141" s="2"/>
      <c r="O141" s="8"/>
      <c r="P141" s="9"/>
      <c r="Q141" s="9"/>
      <c r="R141" s="101"/>
      <c r="S141" s="101"/>
      <c r="T141" s="101"/>
      <c r="U141" s="101"/>
      <c r="V141" s="101"/>
      <c r="W141" s="101"/>
      <c r="X141" s="101"/>
      <c r="Y141" s="75"/>
      <c r="Z141" s="25"/>
      <c r="AA141" s="25"/>
      <c r="AB141" s="13"/>
      <c r="AC141" s="27"/>
      <c r="AD141" s="13"/>
      <c r="AE141" s="13"/>
    </row>
    <row r="142" spans="1:113" s="1" customFormat="1" ht="14.4" x14ac:dyDescent="0.3">
      <c r="A142" s="6"/>
      <c r="B142" s="73"/>
      <c r="C142" s="2"/>
      <c r="D142" s="2"/>
      <c r="E142" s="7"/>
      <c r="F142" s="101"/>
      <c r="M142" s="7"/>
      <c r="N142" s="2"/>
      <c r="O142" s="8"/>
      <c r="P142" s="9"/>
      <c r="Q142" s="9"/>
      <c r="R142" s="101"/>
      <c r="S142" s="101"/>
      <c r="T142" s="101"/>
      <c r="U142" s="101"/>
      <c r="V142" s="101"/>
      <c r="W142" s="101"/>
      <c r="X142" s="82"/>
      <c r="Y142" s="31"/>
      <c r="Z142" s="24"/>
      <c r="AA142" s="83"/>
      <c r="AB142" s="13"/>
      <c r="AC142" s="13"/>
      <c r="AD142" s="13"/>
      <c r="AE142" s="13"/>
    </row>
    <row r="143" spans="1:113" s="36" customFormat="1" x14ac:dyDescent="0.25">
      <c r="A143" s="40"/>
      <c r="B143" s="84"/>
      <c r="C143" s="40"/>
      <c r="D143" s="39"/>
      <c r="E143" s="39"/>
      <c r="F143" s="40"/>
      <c r="G143" s="40"/>
      <c r="H143" s="40"/>
      <c r="I143" s="40"/>
      <c r="J143" s="40"/>
      <c r="K143" s="40"/>
      <c r="L143" s="40"/>
      <c r="M143" s="39"/>
      <c r="N143" s="39"/>
      <c r="O143" s="53"/>
      <c r="P143" s="34"/>
      <c r="Q143" s="34"/>
      <c r="S143" s="38"/>
      <c r="T143" s="38"/>
      <c r="U143" s="38"/>
      <c r="V143" s="54"/>
      <c r="W143" s="54"/>
      <c r="Y143" s="85"/>
      <c r="Z143" s="86"/>
      <c r="AA143" s="87"/>
      <c r="AN143" s="55"/>
      <c r="AO143" s="53"/>
      <c r="AP143" s="53"/>
      <c r="AQ143" s="53"/>
      <c r="AR143" s="53"/>
      <c r="AS143" s="53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</row>
    <row r="144" spans="1:113" s="36" customFormat="1" x14ac:dyDescent="0.25">
      <c r="A144" s="40"/>
      <c r="B144" s="84"/>
      <c r="C144" s="40"/>
      <c r="D144" s="39"/>
      <c r="E144" s="34"/>
      <c r="F144" s="35" t="s">
        <v>40</v>
      </c>
      <c r="H144" s="38">
        <f>AVERAGE(H3:H142)</f>
        <v>6.2366666666666664</v>
      </c>
      <c r="I144" s="38"/>
      <c r="J144" s="38"/>
      <c r="K144" s="38">
        <f>AVERAGE(K3:K142)</f>
        <v>4.3512878787878808</v>
      </c>
      <c r="L144" s="54"/>
      <c r="M144" s="39"/>
      <c r="N144" s="39"/>
      <c r="O144" s="53"/>
      <c r="P144" s="34"/>
      <c r="Q144" s="35"/>
      <c r="S144" s="38"/>
      <c r="T144" s="38"/>
      <c r="U144" s="38"/>
      <c r="V144" s="54"/>
      <c r="W144" s="54" t="s">
        <v>119</v>
      </c>
      <c r="X144" s="70">
        <f t="shared" ref="X144:AC144" si="218">MIN(X3:X143)</f>
        <v>-1.3577087999999834E-5</v>
      </c>
      <c r="Y144" s="70">
        <f t="shared" si="218"/>
        <v>8.3772572000000003E-2</v>
      </c>
      <c r="Z144" s="70">
        <f t="shared" si="218"/>
        <v>-1.3577087999999833E-2</v>
      </c>
      <c r="AA144" s="70">
        <f t="shared" si="218"/>
        <v>83.772571999999997</v>
      </c>
      <c r="AB144" s="70">
        <f t="shared" si="218"/>
        <v>0.61281319700000003</v>
      </c>
      <c r="AC144" s="70">
        <f t="shared" si="218"/>
        <v>116.22</v>
      </c>
      <c r="AD144" s="57"/>
      <c r="AE144" s="57"/>
      <c r="AF144" s="55"/>
      <c r="AN144" s="55">
        <f>MIN(AN3:AN142)</f>
        <v>1</v>
      </c>
      <c r="AO144" s="53" t="s">
        <v>119</v>
      </c>
      <c r="AP144" s="53"/>
      <c r="AQ144" s="53"/>
      <c r="AR144" s="53"/>
      <c r="AS144" s="53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</row>
    <row r="145" spans="1:113" s="36" customFormat="1" x14ac:dyDescent="0.25">
      <c r="A145" s="40"/>
      <c r="B145" s="84"/>
      <c r="C145" s="40"/>
      <c r="D145" s="39"/>
      <c r="E145" s="34"/>
      <c r="F145" s="35" t="s">
        <v>91</v>
      </c>
      <c r="H145" s="38">
        <f>STDEV(H3:H142)</f>
        <v>2.1609655272998038</v>
      </c>
      <c r="I145" s="38"/>
      <c r="J145" s="38"/>
      <c r="K145" s="38">
        <f>STDEV(K3:K142)</f>
        <v>1.8327055898557669</v>
      </c>
      <c r="L145" s="54"/>
      <c r="M145" s="39"/>
      <c r="N145" s="39"/>
      <c r="O145" s="53"/>
      <c r="P145" s="34"/>
      <c r="Q145" s="35"/>
      <c r="S145" s="38"/>
      <c r="T145" s="38"/>
      <c r="U145" s="38"/>
      <c r="V145" s="54"/>
      <c r="W145" s="54" t="s">
        <v>120</v>
      </c>
      <c r="X145" s="57">
        <f>MAX(X3:X142)</f>
        <v>1.2467033279999998E-3</v>
      </c>
      <c r="Y145" s="70">
        <f>MAX(Y3:Y142)</f>
        <v>0.211473248</v>
      </c>
      <c r="Z145" s="70">
        <f>MAX(Z3:Z142)</f>
        <v>11.318351640000001</v>
      </c>
      <c r="AA145" s="57">
        <f>MAX(AA3:AA142)</f>
        <v>4913.94848</v>
      </c>
      <c r="AB145" s="57">
        <f>MAX(AB3:AB143)</f>
        <v>3.3524517479999996</v>
      </c>
      <c r="AC145" s="86">
        <f>MAX(AC3:AC142)</f>
        <v>403.18200807999995</v>
      </c>
      <c r="AD145" s="57"/>
      <c r="AE145" s="57"/>
      <c r="AF145" s="55"/>
      <c r="AN145" s="55">
        <f>MAX(AN3:AN142)</f>
        <v>132</v>
      </c>
      <c r="AO145" s="53" t="s">
        <v>120</v>
      </c>
      <c r="AP145" s="53"/>
      <c r="AQ145" s="53"/>
      <c r="AR145" s="53"/>
      <c r="AS145" s="53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</row>
    <row r="146" spans="1:113" s="36" customFormat="1" x14ac:dyDescent="0.25">
      <c r="A146" s="40"/>
      <c r="B146" s="84"/>
      <c r="C146" s="40"/>
      <c r="D146" s="39"/>
      <c r="E146" s="34" t="s">
        <v>93</v>
      </c>
      <c r="F146" s="35" t="s">
        <v>95</v>
      </c>
      <c r="H146" s="38">
        <f>H144+(2*H145)</f>
        <v>10.558597721266274</v>
      </c>
      <c r="I146" s="38"/>
      <c r="J146" s="38"/>
      <c r="K146" s="38">
        <f>K144+(2*K145)</f>
        <v>8.0166990584994142</v>
      </c>
      <c r="L146" s="38">
        <f>H144-(2*H145)</f>
        <v>1.9147356120670587</v>
      </c>
      <c r="M146" s="38">
        <f>K144-(2*K145)</f>
        <v>0.68587669907634696</v>
      </c>
      <c r="N146" s="39"/>
      <c r="O146" s="53"/>
      <c r="P146" s="34"/>
      <c r="Q146" s="35"/>
      <c r="S146" s="38"/>
      <c r="T146" s="38"/>
      <c r="U146" s="38"/>
      <c r="V146" s="38"/>
      <c r="W146" s="36" t="s">
        <v>40</v>
      </c>
      <c r="X146" s="57">
        <f>AVERAGE(X3:X142)</f>
        <v>6.3148882028030325E-4</v>
      </c>
      <c r="Y146" s="70">
        <f>AVERAGE(Y3:Y142)</f>
        <v>0.14561452525757579</v>
      </c>
      <c r="Z146" s="70">
        <f>AVERAGE(Z3:Z142)</f>
        <v>0.92444592680303028</v>
      </c>
      <c r="AA146" s="57">
        <f>AVERAGE(AA3:AA142)</f>
        <v>346.98841762121219</v>
      </c>
      <c r="AB146" s="57">
        <f>AVERAGE(AB3:AB143)</f>
        <v>2.1411077544848491</v>
      </c>
      <c r="AC146" s="86">
        <f>AVERAGE(AC3:AC142)</f>
        <v>235.80243644651512</v>
      </c>
      <c r="AD146" s="57"/>
      <c r="AE146" s="57"/>
      <c r="AN146" s="53"/>
      <c r="AO146" s="53" t="s">
        <v>28</v>
      </c>
      <c r="AP146" s="53"/>
      <c r="AQ146" s="53"/>
      <c r="AR146" s="53"/>
      <c r="AS146" s="53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</row>
    <row r="147" spans="1:113" s="36" customFormat="1" x14ac:dyDescent="0.25">
      <c r="A147" s="40"/>
      <c r="B147" s="84"/>
      <c r="C147" s="40"/>
      <c r="D147" s="39"/>
      <c r="E147" s="34" t="s">
        <v>96</v>
      </c>
      <c r="F147" s="35" t="s">
        <v>98</v>
      </c>
      <c r="H147" s="38">
        <f>H144+(3*H145)</f>
        <v>12.719563248566079</v>
      </c>
      <c r="I147" s="38"/>
      <c r="J147" s="38"/>
      <c r="K147" s="38">
        <f>K144+(3*K145)</f>
        <v>9.8494046483551827</v>
      </c>
      <c r="L147" s="38">
        <f>H144-(3*H145)</f>
        <v>-0.24622991523274518</v>
      </c>
      <c r="M147" s="38">
        <f>K144-(3*K145)</f>
        <v>-1.1468288907794202</v>
      </c>
      <c r="N147" s="39"/>
      <c r="O147" s="53"/>
      <c r="P147" s="34"/>
      <c r="Q147" s="35"/>
      <c r="S147" s="38"/>
      <c r="T147" s="38"/>
      <c r="U147" s="38"/>
      <c r="V147" s="38"/>
      <c r="W147" s="36" t="s">
        <v>91</v>
      </c>
      <c r="X147" s="57">
        <f>STDEV(X3:X142)</f>
        <v>2.4438330084650692E-4</v>
      </c>
      <c r="Y147" s="70">
        <f>STDEV(Y3:Y142)</f>
        <v>2.3773704087834174E-2</v>
      </c>
      <c r="Z147" s="70">
        <f>STDEV(Z3:Z142)</f>
        <v>1.2355034076407181</v>
      </c>
      <c r="AA147" s="57">
        <f>STDEV(AA3:AA142)</f>
        <v>832.76143312943589</v>
      </c>
      <c r="AB147" s="57">
        <f>STDEV(AB3:AB143)</f>
        <v>0.57652383394711937</v>
      </c>
      <c r="AC147" s="86">
        <f>STDEV(AC3:AC142)</f>
        <v>50.654475523881956</v>
      </c>
      <c r="AD147" s="57"/>
      <c r="AE147" s="57"/>
      <c r="AN147" s="53"/>
      <c r="AO147" s="53" t="s">
        <v>253</v>
      </c>
      <c r="AP147" s="53"/>
      <c r="AQ147" s="53"/>
      <c r="AR147" s="53"/>
      <c r="AS147" s="53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</row>
    <row r="148" spans="1:113" s="36" customFormat="1" x14ac:dyDescent="0.25">
      <c r="A148" s="40"/>
      <c r="B148" s="84"/>
      <c r="C148" s="40"/>
      <c r="D148" s="39"/>
      <c r="E148" s="39"/>
      <c r="F148" s="40"/>
      <c r="G148" s="40"/>
      <c r="H148" s="40"/>
      <c r="I148" s="40"/>
      <c r="J148" s="40"/>
      <c r="K148" s="40"/>
      <c r="L148" s="39"/>
      <c r="M148" s="39"/>
      <c r="N148" s="53"/>
      <c r="O148" s="34"/>
      <c r="P148" s="35"/>
      <c r="R148" s="38"/>
      <c r="S148" s="38"/>
      <c r="T148" s="38"/>
      <c r="U148" s="54"/>
      <c r="V148" s="54"/>
      <c r="W148" s="38" t="s">
        <v>92</v>
      </c>
      <c r="X148" s="36">
        <f>100*X147/X146</f>
        <v>38.699545106440809</v>
      </c>
      <c r="Y148" s="36">
        <f t="shared" ref="Y148:AC148" si="219">100*Y147/Y146</f>
        <v>16.326464716195829</v>
      </c>
      <c r="Z148" s="36">
        <f t="shared" si="219"/>
        <v>133.64799084716657</v>
      </c>
      <c r="AA148" s="36">
        <f t="shared" si="219"/>
        <v>239.99689639165848</v>
      </c>
      <c r="AB148" s="36">
        <f>100*AB147/AB146</f>
        <v>26.926427814737941</v>
      </c>
      <c r="AC148" s="90">
        <f t="shared" si="219"/>
        <v>21.481743906989461</v>
      </c>
      <c r="AG148" s="55"/>
      <c r="AH148" s="55"/>
      <c r="AI148" s="55"/>
      <c r="AJ148" s="55"/>
      <c r="AL148" s="55"/>
      <c r="AM148" s="55"/>
      <c r="AN148" s="53"/>
      <c r="AO148" s="53"/>
      <c r="AP148" s="53"/>
      <c r="AQ148" s="53"/>
      <c r="AR148" s="53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</row>
    <row r="149" spans="1:113" s="36" customFormat="1" x14ac:dyDescent="0.25">
      <c r="A149" s="40"/>
      <c r="B149" s="87"/>
      <c r="C149" s="40"/>
      <c r="D149" s="39"/>
      <c r="E149" s="39"/>
      <c r="F149" s="40"/>
      <c r="G149" s="40"/>
      <c r="H149" s="40"/>
      <c r="I149" s="40"/>
      <c r="J149" s="40"/>
      <c r="K149" s="40"/>
      <c r="L149" s="39"/>
      <c r="M149" s="39"/>
      <c r="N149" s="53"/>
      <c r="O149" s="34"/>
      <c r="P149" s="35"/>
      <c r="R149" s="38"/>
      <c r="S149" s="38"/>
      <c r="T149" s="38"/>
      <c r="U149" s="54"/>
      <c r="V149" s="54"/>
      <c r="W149" s="36" t="s">
        <v>99</v>
      </c>
      <c r="Y149" s="70"/>
      <c r="Z149" s="85"/>
      <c r="AB149" s="36">
        <f>COUNT(AB3:AB143)</f>
        <v>132</v>
      </c>
      <c r="AC149" s="36">
        <f>COUNT(AC3:AC143)</f>
        <v>132</v>
      </c>
      <c r="AG149" s="55"/>
      <c r="AH149" s="55"/>
      <c r="AI149" s="55"/>
      <c r="AJ149" s="55"/>
      <c r="AL149" s="55"/>
      <c r="AM149" s="55"/>
      <c r="AN149" s="53"/>
      <c r="AO149" s="53"/>
      <c r="AP149" s="53"/>
      <c r="AQ149" s="53"/>
      <c r="AR149" s="53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</row>
    <row r="150" spans="1:113" s="36" customFormat="1" x14ac:dyDescent="0.25">
      <c r="A150" s="40"/>
      <c r="B150" s="88"/>
      <c r="C150" s="40"/>
      <c r="D150" s="39"/>
      <c r="E150" s="39"/>
      <c r="F150" s="40"/>
      <c r="G150" s="40"/>
      <c r="H150" s="40"/>
      <c r="I150" s="40"/>
      <c r="J150" s="40"/>
      <c r="K150" s="40"/>
      <c r="L150" s="39"/>
      <c r="M150" s="39"/>
      <c r="N150" s="53"/>
      <c r="O150" s="34"/>
      <c r="P150" s="34"/>
      <c r="R150" s="38"/>
      <c r="S150" s="38"/>
      <c r="T150" s="38"/>
      <c r="U150" s="54"/>
      <c r="V150" s="54"/>
      <c r="W150" s="38" t="s">
        <v>43</v>
      </c>
      <c r="Y150" s="70"/>
      <c r="Z150" s="85"/>
      <c r="AB150" s="36">
        <f>TINV(0.02,(AB149-1))</f>
        <v>2.3551503965077782</v>
      </c>
      <c r="AC150" s="36">
        <f>TINV(0.02,(AC149-1))</f>
        <v>2.3551503965077782</v>
      </c>
      <c r="AK150" s="55"/>
      <c r="AL150" s="55"/>
      <c r="AM150" s="55"/>
      <c r="AN150" s="53"/>
      <c r="AO150" s="53"/>
      <c r="AP150" s="53"/>
      <c r="AQ150" s="53"/>
      <c r="AR150" s="53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</row>
    <row r="151" spans="1:113" s="36" customFormat="1" x14ac:dyDescent="0.25">
      <c r="A151" s="40"/>
      <c r="B151" s="84"/>
      <c r="C151" s="40"/>
      <c r="D151" s="39"/>
      <c r="E151" s="39"/>
      <c r="F151" s="40"/>
      <c r="G151" s="40"/>
      <c r="H151" s="40"/>
      <c r="I151" s="40"/>
      <c r="J151" s="40"/>
      <c r="K151" s="40"/>
      <c r="L151" s="39"/>
      <c r="M151" s="39"/>
      <c r="N151" s="53"/>
      <c r="O151" s="34"/>
      <c r="P151" s="34"/>
      <c r="R151" s="38"/>
      <c r="S151" s="38"/>
      <c r="T151" s="38"/>
      <c r="U151" s="54"/>
      <c r="V151" s="54"/>
      <c r="W151" s="36" t="s">
        <v>44</v>
      </c>
      <c r="Y151" s="70"/>
      <c r="Z151" s="85"/>
      <c r="AB151" s="36">
        <f>AB147*AB150</f>
        <v>1.3578003361167428</v>
      </c>
      <c r="AC151" s="36">
        <f>AC147*AC150</f>
        <v>119.29890811496414</v>
      </c>
      <c r="AK151" s="55"/>
      <c r="AL151" s="55"/>
      <c r="AM151" s="55"/>
      <c r="AN151" s="53"/>
      <c r="AO151" s="53"/>
      <c r="AP151" s="53"/>
      <c r="AQ151" s="53"/>
      <c r="AR151" s="53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</row>
    <row r="152" spans="1:113" s="36" customFormat="1" x14ac:dyDescent="0.25">
      <c r="A152" s="40"/>
      <c r="B152" s="84"/>
      <c r="C152" s="40"/>
      <c r="D152" s="39"/>
      <c r="E152" s="39"/>
      <c r="F152" s="40"/>
      <c r="G152" s="40"/>
      <c r="H152" s="40"/>
      <c r="I152" s="40"/>
      <c r="J152" s="40"/>
      <c r="K152" s="40"/>
      <c r="L152" s="39"/>
      <c r="M152" s="39"/>
      <c r="N152" s="53"/>
      <c r="O152" s="34"/>
      <c r="P152" s="34"/>
      <c r="R152" s="38"/>
      <c r="S152" s="38"/>
      <c r="T152" s="38"/>
      <c r="U152" s="54"/>
      <c r="V152" s="54"/>
      <c r="W152" s="36" t="s">
        <v>45</v>
      </c>
      <c r="Y152" s="70"/>
      <c r="Z152" s="85"/>
      <c r="AB152" s="36">
        <f>AB147*10</f>
        <v>5.7652383394711935</v>
      </c>
      <c r="AC152" s="36">
        <f>AC147*10</f>
        <v>506.54475523881956</v>
      </c>
      <c r="AK152" s="55"/>
      <c r="AL152" s="55"/>
      <c r="AM152" s="55"/>
      <c r="AN152" s="53"/>
      <c r="AO152" s="53"/>
      <c r="AP152" s="53"/>
      <c r="AQ152" s="53"/>
      <c r="AR152" s="53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</row>
    <row r="153" spans="1:113" s="36" customFormat="1" x14ac:dyDescent="0.25">
      <c r="A153" s="40"/>
      <c r="B153" s="84"/>
      <c r="C153" s="40"/>
      <c r="D153" s="39"/>
      <c r="E153" s="39"/>
      <c r="F153" s="40"/>
      <c r="G153" s="40"/>
      <c r="H153" s="40"/>
      <c r="I153" s="40"/>
      <c r="J153" s="40"/>
      <c r="K153" s="40"/>
      <c r="L153" s="39"/>
      <c r="M153" s="39"/>
      <c r="N153" s="53"/>
      <c r="O153" s="34"/>
      <c r="P153" s="34"/>
      <c r="R153" s="38"/>
      <c r="S153" s="38"/>
      <c r="T153" s="38"/>
      <c r="U153" s="54"/>
      <c r="V153" s="54"/>
      <c r="Y153" s="70"/>
      <c r="Z153" s="85"/>
      <c r="AK153" s="55"/>
      <c r="AL153" s="55"/>
      <c r="AM153" s="55"/>
      <c r="AN153" s="53"/>
      <c r="AO153" s="53"/>
      <c r="AP153" s="53"/>
      <c r="AQ153" s="53"/>
      <c r="AR153" s="53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</row>
    <row r="154" spans="1:113" s="36" customFormat="1" x14ac:dyDescent="0.25">
      <c r="A154" s="40"/>
      <c r="B154" s="84"/>
      <c r="C154" s="40"/>
      <c r="D154" s="39"/>
      <c r="E154" s="39"/>
      <c r="F154" s="40"/>
      <c r="G154" s="40"/>
      <c r="H154" s="40"/>
      <c r="I154" s="40"/>
      <c r="J154" s="40"/>
      <c r="K154" s="40"/>
      <c r="L154" s="39"/>
      <c r="M154" s="39"/>
      <c r="N154" s="53"/>
      <c r="O154" s="34"/>
      <c r="P154" s="34"/>
      <c r="R154" s="38"/>
      <c r="S154" s="38"/>
      <c r="T154" s="38"/>
      <c r="U154" s="54"/>
      <c r="V154" s="54"/>
      <c r="Y154" s="70"/>
      <c r="Z154" s="85"/>
      <c r="AK154" s="55"/>
      <c r="AL154" s="55"/>
      <c r="AM154" s="55"/>
      <c r="AN154" s="53"/>
      <c r="AO154" s="53"/>
      <c r="AP154" s="53"/>
      <c r="AQ154" s="53"/>
      <c r="AR154" s="53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</row>
    <row r="155" spans="1:113" s="36" customFormat="1" ht="15.6" x14ac:dyDescent="0.3">
      <c r="A155" s="40"/>
      <c r="B155" s="84"/>
      <c r="C155" s="40"/>
      <c r="D155" s="39"/>
      <c r="E155" s="39"/>
      <c r="F155" s="40"/>
      <c r="G155" s="40"/>
      <c r="H155" s="40"/>
      <c r="I155" s="40"/>
      <c r="J155" s="40"/>
      <c r="K155" s="40"/>
      <c r="L155" s="39"/>
      <c r="M155" s="39"/>
      <c r="N155" s="53"/>
      <c r="O155" s="34"/>
      <c r="P155" s="34"/>
      <c r="R155" s="38"/>
      <c r="S155" s="38"/>
      <c r="T155" s="38"/>
      <c r="U155" s="54"/>
      <c r="V155" s="54"/>
      <c r="Y155" s="8"/>
      <c r="Z155" s="8"/>
      <c r="AA155" s="8"/>
      <c r="AB155" s="111" t="s">
        <v>567</v>
      </c>
      <c r="AC155" s="8"/>
      <c r="AD155" s="8"/>
      <c r="AK155" s="55"/>
      <c r="AL155" s="55"/>
      <c r="AM155" s="55"/>
      <c r="AN155" s="53"/>
      <c r="AO155" s="53"/>
      <c r="AP155" s="53"/>
      <c r="AQ155" s="53"/>
      <c r="AR155" s="53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</row>
    <row r="156" spans="1:113" s="36" customFormat="1" x14ac:dyDescent="0.25">
      <c r="A156" s="40"/>
      <c r="B156" s="84"/>
      <c r="C156" s="40"/>
      <c r="D156" s="39"/>
      <c r="E156" s="39"/>
      <c r="F156" s="40"/>
      <c r="G156" s="40"/>
      <c r="H156" s="40"/>
      <c r="I156" s="40"/>
      <c r="J156" s="40"/>
      <c r="K156" s="40"/>
      <c r="L156" s="39"/>
      <c r="M156" s="39"/>
      <c r="N156" s="53"/>
      <c r="O156" s="34"/>
      <c r="P156" s="34"/>
      <c r="R156" s="38"/>
      <c r="S156" s="38"/>
      <c r="T156" s="38"/>
      <c r="U156" s="54"/>
      <c r="V156" s="54"/>
      <c r="Y156" s="34" t="s">
        <v>40</v>
      </c>
      <c r="Z156" s="34"/>
      <c r="AA156" s="55">
        <f>AN144</f>
        <v>1</v>
      </c>
      <c r="AB156" s="69">
        <f>AVERAGE(AB3:AB143)</f>
        <v>2.1411077544848491</v>
      </c>
      <c r="AC156" s="69">
        <f>AVERAGE(AC3:AC143)</f>
        <v>235.80243644651512</v>
      </c>
      <c r="AD156" s="69"/>
      <c r="AK156" s="55"/>
      <c r="AL156" s="55"/>
      <c r="AM156" s="55"/>
      <c r="AN156" s="53"/>
      <c r="AO156" s="53"/>
      <c r="AP156" s="53"/>
      <c r="AQ156" s="53"/>
      <c r="AR156" s="53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</row>
    <row r="157" spans="1:113" s="36" customFormat="1" x14ac:dyDescent="0.25">
      <c r="A157" s="40"/>
      <c r="B157" s="84"/>
      <c r="C157" s="40"/>
      <c r="D157" s="39"/>
      <c r="E157" s="39"/>
      <c r="F157" s="40"/>
      <c r="G157" s="40"/>
      <c r="H157" s="40"/>
      <c r="I157" s="40"/>
      <c r="J157" s="40"/>
      <c r="K157" s="40"/>
      <c r="L157" s="39"/>
      <c r="M157" s="39"/>
      <c r="N157" s="53"/>
      <c r="O157" s="34"/>
      <c r="P157" s="34"/>
      <c r="R157" s="38"/>
      <c r="S157" s="38"/>
      <c r="T157" s="38"/>
      <c r="U157" s="54"/>
      <c r="V157" s="54"/>
      <c r="Y157" s="34" t="s">
        <v>91</v>
      </c>
      <c r="Z157" s="34"/>
      <c r="AA157" s="55">
        <f>AN145</f>
        <v>132</v>
      </c>
      <c r="AB157" s="70">
        <f>STDEV(AB3:AB143)</f>
        <v>0.57652383394711937</v>
      </c>
      <c r="AC157" s="70">
        <f>STDEV(AC3:AC143)</f>
        <v>50.654475523881956</v>
      </c>
      <c r="AD157" s="70"/>
      <c r="AK157" s="55"/>
      <c r="AL157" s="55"/>
      <c r="AM157" s="55"/>
      <c r="AN157" s="53"/>
      <c r="AO157" s="53"/>
      <c r="AP157" s="53"/>
      <c r="AQ157" s="53"/>
      <c r="AR157" s="53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</row>
    <row r="158" spans="1:113" s="36" customFormat="1" x14ac:dyDescent="0.25">
      <c r="A158" s="40"/>
      <c r="B158" s="84"/>
      <c r="C158" s="40"/>
      <c r="D158" s="39"/>
      <c r="E158" s="39"/>
      <c r="F158" s="40"/>
      <c r="G158" s="40"/>
      <c r="H158" s="40"/>
      <c r="I158" s="40"/>
      <c r="J158" s="40"/>
      <c r="K158" s="40"/>
      <c r="L158" s="39"/>
      <c r="M158" s="39"/>
      <c r="N158" s="53"/>
      <c r="O158" s="34"/>
      <c r="P158" s="34"/>
      <c r="R158" s="38"/>
      <c r="S158" s="38"/>
      <c r="T158" s="38"/>
      <c r="U158" s="54"/>
      <c r="V158" s="54"/>
      <c r="Y158" s="34" t="s">
        <v>92</v>
      </c>
      <c r="Z158" s="34"/>
      <c r="AA158" s="55"/>
      <c r="AB158" s="70">
        <f>100*AB157/AB156</f>
        <v>26.926427814737941</v>
      </c>
      <c r="AC158" s="70">
        <f t="shared" ref="AC158" si="220">100*AC157/AC156</f>
        <v>21.481743906989461</v>
      </c>
      <c r="AD158" s="70"/>
      <c r="AK158" s="55"/>
      <c r="AL158" s="55"/>
      <c r="AM158" s="55"/>
      <c r="AN158" s="53"/>
      <c r="AO158" s="53"/>
      <c r="AP158" s="53"/>
      <c r="AQ158" s="53"/>
      <c r="AR158" s="53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</row>
    <row r="159" spans="1:113" s="36" customFormat="1" x14ac:dyDescent="0.25">
      <c r="A159" s="40"/>
      <c r="B159" s="84"/>
      <c r="C159" s="40"/>
      <c r="D159" s="39"/>
      <c r="E159" s="39"/>
      <c r="F159" s="40"/>
      <c r="G159" s="40"/>
      <c r="H159" s="40"/>
      <c r="I159" s="40"/>
      <c r="J159" s="40"/>
      <c r="K159" s="40"/>
      <c r="L159" s="39"/>
      <c r="M159" s="39"/>
      <c r="N159" s="53"/>
      <c r="O159" s="34"/>
      <c r="P159" s="34"/>
      <c r="R159" s="38"/>
      <c r="S159" s="38"/>
      <c r="T159" s="38"/>
      <c r="U159" s="54"/>
      <c r="V159" s="54"/>
      <c r="Y159" s="34" t="s">
        <v>94</v>
      </c>
      <c r="Z159" s="34" t="s">
        <v>93</v>
      </c>
      <c r="AA159" s="56"/>
      <c r="AB159" s="70">
        <f>AB156-(2*AB157)</f>
        <v>0.9880600865906104</v>
      </c>
      <c r="AC159" s="70">
        <f t="shared" ref="AC159" si="221">AC156-(2*AC157)</f>
        <v>134.4934853987512</v>
      </c>
      <c r="AD159" s="70"/>
      <c r="AK159" s="55"/>
      <c r="AL159" s="55"/>
      <c r="AM159" s="55"/>
      <c r="AN159" s="53"/>
      <c r="AO159" s="53"/>
      <c r="AP159" s="53"/>
      <c r="AQ159" s="53"/>
      <c r="AR159" s="53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</row>
    <row r="160" spans="1:113" s="36" customFormat="1" x14ac:dyDescent="0.25">
      <c r="A160" s="40"/>
      <c r="B160" s="84"/>
      <c r="C160" s="40"/>
      <c r="D160" s="39"/>
      <c r="E160" s="39"/>
      <c r="F160" s="40"/>
      <c r="G160" s="40"/>
      <c r="H160" s="40"/>
      <c r="I160" s="40"/>
      <c r="J160" s="40"/>
      <c r="K160" s="40"/>
      <c r="L160" s="39"/>
      <c r="M160" s="39"/>
      <c r="N160" s="53"/>
      <c r="O160" s="34"/>
      <c r="P160" s="34"/>
      <c r="R160" s="38"/>
      <c r="S160" s="38"/>
      <c r="T160" s="38"/>
      <c r="U160" s="54"/>
      <c r="V160" s="54"/>
      <c r="Y160" s="34" t="s">
        <v>95</v>
      </c>
      <c r="Z160" s="34"/>
      <c r="AA160" s="56"/>
      <c r="AB160" s="70">
        <f>AB156+(2*AB157)</f>
        <v>3.2941554223790881</v>
      </c>
      <c r="AC160" s="70">
        <f t="shared" ref="AC160" si="222">AC156+(2*AC157)</f>
        <v>337.11138749427903</v>
      </c>
      <c r="AD160" s="70"/>
      <c r="AK160" s="55"/>
      <c r="AL160" s="55"/>
      <c r="AM160" s="55"/>
      <c r="AN160" s="53"/>
      <c r="AO160" s="53"/>
      <c r="AP160" s="53"/>
      <c r="AQ160" s="53"/>
      <c r="AR160" s="53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</row>
    <row r="161" spans="1:112" s="36" customFormat="1" x14ac:dyDescent="0.25">
      <c r="A161" s="40"/>
      <c r="B161" s="84"/>
      <c r="C161" s="40"/>
      <c r="D161" s="39"/>
      <c r="E161" s="39"/>
      <c r="F161" s="40"/>
      <c r="G161" s="40"/>
      <c r="H161" s="40"/>
      <c r="I161" s="40"/>
      <c r="J161" s="40"/>
      <c r="K161" s="40"/>
      <c r="L161" s="39"/>
      <c r="M161" s="39"/>
      <c r="N161" s="53"/>
      <c r="O161" s="34"/>
      <c r="P161" s="34"/>
      <c r="R161" s="38"/>
      <c r="S161" s="38"/>
      <c r="T161" s="38"/>
      <c r="U161" s="54"/>
      <c r="V161" s="54"/>
      <c r="Y161" s="34" t="s">
        <v>97</v>
      </c>
      <c r="Z161" s="34" t="s">
        <v>96</v>
      </c>
      <c r="AA161" s="56"/>
      <c r="AB161" s="70">
        <f>AB156-(3*AB157)</f>
        <v>0.41153625264349092</v>
      </c>
      <c r="AC161" s="70">
        <f t="shared" ref="AC161" si="223">AC156-(3*AC157)</f>
        <v>83.839009874869248</v>
      </c>
      <c r="AD161" s="70"/>
      <c r="AK161" s="55"/>
      <c r="AL161" s="55"/>
      <c r="AM161" s="55"/>
      <c r="AN161" s="53"/>
      <c r="AO161" s="53"/>
      <c r="AP161" s="53"/>
      <c r="AQ161" s="53"/>
      <c r="AR161" s="53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</row>
    <row r="162" spans="1:112" s="36" customFormat="1" x14ac:dyDescent="0.25">
      <c r="A162" s="40"/>
      <c r="B162" s="84"/>
      <c r="C162" s="40"/>
      <c r="D162" s="39"/>
      <c r="E162" s="39"/>
      <c r="F162" s="40"/>
      <c r="G162" s="40"/>
      <c r="H162" s="40"/>
      <c r="I162" s="40"/>
      <c r="J162" s="40"/>
      <c r="K162" s="40"/>
      <c r="L162" s="39"/>
      <c r="M162" s="39"/>
      <c r="N162" s="53"/>
      <c r="O162" s="34"/>
      <c r="P162" s="34"/>
      <c r="R162" s="38"/>
      <c r="S162" s="38"/>
      <c r="T162" s="38"/>
      <c r="U162" s="54"/>
      <c r="V162" s="54"/>
      <c r="Y162" s="34" t="s">
        <v>98</v>
      </c>
      <c r="Z162" s="34"/>
      <c r="AA162" s="56"/>
      <c r="AB162" s="70">
        <f>AB156+(3*AB157)</f>
        <v>3.8706792563262074</v>
      </c>
      <c r="AC162" s="70">
        <f t="shared" ref="AC162" si="224">AC156+(3*AC157)</f>
        <v>387.76586301816099</v>
      </c>
      <c r="AD162" s="70"/>
      <c r="AK162" s="55"/>
      <c r="AL162" s="55"/>
      <c r="AM162" s="55"/>
      <c r="AN162" s="53"/>
      <c r="AO162" s="53"/>
      <c r="AP162" s="53"/>
      <c r="AQ162" s="53"/>
      <c r="AR162" s="53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</row>
    <row r="163" spans="1:112" s="36" customFormat="1" x14ac:dyDescent="0.25">
      <c r="A163" s="40"/>
      <c r="B163" s="84"/>
      <c r="C163" s="40"/>
      <c r="D163" s="39"/>
      <c r="E163" s="39"/>
      <c r="F163" s="40"/>
      <c r="G163" s="40"/>
      <c r="H163" s="40"/>
      <c r="I163" s="40"/>
      <c r="J163" s="40"/>
      <c r="K163" s="40"/>
      <c r="L163" s="39"/>
      <c r="M163" s="39"/>
      <c r="N163" s="53"/>
      <c r="O163" s="34"/>
      <c r="P163" s="34"/>
      <c r="R163" s="38"/>
      <c r="S163" s="38"/>
      <c r="T163" s="38"/>
      <c r="U163" s="54"/>
      <c r="V163" s="54"/>
      <c r="Y163" s="34" t="s">
        <v>99</v>
      </c>
      <c r="Z163" s="34"/>
      <c r="AA163" s="56"/>
      <c r="AB163" s="70">
        <f>COUNT(AB3:AB143)</f>
        <v>132</v>
      </c>
      <c r="AC163" s="70">
        <f>COUNT(AC3:AC143)</f>
        <v>132</v>
      </c>
      <c r="AD163" s="70"/>
      <c r="AK163" s="55"/>
      <c r="AL163" s="55"/>
      <c r="AM163" s="55"/>
      <c r="AN163" s="53"/>
      <c r="AO163" s="53"/>
      <c r="AP163" s="53"/>
      <c r="AQ163" s="53"/>
      <c r="AR163" s="53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</row>
    <row r="164" spans="1:112" s="36" customFormat="1" x14ac:dyDescent="0.25">
      <c r="A164" s="40"/>
      <c r="B164" s="84"/>
      <c r="C164" s="40"/>
      <c r="D164" s="39"/>
      <c r="E164" s="39"/>
      <c r="F164" s="40"/>
      <c r="G164" s="40"/>
      <c r="H164" s="40"/>
      <c r="I164" s="40"/>
      <c r="J164" s="40"/>
      <c r="K164" s="40"/>
      <c r="L164" s="39"/>
      <c r="M164" s="39"/>
      <c r="N164" s="53"/>
      <c r="O164" s="34"/>
      <c r="P164" s="34"/>
      <c r="R164" s="38"/>
      <c r="S164" s="38"/>
      <c r="T164" s="38"/>
      <c r="U164" s="54"/>
      <c r="V164" s="54"/>
      <c r="Y164" s="34" t="s">
        <v>238</v>
      </c>
      <c r="Z164" s="34"/>
      <c r="AA164" s="56"/>
      <c r="AB164" s="70">
        <f>TINV(0.02,(AB163-1))</f>
        <v>2.3551503965077782</v>
      </c>
      <c r="AC164" s="70">
        <f t="shared" ref="AC164" si="225">TINV(0.02,(AC163-1))</f>
        <v>2.3551503965077782</v>
      </c>
      <c r="AD164" s="70"/>
      <c r="AK164" s="55"/>
      <c r="AL164" s="55"/>
      <c r="AM164" s="55"/>
      <c r="AN164" s="53"/>
      <c r="AO164" s="53"/>
      <c r="AP164" s="53"/>
      <c r="AQ164" s="53"/>
      <c r="AR164" s="53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</row>
    <row r="165" spans="1:112" s="36" customFormat="1" x14ac:dyDescent="0.25">
      <c r="A165" s="40"/>
      <c r="B165" s="84"/>
      <c r="C165" s="40"/>
      <c r="D165" s="39"/>
      <c r="E165" s="39"/>
      <c r="F165" s="40"/>
      <c r="G165" s="40"/>
      <c r="H165" s="40"/>
      <c r="I165" s="40"/>
      <c r="J165" s="40"/>
      <c r="K165" s="40"/>
      <c r="L165" s="39"/>
      <c r="M165" s="39"/>
      <c r="N165" s="53"/>
      <c r="O165" s="34"/>
      <c r="P165" s="34"/>
      <c r="R165" s="38"/>
      <c r="S165" s="38"/>
      <c r="T165" s="38"/>
      <c r="U165" s="54"/>
      <c r="V165" s="54"/>
      <c r="Y165" s="34" t="s">
        <v>44</v>
      </c>
      <c r="Z165" s="34"/>
      <c r="AA165" s="56"/>
      <c r="AB165" s="71">
        <f>AB157*AB164</f>
        <v>1.3578003361167428</v>
      </c>
      <c r="AC165" s="71">
        <f t="shared" ref="AC165" si="226">AC157*AC164</f>
        <v>119.29890811496414</v>
      </c>
      <c r="AD165" s="71"/>
      <c r="AK165" s="55"/>
      <c r="AL165" s="55"/>
      <c r="AM165" s="55"/>
      <c r="AN165" s="53"/>
      <c r="AO165" s="53"/>
      <c r="AP165" s="53"/>
      <c r="AQ165" s="53"/>
      <c r="AR165" s="53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</row>
    <row r="166" spans="1:112" x14ac:dyDescent="0.25">
      <c r="Y166" s="34" t="s">
        <v>45</v>
      </c>
      <c r="Z166" s="34"/>
      <c r="AA166" s="56"/>
      <c r="AB166" s="72">
        <f>AB157*10</f>
        <v>5.7652383394711935</v>
      </c>
      <c r="AC166" s="72">
        <f t="shared" ref="AC166" si="227">AC157*10</f>
        <v>506.54475523881956</v>
      </c>
      <c r="AD166" s="72"/>
    </row>
    <row r="167" spans="1:112" x14ac:dyDescent="0.25">
      <c r="Y167" s="34" t="s">
        <v>239</v>
      </c>
      <c r="Z167" s="34"/>
      <c r="AA167" s="56"/>
      <c r="AB167" s="56" t="s">
        <v>444</v>
      </c>
      <c r="AC167" s="56" t="s">
        <v>481</v>
      </c>
      <c r="AD167" s="5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I96"/>
  <sheetViews>
    <sheetView topLeftCell="Q46" zoomScale="85" zoomScaleNormal="85" workbookViewId="0">
      <selection activeCell="AF90" sqref="AF90"/>
    </sheetView>
  </sheetViews>
  <sheetFormatPr defaultRowHeight="15" x14ac:dyDescent="0.25"/>
  <cols>
    <col min="1" max="1" width="14.21875" style="53" customWidth="1"/>
    <col min="2" max="2" width="9.21875" style="88" customWidth="1"/>
    <col min="3" max="3" width="7.77734375" style="53" customWidth="1"/>
    <col min="4" max="4" width="8.77734375" style="53"/>
    <col min="5" max="5" width="21.21875" style="53" customWidth="1"/>
    <col min="6" max="6" width="6.44140625" style="53" customWidth="1"/>
    <col min="7" max="7" width="8.21875" style="53" customWidth="1"/>
    <col min="8" max="8" width="6.77734375" style="53" customWidth="1"/>
    <col min="9" max="9" width="4.77734375" style="53" customWidth="1"/>
    <col min="10" max="10" width="5" style="53" customWidth="1"/>
    <col min="11" max="11" width="8.77734375" style="53" customWidth="1"/>
    <col min="12" max="12" width="13.21875" style="58" customWidth="1"/>
    <col min="13" max="13" width="7.21875" style="58" customWidth="1"/>
    <col min="14" max="14" width="6" style="53" customWidth="1"/>
    <col min="15" max="15" width="12" style="36" bestFit="1" customWidth="1"/>
    <col min="16" max="16" width="9.21875" style="36" bestFit="1" customWidth="1"/>
    <col min="17" max="17" width="7.21875" style="36" customWidth="1"/>
    <col min="18" max="20" width="9.21875" style="36" bestFit="1" customWidth="1"/>
    <col min="21" max="21" width="9.77734375" style="36" bestFit="1" customWidth="1"/>
    <col min="22" max="22" width="10.77734375" style="36" bestFit="1" customWidth="1"/>
    <col min="23" max="23" width="9.21875" style="36" bestFit="1" customWidth="1"/>
    <col min="24" max="24" width="11.21875" style="36" bestFit="1" customWidth="1"/>
    <col min="25" max="25" width="9.21875" style="85" bestFit="1" customWidth="1"/>
    <col min="26" max="26" width="8.77734375" style="85"/>
    <col min="27" max="27" width="11.5546875" style="36" customWidth="1"/>
    <col min="28" max="28" width="9.21875" style="36" customWidth="1"/>
    <col min="29" max="29" width="11" style="36" customWidth="1"/>
    <col min="30" max="30" width="9.21875" style="36" customWidth="1"/>
    <col min="31" max="31" width="11.77734375" style="36" customWidth="1"/>
    <col min="32" max="36" width="9.21875" style="36" customWidth="1"/>
    <col min="37" max="40" width="8.77734375" style="53"/>
    <col min="41" max="41" width="11" style="53" customWidth="1"/>
    <col min="42" max="44" width="8.77734375" style="53"/>
    <col min="45" max="254" width="8.77734375" style="56"/>
    <col min="255" max="255" width="24.77734375" style="56" customWidth="1"/>
    <col min="256" max="256" width="13.5546875" style="56" customWidth="1"/>
    <col min="257" max="257" width="8.77734375" style="56"/>
    <col min="258" max="258" width="6.77734375" style="56" customWidth="1"/>
    <col min="259" max="259" width="6.44140625" style="56" customWidth="1"/>
    <col min="260" max="260" width="8.21875" style="56" customWidth="1"/>
    <col min="261" max="261" width="6.77734375" style="56" customWidth="1"/>
    <col min="262" max="262" width="4.77734375" style="56" customWidth="1"/>
    <col min="263" max="264" width="5" style="56" customWidth="1"/>
    <col min="265" max="265" width="8.77734375" style="56"/>
    <col min="266" max="266" width="10.5546875" style="56" customWidth="1"/>
    <col min="267" max="267" width="3.77734375" style="56" customWidth="1"/>
    <col min="268" max="269" width="8.77734375" style="56"/>
    <col min="270" max="270" width="3.77734375" style="56" customWidth="1"/>
    <col min="271" max="510" width="8.77734375" style="56"/>
    <col min="511" max="511" width="24.77734375" style="56" customWidth="1"/>
    <col min="512" max="512" width="13.5546875" style="56" customWidth="1"/>
    <col min="513" max="513" width="8.77734375" style="56"/>
    <col min="514" max="514" width="6.77734375" style="56" customWidth="1"/>
    <col min="515" max="515" width="6.44140625" style="56" customWidth="1"/>
    <col min="516" max="516" width="8.21875" style="56" customWidth="1"/>
    <col min="517" max="517" width="6.77734375" style="56" customWidth="1"/>
    <col min="518" max="518" width="4.77734375" style="56" customWidth="1"/>
    <col min="519" max="520" width="5" style="56" customWidth="1"/>
    <col min="521" max="521" width="8.77734375" style="56"/>
    <col min="522" max="522" width="10.5546875" style="56" customWidth="1"/>
    <col min="523" max="523" width="3.77734375" style="56" customWidth="1"/>
    <col min="524" max="525" width="8.77734375" style="56"/>
    <col min="526" max="526" width="3.77734375" style="56" customWidth="1"/>
    <col min="527" max="766" width="8.77734375" style="56"/>
    <col min="767" max="767" width="24.77734375" style="56" customWidth="1"/>
    <col min="768" max="768" width="13.5546875" style="56" customWidth="1"/>
    <col min="769" max="769" width="8.77734375" style="56"/>
    <col min="770" max="770" width="6.77734375" style="56" customWidth="1"/>
    <col min="771" max="771" width="6.44140625" style="56" customWidth="1"/>
    <col min="772" max="772" width="8.21875" style="56" customWidth="1"/>
    <col min="773" max="773" width="6.77734375" style="56" customWidth="1"/>
    <col min="774" max="774" width="4.77734375" style="56" customWidth="1"/>
    <col min="775" max="776" width="5" style="56" customWidth="1"/>
    <col min="777" max="777" width="8.77734375" style="56"/>
    <col min="778" max="778" width="10.5546875" style="56" customWidth="1"/>
    <col min="779" max="779" width="3.77734375" style="56" customWidth="1"/>
    <col min="780" max="781" width="8.77734375" style="56"/>
    <col min="782" max="782" width="3.77734375" style="56" customWidth="1"/>
    <col min="783" max="1022" width="8.77734375" style="56"/>
    <col min="1023" max="1023" width="24.77734375" style="56" customWidth="1"/>
    <col min="1024" max="1024" width="13.5546875" style="56" customWidth="1"/>
    <col min="1025" max="1025" width="8.77734375" style="56"/>
    <col min="1026" max="1026" width="6.77734375" style="56" customWidth="1"/>
    <col min="1027" max="1027" width="6.44140625" style="56" customWidth="1"/>
    <col min="1028" max="1028" width="8.21875" style="56" customWidth="1"/>
    <col min="1029" max="1029" width="6.77734375" style="56" customWidth="1"/>
    <col min="1030" max="1030" width="4.77734375" style="56" customWidth="1"/>
    <col min="1031" max="1032" width="5" style="56" customWidth="1"/>
    <col min="1033" max="1033" width="8.77734375" style="56"/>
    <col min="1034" max="1034" width="10.5546875" style="56" customWidth="1"/>
    <col min="1035" max="1035" width="3.77734375" style="56" customWidth="1"/>
    <col min="1036" max="1037" width="8.77734375" style="56"/>
    <col min="1038" max="1038" width="3.77734375" style="56" customWidth="1"/>
    <col min="1039" max="1278" width="8.77734375" style="56"/>
    <col min="1279" max="1279" width="24.77734375" style="56" customWidth="1"/>
    <col min="1280" max="1280" width="13.5546875" style="56" customWidth="1"/>
    <col min="1281" max="1281" width="8.77734375" style="56"/>
    <col min="1282" max="1282" width="6.77734375" style="56" customWidth="1"/>
    <col min="1283" max="1283" width="6.44140625" style="56" customWidth="1"/>
    <col min="1284" max="1284" width="8.21875" style="56" customWidth="1"/>
    <col min="1285" max="1285" width="6.77734375" style="56" customWidth="1"/>
    <col min="1286" max="1286" width="4.77734375" style="56" customWidth="1"/>
    <col min="1287" max="1288" width="5" style="56" customWidth="1"/>
    <col min="1289" max="1289" width="8.77734375" style="56"/>
    <col min="1290" max="1290" width="10.5546875" style="56" customWidth="1"/>
    <col min="1291" max="1291" width="3.77734375" style="56" customWidth="1"/>
    <col min="1292" max="1293" width="8.77734375" style="56"/>
    <col min="1294" max="1294" width="3.77734375" style="56" customWidth="1"/>
    <col min="1295" max="1534" width="8.77734375" style="56"/>
    <col min="1535" max="1535" width="24.77734375" style="56" customWidth="1"/>
    <col min="1536" max="1536" width="13.5546875" style="56" customWidth="1"/>
    <col min="1537" max="1537" width="8.77734375" style="56"/>
    <col min="1538" max="1538" width="6.77734375" style="56" customWidth="1"/>
    <col min="1539" max="1539" width="6.44140625" style="56" customWidth="1"/>
    <col min="1540" max="1540" width="8.21875" style="56" customWidth="1"/>
    <col min="1541" max="1541" width="6.77734375" style="56" customWidth="1"/>
    <col min="1542" max="1542" width="4.77734375" style="56" customWidth="1"/>
    <col min="1543" max="1544" width="5" style="56" customWidth="1"/>
    <col min="1545" max="1545" width="8.77734375" style="56"/>
    <col min="1546" max="1546" width="10.5546875" style="56" customWidth="1"/>
    <col min="1547" max="1547" width="3.77734375" style="56" customWidth="1"/>
    <col min="1548" max="1549" width="8.77734375" style="56"/>
    <col min="1550" max="1550" width="3.77734375" style="56" customWidth="1"/>
    <col min="1551" max="1790" width="8.77734375" style="56"/>
    <col min="1791" max="1791" width="24.77734375" style="56" customWidth="1"/>
    <col min="1792" max="1792" width="13.5546875" style="56" customWidth="1"/>
    <col min="1793" max="1793" width="8.77734375" style="56"/>
    <col min="1794" max="1794" width="6.77734375" style="56" customWidth="1"/>
    <col min="1795" max="1795" width="6.44140625" style="56" customWidth="1"/>
    <col min="1796" max="1796" width="8.21875" style="56" customWidth="1"/>
    <col min="1797" max="1797" width="6.77734375" style="56" customWidth="1"/>
    <col min="1798" max="1798" width="4.77734375" style="56" customWidth="1"/>
    <col min="1799" max="1800" width="5" style="56" customWidth="1"/>
    <col min="1801" max="1801" width="8.77734375" style="56"/>
    <col min="1802" max="1802" width="10.5546875" style="56" customWidth="1"/>
    <col min="1803" max="1803" width="3.77734375" style="56" customWidth="1"/>
    <col min="1804" max="1805" width="8.77734375" style="56"/>
    <col min="1806" max="1806" width="3.77734375" style="56" customWidth="1"/>
    <col min="1807" max="2046" width="8.77734375" style="56"/>
    <col min="2047" max="2047" width="24.77734375" style="56" customWidth="1"/>
    <col min="2048" max="2048" width="13.5546875" style="56" customWidth="1"/>
    <col min="2049" max="2049" width="8.77734375" style="56"/>
    <col min="2050" max="2050" width="6.77734375" style="56" customWidth="1"/>
    <col min="2051" max="2051" width="6.44140625" style="56" customWidth="1"/>
    <col min="2052" max="2052" width="8.21875" style="56" customWidth="1"/>
    <col min="2053" max="2053" width="6.77734375" style="56" customWidth="1"/>
    <col min="2054" max="2054" width="4.77734375" style="56" customWidth="1"/>
    <col min="2055" max="2056" width="5" style="56" customWidth="1"/>
    <col min="2057" max="2057" width="8.77734375" style="56"/>
    <col min="2058" max="2058" width="10.5546875" style="56" customWidth="1"/>
    <col min="2059" max="2059" width="3.77734375" style="56" customWidth="1"/>
    <col min="2060" max="2061" width="8.77734375" style="56"/>
    <col min="2062" max="2062" width="3.77734375" style="56" customWidth="1"/>
    <col min="2063" max="2302" width="8.77734375" style="56"/>
    <col min="2303" max="2303" width="24.77734375" style="56" customWidth="1"/>
    <col min="2304" max="2304" width="13.5546875" style="56" customWidth="1"/>
    <col min="2305" max="2305" width="8.77734375" style="56"/>
    <col min="2306" max="2306" width="6.77734375" style="56" customWidth="1"/>
    <col min="2307" max="2307" width="6.44140625" style="56" customWidth="1"/>
    <col min="2308" max="2308" width="8.21875" style="56" customWidth="1"/>
    <col min="2309" max="2309" width="6.77734375" style="56" customWidth="1"/>
    <col min="2310" max="2310" width="4.77734375" style="56" customWidth="1"/>
    <col min="2311" max="2312" width="5" style="56" customWidth="1"/>
    <col min="2313" max="2313" width="8.77734375" style="56"/>
    <col min="2314" max="2314" width="10.5546875" style="56" customWidth="1"/>
    <col min="2315" max="2315" width="3.77734375" style="56" customWidth="1"/>
    <col min="2316" max="2317" width="8.77734375" style="56"/>
    <col min="2318" max="2318" width="3.77734375" style="56" customWidth="1"/>
    <col min="2319" max="2558" width="8.77734375" style="56"/>
    <col min="2559" max="2559" width="24.77734375" style="56" customWidth="1"/>
    <col min="2560" max="2560" width="13.5546875" style="56" customWidth="1"/>
    <col min="2561" max="2561" width="8.77734375" style="56"/>
    <col min="2562" max="2562" width="6.77734375" style="56" customWidth="1"/>
    <col min="2563" max="2563" width="6.44140625" style="56" customWidth="1"/>
    <col min="2564" max="2564" width="8.21875" style="56" customWidth="1"/>
    <col min="2565" max="2565" width="6.77734375" style="56" customWidth="1"/>
    <col min="2566" max="2566" width="4.77734375" style="56" customWidth="1"/>
    <col min="2567" max="2568" width="5" style="56" customWidth="1"/>
    <col min="2569" max="2569" width="8.77734375" style="56"/>
    <col min="2570" max="2570" width="10.5546875" style="56" customWidth="1"/>
    <col min="2571" max="2571" width="3.77734375" style="56" customWidth="1"/>
    <col min="2572" max="2573" width="8.77734375" style="56"/>
    <col min="2574" max="2574" width="3.77734375" style="56" customWidth="1"/>
    <col min="2575" max="2814" width="8.77734375" style="56"/>
    <col min="2815" max="2815" width="24.77734375" style="56" customWidth="1"/>
    <col min="2816" max="2816" width="13.5546875" style="56" customWidth="1"/>
    <col min="2817" max="2817" width="8.77734375" style="56"/>
    <col min="2818" max="2818" width="6.77734375" style="56" customWidth="1"/>
    <col min="2819" max="2819" width="6.44140625" style="56" customWidth="1"/>
    <col min="2820" max="2820" width="8.21875" style="56" customWidth="1"/>
    <col min="2821" max="2821" width="6.77734375" style="56" customWidth="1"/>
    <col min="2822" max="2822" width="4.77734375" style="56" customWidth="1"/>
    <col min="2823" max="2824" width="5" style="56" customWidth="1"/>
    <col min="2825" max="2825" width="8.77734375" style="56"/>
    <col min="2826" max="2826" width="10.5546875" style="56" customWidth="1"/>
    <col min="2827" max="2827" width="3.77734375" style="56" customWidth="1"/>
    <col min="2828" max="2829" width="8.77734375" style="56"/>
    <col min="2830" max="2830" width="3.77734375" style="56" customWidth="1"/>
    <col min="2831" max="3070" width="8.77734375" style="56"/>
    <col min="3071" max="3071" width="24.77734375" style="56" customWidth="1"/>
    <col min="3072" max="3072" width="13.5546875" style="56" customWidth="1"/>
    <col min="3073" max="3073" width="8.77734375" style="56"/>
    <col min="3074" max="3074" width="6.77734375" style="56" customWidth="1"/>
    <col min="3075" max="3075" width="6.44140625" style="56" customWidth="1"/>
    <col min="3076" max="3076" width="8.21875" style="56" customWidth="1"/>
    <col min="3077" max="3077" width="6.77734375" style="56" customWidth="1"/>
    <col min="3078" max="3078" width="4.77734375" style="56" customWidth="1"/>
    <col min="3079" max="3080" width="5" style="56" customWidth="1"/>
    <col min="3081" max="3081" width="8.77734375" style="56"/>
    <col min="3082" max="3082" width="10.5546875" style="56" customWidth="1"/>
    <col min="3083" max="3083" width="3.77734375" style="56" customWidth="1"/>
    <col min="3084" max="3085" width="8.77734375" style="56"/>
    <col min="3086" max="3086" width="3.77734375" style="56" customWidth="1"/>
    <col min="3087" max="3326" width="8.77734375" style="56"/>
    <col min="3327" max="3327" width="24.77734375" style="56" customWidth="1"/>
    <col min="3328" max="3328" width="13.5546875" style="56" customWidth="1"/>
    <col min="3329" max="3329" width="8.77734375" style="56"/>
    <col min="3330" max="3330" width="6.77734375" style="56" customWidth="1"/>
    <col min="3331" max="3331" width="6.44140625" style="56" customWidth="1"/>
    <col min="3332" max="3332" width="8.21875" style="56" customWidth="1"/>
    <col min="3333" max="3333" width="6.77734375" style="56" customWidth="1"/>
    <col min="3334" max="3334" width="4.77734375" style="56" customWidth="1"/>
    <col min="3335" max="3336" width="5" style="56" customWidth="1"/>
    <col min="3337" max="3337" width="8.77734375" style="56"/>
    <col min="3338" max="3338" width="10.5546875" style="56" customWidth="1"/>
    <col min="3339" max="3339" width="3.77734375" style="56" customWidth="1"/>
    <col min="3340" max="3341" width="8.77734375" style="56"/>
    <col min="3342" max="3342" width="3.77734375" style="56" customWidth="1"/>
    <col min="3343" max="3582" width="8.77734375" style="56"/>
    <col min="3583" max="3583" width="24.77734375" style="56" customWidth="1"/>
    <col min="3584" max="3584" width="13.5546875" style="56" customWidth="1"/>
    <col min="3585" max="3585" width="8.77734375" style="56"/>
    <col min="3586" max="3586" width="6.77734375" style="56" customWidth="1"/>
    <col min="3587" max="3587" width="6.44140625" style="56" customWidth="1"/>
    <col min="3588" max="3588" width="8.21875" style="56" customWidth="1"/>
    <col min="3589" max="3589" width="6.77734375" style="56" customWidth="1"/>
    <col min="3590" max="3590" width="4.77734375" style="56" customWidth="1"/>
    <col min="3591" max="3592" width="5" style="56" customWidth="1"/>
    <col min="3593" max="3593" width="8.77734375" style="56"/>
    <col min="3594" max="3594" width="10.5546875" style="56" customWidth="1"/>
    <col min="3595" max="3595" width="3.77734375" style="56" customWidth="1"/>
    <col min="3596" max="3597" width="8.77734375" style="56"/>
    <col min="3598" max="3598" width="3.77734375" style="56" customWidth="1"/>
    <col min="3599" max="3838" width="8.77734375" style="56"/>
    <col min="3839" max="3839" width="24.77734375" style="56" customWidth="1"/>
    <col min="3840" max="3840" width="13.5546875" style="56" customWidth="1"/>
    <col min="3841" max="3841" width="8.77734375" style="56"/>
    <col min="3842" max="3842" width="6.77734375" style="56" customWidth="1"/>
    <col min="3843" max="3843" width="6.44140625" style="56" customWidth="1"/>
    <col min="3844" max="3844" width="8.21875" style="56" customWidth="1"/>
    <col min="3845" max="3845" width="6.77734375" style="56" customWidth="1"/>
    <col min="3846" max="3846" width="4.77734375" style="56" customWidth="1"/>
    <col min="3847" max="3848" width="5" style="56" customWidth="1"/>
    <col min="3849" max="3849" width="8.77734375" style="56"/>
    <col min="3850" max="3850" width="10.5546875" style="56" customWidth="1"/>
    <col min="3851" max="3851" width="3.77734375" style="56" customWidth="1"/>
    <col min="3852" max="3853" width="8.77734375" style="56"/>
    <col min="3854" max="3854" width="3.77734375" style="56" customWidth="1"/>
    <col min="3855" max="4094" width="8.77734375" style="56"/>
    <col min="4095" max="4095" width="24.77734375" style="56" customWidth="1"/>
    <col min="4096" max="4096" width="13.5546875" style="56" customWidth="1"/>
    <col min="4097" max="4097" width="8.77734375" style="56"/>
    <col min="4098" max="4098" width="6.77734375" style="56" customWidth="1"/>
    <col min="4099" max="4099" width="6.44140625" style="56" customWidth="1"/>
    <col min="4100" max="4100" width="8.21875" style="56" customWidth="1"/>
    <col min="4101" max="4101" width="6.77734375" style="56" customWidth="1"/>
    <col min="4102" max="4102" width="4.77734375" style="56" customWidth="1"/>
    <col min="4103" max="4104" width="5" style="56" customWidth="1"/>
    <col min="4105" max="4105" width="8.77734375" style="56"/>
    <col min="4106" max="4106" width="10.5546875" style="56" customWidth="1"/>
    <col min="4107" max="4107" width="3.77734375" style="56" customWidth="1"/>
    <col min="4108" max="4109" width="8.77734375" style="56"/>
    <col min="4110" max="4110" width="3.77734375" style="56" customWidth="1"/>
    <col min="4111" max="4350" width="8.77734375" style="56"/>
    <col min="4351" max="4351" width="24.77734375" style="56" customWidth="1"/>
    <col min="4352" max="4352" width="13.5546875" style="56" customWidth="1"/>
    <col min="4353" max="4353" width="8.77734375" style="56"/>
    <col min="4354" max="4354" width="6.77734375" style="56" customWidth="1"/>
    <col min="4355" max="4355" width="6.44140625" style="56" customWidth="1"/>
    <col min="4356" max="4356" width="8.21875" style="56" customWidth="1"/>
    <col min="4357" max="4357" width="6.77734375" style="56" customWidth="1"/>
    <col min="4358" max="4358" width="4.77734375" style="56" customWidth="1"/>
    <col min="4359" max="4360" width="5" style="56" customWidth="1"/>
    <col min="4361" max="4361" width="8.77734375" style="56"/>
    <col min="4362" max="4362" width="10.5546875" style="56" customWidth="1"/>
    <col min="4363" max="4363" width="3.77734375" style="56" customWidth="1"/>
    <col min="4364" max="4365" width="8.77734375" style="56"/>
    <col min="4366" max="4366" width="3.77734375" style="56" customWidth="1"/>
    <col min="4367" max="4606" width="8.77734375" style="56"/>
    <col min="4607" max="4607" width="24.77734375" style="56" customWidth="1"/>
    <col min="4608" max="4608" width="13.5546875" style="56" customWidth="1"/>
    <col min="4609" max="4609" width="8.77734375" style="56"/>
    <col min="4610" max="4610" width="6.77734375" style="56" customWidth="1"/>
    <col min="4611" max="4611" width="6.44140625" style="56" customWidth="1"/>
    <col min="4612" max="4612" width="8.21875" style="56" customWidth="1"/>
    <col min="4613" max="4613" width="6.77734375" style="56" customWidth="1"/>
    <col min="4614" max="4614" width="4.77734375" style="56" customWidth="1"/>
    <col min="4615" max="4616" width="5" style="56" customWidth="1"/>
    <col min="4617" max="4617" width="8.77734375" style="56"/>
    <col min="4618" max="4618" width="10.5546875" style="56" customWidth="1"/>
    <col min="4619" max="4619" width="3.77734375" style="56" customWidth="1"/>
    <col min="4620" max="4621" width="8.77734375" style="56"/>
    <col min="4622" max="4622" width="3.77734375" style="56" customWidth="1"/>
    <col min="4623" max="4862" width="8.77734375" style="56"/>
    <col min="4863" max="4863" width="24.77734375" style="56" customWidth="1"/>
    <col min="4864" max="4864" width="13.5546875" style="56" customWidth="1"/>
    <col min="4865" max="4865" width="8.77734375" style="56"/>
    <col min="4866" max="4866" width="6.77734375" style="56" customWidth="1"/>
    <col min="4867" max="4867" width="6.44140625" style="56" customWidth="1"/>
    <col min="4868" max="4868" width="8.21875" style="56" customWidth="1"/>
    <col min="4869" max="4869" width="6.77734375" style="56" customWidth="1"/>
    <col min="4870" max="4870" width="4.77734375" style="56" customWidth="1"/>
    <col min="4871" max="4872" width="5" style="56" customWidth="1"/>
    <col min="4873" max="4873" width="8.77734375" style="56"/>
    <col min="4874" max="4874" width="10.5546875" style="56" customWidth="1"/>
    <col min="4875" max="4875" width="3.77734375" style="56" customWidth="1"/>
    <col min="4876" max="4877" width="8.77734375" style="56"/>
    <col min="4878" max="4878" width="3.77734375" style="56" customWidth="1"/>
    <col min="4879" max="5118" width="8.77734375" style="56"/>
    <col min="5119" max="5119" width="24.77734375" style="56" customWidth="1"/>
    <col min="5120" max="5120" width="13.5546875" style="56" customWidth="1"/>
    <col min="5121" max="5121" width="8.77734375" style="56"/>
    <col min="5122" max="5122" width="6.77734375" style="56" customWidth="1"/>
    <col min="5123" max="5123" width="6.44140625" style="56" customWidth="1"/>
    <col min="5124" max="5124" width="8.21875" style="56" customWidth="1"/>
    <col min="5125" max="5125" width="6.77734375" style="56" customWidth="1"/>
    <col min="5126" max="5126" width="4.77734375" style="56" customWidth="1"/>
    <col min="5127" max="5128" width="5" style="56" customWidth="1"/>
    <col min="5129" max="5129" width="8.77734375" style="56"/>
    <col min="5130" max="5130" width="10.5546875" style="56" customWidth="1"/>
    <col min="5131" max="5131" width="3.77734375" style="56" customWidth="1"/>
    <col min="5132" max="5133" width="8.77734375" style="56"/>
    <col min="5134" max="5134" width="3.77734375" style="56" customWidth="1"/>
    <col min="5135" max="5374" width="8.77734375" style="56"/>
    <col min="5375" max="5375" width="24.77734375" style="56" customWidth="1"/>
    <col min="5376" max="5376" width="13.5546875" style="56" customWidth="1"/>
    <col min="5377" max="5377" width="8.77734375" style="56"/>
    <col min="5378" max="5378" width="6.77734375" style="56" customWidth="1"/>
    <col min="5379" max="5379" width="6.44140625" style="56" customWidth="1"/>
    <col min="5380" max="5380" width="8.21875" style="56" customWidth="1"/>
    <col min="5381" max="5381" width="6.77734375" style="56" customWidth="1"/>
    <col min="5382" max="5382" width="4.77734375" style="56" customWidth="1"/>
    <col min="5383" max="5384" width="5" style="56" customWidth="1"/>
    <col min="5385" max="5385" width="8.77734375" style="56"/>
    <col min="5386" max="5386" width="10.5546875" style="56" customWidth="1"/>
    <col min="5387" max="5387" width="3.77734375" style="56" customWidth="1"/>
    <col min="5388" max="5389" width="8.77734375" style="56"/>
    <col min="5390" max="5390" width="3.77734375" style="56" customWidth="1"/>
    <col min="5391" max="5630" width="8.77734375" style="56"/>
    <col min="5631" max="5631" width="24.77734375" style="56" customWidth="1"/>
    <col min="5632" max="5632" width="13.5546875" style="56" customWidth="1"/>
    <col min="5633" max="5633" width="8.77734375" style="56"/>
    <col min="5634" max="5634" width="6.77734375" style="56" customWidth="1"/>
    <col min="5635" max="5635" width="6.44140625" style="56" customWidth="1"/>
    <col min="5636" max="5636" width="8.21875" style="56" customWidth="1"/>
    <col min="5637" max="5637" width="6.77734375" style="56" customWidth="1"/>
    <col min="5638" max="5638" width="4.77734375" style="56" customWidth="1"/>
    <col min="5639" max="5640" width="5" style="56" customWidth="1"/>
    <col min="5641" max="5641" width="8.77734375" style="56"/>
    <col min="5642" max="5642" width="10.5546875" style="56" customWidth="1"/>
    <col min="5643" max="5643" width="3.77734375" style="56" customWidth="1"/>
    <col min="5644" max="5645" width="8.77734375" style="56"/>
    <col min="5646" max="5646" width="3.77734375" style="56" customWidth="1"/>
    <col min="5647" max="5886" width="8.77734375" style="56"/>
    <col min="5887" max="5887" width="24.77734375" style="56" customWidth="1"/>
    <col min="5888" max="5888" width="13.5546875" style="56" customWidth="1"/>
    <col min="5889" max="5889" width="8.77734375" style="56"/>
    <col min="5890" max="5890" width="6.77734375" style="56" customWidth="1"/>
    <col min="5891" max="5891" width="6.44140625" style="56" customWidth="1"/>
    <col min="5892" max="5892" width="8.21875" style="56" customWidth="1"/>
    <col min="5893" max="5893" width="6.77734375" style="56" customWidth="1"/>
    <col min="5894" max="5894" width="4.77734375" style="56" customWidth="1"/>
    <col min="5895" max="5896" width="5" style="56" customWidth="1"/>
    <col min="5897" max="5897" width="8.77734375" style="56"/>
    <col min="5898" max="5898" width="10.5546875" style="56" customWidth="1"/>
    <col min="5899" max="5899" width="3.77734375" style="56" customWidth="1"/>
    <col min="5900" max="5901" width="8.77734375" style="56"/>
    <col min="5902" max="5902" width="3.77734375" style="56" customWidth="1"/>
    <col min="5903" max="6142" width="8.77734375" style="56"/>
    <col min="6143" max="6143" width="24.77734375" style="56" customWidth="1"/>
    <col min="6144" max="6144" width="13.5546875" style="56" customWidth="1"/>
    <col min="6145" max="6145" width="8.77734375" style="56"/>
    <col min="6146" max="6146" width="6.77734375" style="56" customWidth="1"/>
    <col min="6147" max="6147" width="6.44140625" style="56" customWidth="1"/>
    <col min="6148" max="6148" width="8.21875" style="56" customWidth="1"/>
    <col min="6149" max="6149" width="6.77734375" style="56" customWidth="1"/>
    <col min="6150" max="6150" width="4.77734375" style="56" customWidth="1"/>
    <col min="6151" max="6152" width="5" style="56" customWidth="1"/>
    <col min="6153" max="6153" width="8.77734375" style="56"/>
    <col min="6154" max="6154" width="10.5546875" style="56" customWidth="1"/>
    <col min="6155" max="6155" width="3.77734375" style="56" customWidth="1"/>
    <col min="6156" max="6157" width="8.77734375" style="56"/>
    <col min="6158" max="6158" width="3.77734375" style="56" customWidth="1"/>
    <col min="6159" max="6398" width="8.77734375" style="56"/>
    <col min="6399" max="6399" width="24.77734375" style="56" customWidth="1"/>
    <col min="6400" max="6400" width="13.5546875" style="56" customWidth="1"/>
    <col min="6401" max="6401" width="8.77734375" style="56"/>
    <col min="6402" max="6402" width="6.77734375" style="56" customWidth="1"/>
    <col min="6403" max="6403" width="6.44140625" style="56" customWidth="1"/>
    <col min="6404" max="6404" width="8.21875" style="56" customWidth="1"/>
    <col min="6405" max="6405" width="6.77734375" style="56" customWidth="1"/>
    <col min="6406" max="6406" width="4.77734375" style="56" customWidth="1"/>
    <col min="6407" max="6408" width="5" style="56" customWidth="1"/>
    <col min="6409" max="6409" width="8.77734375" style="56"/>
    <col min="6410" max="6410" width="10.5546875" style="56" customWidth="1"/>
    <col min="6411" max="6411" width="3.77734375" style="56" customWidth="1"/>
    <col min="6412" max="6413" width="8.77734375" style="56"/>
    <col min="6414" max="6414" width="3.77734375" style="56" customWidth="1"/>
    <col min="6415" max="6654" width="8.77734375" style="56"/>
    <col min="6655" max="6655" width="24.77734375" style="56" customWidth="1"/>
    <col min="6656" max="6656" width="13.5546875" style="56" customWidth="1"/>
    <col min="6657" max="6657" width="8.77734375" style="56"/>
    <col min="6658" max="6658" width="6.77734375" style="56" customWidth="1"/>
    <col min="6659" max="6659" width="6.44140625" style="56" customWidth="1"/>
    <col min="6660" max="6660" width="8.21875" style="56" customWidth="1"/>
    <col min="6661" max="6661" width="6.77734375" style="56" customWidth="1"/>
    <col min="6662" max="6662" width="4.77734375" style="56" customWidth="1"/>
    <col min="6663" max="6664" width="5" style="56" customWidth="1"/>
    <col min="6665" max="6665" width="8.77734375" style="56"/>
    <col min="6666" max="6666" width="10.5546875" style="56" customWidth="1"/>
    <col min="6667" max="6667" width="3.77734375" style="56" customWidth="1"/>
    <col min="6668" max="6669" width="8.77734375" style="56"/>
    <col min="6670" max="6670" width="3.77734375" style="56" customWidth="1"/>
    <col min="6671" max="6910" width="8.77734375" style="56"/>
    <col min="6911" max="6911" width="24.77734375" style="56" customWidth="1"/>
    <col min="6912" max="6912" width="13.5546875" style="56" customWidth="1"/>
    <col min="6913" max="6913" width="8.77734375" style="56"/>
    <col min="6914" max="6914" width="6.77734375" style="56" customWidth="1"/>
    <col min="6915" max="6915" width="6.44140625" style="56" customWidth="1"/>
    <col min="6916" max="6916" width="8.21875" style="56" customWidth="1"/>
    <col min="6917" max="6917" width="6.77734375" style="56" customWidth="1"/>
    <col min="6918" max="6918" width="4.77734375" style="56" customWidth="1"/>
    <col min="6919" max="6920" width="5" style="56" customWidth="1"/>
    <col min="6921" max="6921" width="8.77734375" style="56"/>
    <col min="6922" max="6922" width="10.5546875" style="56" customWidth="1"/>
    <col min="6923" max="6923" width="3.77734375" style="56" customWidth="1"/>
    <col min="6924" max="6925" width="8.77734375" style="56"/>
    <col min="6926" max="6926" width="3.77734375" style="56" customWidth="1"/>
    <col min="6927" max="7166" width="8.77734375" style="56"/>
    <col min="7167" max="7167" width="24.77734375" style="56" customWidth="1"/>
    <col min="7168" max="7168" width="13.5546875" style="56" customWidth="1"/>
    <col min="7169" max="7169" width="8.77734375" style="56"/>
    <col min="7170" max="7170" width="6.77734375" style="56" customWidth="1"/>
    <col min="7171" max="7171" width="6.44140625" style="56" customWidth="1"/>
    <col min="7172" max="7172" width="8.21875" style="56" customWidth="1"/>
    <col min="7173" max="7173" width="6.77734375" style="56" customWidth="1"/>
    <col min="7174" max="7174" width="4.77734375" style="56" customWidth="1"/>
    <col min="7175" max="7176" width="5" style="56" customWidth="1"/>
    <col min="7177" max="7177" width="8.77734375" style="56"/>
    <col min="7178" max="7178" width="10.5546875" style="56" customWidth="1"/>
    <col min="7179" max="7179" width="3.77734375" style="56" customWidth="1"/>
    <col min="7180" max="7181" width="8.77734375" style="56"/>
    <col min="7182" max="7182" width="3.77734375" style="56" customWidth="1"/>
    <col min="7183" max="7422" width="8.77734375" style="56"/>
    <col min="7423" max="7423" width="24.77734375" style="56" customWidth="1"/>
    <col min="7424" max="7424" width="13.5546875" style="56" customWidth="1"/>
    <col min="7425" max="7425" width="8.77734375" style="56"/>
    <col min="7426" max="7426" width="6.77734375" style="56" customWidth="1"/>
    <col min="7427" max="7427" width="6.44140625" style="56" customWidth="1"/>
    <col min="7428" max="7428" width="8.21875" style="56" customWidth="1"/>
    <col min="7429" max="7429" width="6.77734375" style="56" customWidth="1"/>
    <col min="7430" max="7430" width="4.77734375" style="56" customWidth="1"/>
    <col min="7431" max="7432" width="5" style="56" customWidth="1"/>
    <col min="7433" max="7433" width="8.77734375" style="56"/>
    <col min="7434" max="7434" width="10.5546875" style="56" customWidth="1"/>
    <col min="7435" max="7435" width="3.77734375" style="56" customWidth="1"/>
    <col min="7436" max="7437" width="8.77734375" style="56"/>
    <col min="7438" max="7438" width="3.77734375" style="56" customWidth="1"/>
    <col min="7439" max="7678" width="8.77734375" style="56"/>
    <col min="7679" max="7679" width="24.77734375" style="56" customWidth="1"/>
    <col min="7680" max="7680" width="13.5546875" style="56" customWidth="1"/>
    <col min="7681" max="7681" width="8.77734375" style="56"/>
    <col min="7682" max="7682" width="6.77734375" style="56" customWidth="1"/>
    <col min="7683" max="7683" width="6.44140625" style="56" customWidth="1"/>
    <col min="7684" max="7684" width="8.21875" style="56" customWidth="1"/>
    <col min="7685" max="7685" width="6.77734375" style="56" customWidth="1"/>
    <col min="7686" max="7686" width="4.77734375" style="56" customWidth="1"/>
    <col min="7687" max="7688" width="5" style="56" customWidth="1"/>
    <col min="7689" max="7689" width="8.77734375" style="56"/>
    <col min="7690" max="7690" width="10.5546875" style="56" customWidth="1"/>
    <col min="7691" max="7691" width="3.77734375" style="56" customWidth="1"/>
    <col min="7692" max="7693" width="8.77734375" style="56"/>
    <col min="7694" max="7694" width="3.77734375" style="56" customWidth="1"/>
    <col min="7695" max="7934" width="8.77734375" style="56"/>
    <col min="7935" max="7935" width="24.77734375" style="56" customWidth="1"/>
    <col min="7936" max="7936" width="13.5546875" style="56" customWidth="1"/>
    <col min="7937" max="7937" width="8.77734375" style="56"/>
    <col min="7938" max="7938" width="6.77734375" style="56" customWidth="1"/>
    <col min="7939" max="7939" width="6.44140625" style="56" customWidth="1"/>
    <col min="7940" max="7940" width="8.21875" style="56" customWidth="1"/>
    <col min="7941" max="7941" width="6.77734375" style="56" customWidth="1"/>
    <col min="7942" max="7942" width="4.77734375" style="56" customWidth="1"/>
    <col min="7943" max="7944" width="5" style="56" customWidth="1"/>
    <col min="7945" max="7945" width="8.77734375" style="56"/>
    <col min="7946" max="7946" width="10.5546875" style="56" customWidth="1"/>
    <col min="7947" max="7947" width="3.77734375" style="56" customWidth="1"/>
    <col min="7948" max="7949" width="8.77734375" style="56"/>
    <col min="7950" max="7950" width="3.77734375" style="56" customWidth="1"/>
    <col min="7951" max="8190" width="8.77734375" style="56"/>
    <col min="8191" max="8191" width="24.77734375" style="56" customWidth="1"/>
    <col min="8192" max="8192" width="13.5546875" style="56" customWidth="1"/>
    <col min="8193" max="8193" width="8.77734375" style="56"/>
    <col min="8194" max="8194" width="6.77734375" style="56" customWidth="1"/>
    <col min="8195" max="8195" width="6.44140625" style="56" customWidth="1"/>
    <col min="8196" max="8196" width="8.21875" style="56" customWidth="1"/>
    <col min="8197" max="8197" width="6.77734375" style="56" customWidth="1"/>
    <col min="8198" max="8198" width="4.77734375" style="56" customWidth="1"/>
    <col min="8199" max="8200" width="5" style="56" customWidth="1"/>
    <col min="8201" max="8201" width="8.77734375" style="56"/>
    <col min="8202" max="8202" width="10.5546875" style="56" customWidth="1"/>
    <col min="8203" max="8203" width="3.77734375" style="56" customWidth="1"/>
    <col min="8204" max="8205" width="8.77734375" style="56"/>
    <col min="8206" max="8206" width="3.77734375" style="56" customWidth="1"/>
    <col min="8207" max="8446" width="8.77734375" style="56"/>
    <col min="8447" max="8447" width="24.77734375" style="56" customWidth="1"/>
    <col min="8448" max="8448" width="13.5546875" style="56" customWidth="1"/>
    <col min="8449" max="8449" width="8.77734375" style="56"/>
    <col min="8450" max="8450" width="6.77734375" style="56" customWidth="1"/>
    <col min="8451" max="8451" width="6.44140625" style="56" customWidth="1"/>
    <col min="8452" max="8452" width="8.21875" style="56" customWidth="1"/>
    <col min="8453" max="8453" width="6.77734375" style="56" customWidth="1"/>
    <col min="8454" max="8454" width="4.77734375" style="56" customWidth="1"/>
    <col min="8455" max="8456" width="5" style="56" customWidth="1"/>
    <col min="8457" max="8457" width="8.77734375" style="56"/>
    <col min="8458" max="8458" width="10.5546875" style="56" customWidth="1"/>
    <col min="8459" max="8459" width="3.77734375" style="56" customWidth="1"/>
    <col min="8460" max="8461" width="8.77734375" style="56"/>
    <col min="8462" max="8462" width="3.77734375" style="56" customWidth="1"/>
    <col min="8463" max="8702" width="8.77734375" style="56"/>
    <col min="8703" max="8703" width="24.77734375" style="56" customWidth="1"/>
    <col min="8704" max="8704" width="13.5546875" style="56" customWidth="1"/>
    <col min="8705" max="8705" width="8.77734375" style="56"/>
    <col min="8706" max="8706" width="6.77734375" style="56" customWidth="1"/>
    <col min="8707" max="8707" width="6.44140625" style="56" customWidth="1"/>
    <col min="8708" max="8708" width="8.21875" style="56" customWidth="1"/>
    <col min="8709" max="8709" width="6.77734375" style="56" customWidth="1"/>
    <col min="8710" max="8710" width="4.77734375" style="56" customWidth="1"/>
    <col min="8711" max="8712" width="5" style="56" customWidth="1"/>
    <col min="8713" max="8713" width="8.77734375" style="56"/>
    <col min="8714" max="8714" width="10.5546875" style="56" customWidth="1"/>
    <col min="8715" max="8715" width="3.77734375" style="56" customWidth="1"/>
    <col min="8716" max="8717" width="8.77734375" style="56"/>
    <col min="8718" max="8718" width="3.77734375" style="56" customWidth="1"/>
    <col min="8719" max="8958" width="8.77734375" style="56"/>
    <col min="8959" max="8959" width="24.77734375" style="56" customWidth="1"/>
    <col min="8960" max="8960" width="13.5546875" style="56" customWidth="1"/>
    <col min="8961" max="8961" width="8.77734375" style="56"/>
    <col min="8962" max="8962" width="6.77734375" style="56" customWidth="1"/>
    <col min="8963" max="8963" width="6.44140625" style="56" customWidth="1"/>
    <col min="8964" max="8964" width="8.21875" style="56" customWidth="1"/>
    <col min="8965" max="8965" width="6.77734375" style="56" customWidth="1"/>
    <col min="8966" max="8966" width="4.77734375" style="56" customWidth="1"/>
    <col min="8967" max="8968" width="5" style="56" customWidth="1"/>
    <col min="8969" max="8969" width="8.77734375" style="56"/>
    <col min="8970" max="8970" width="10.5546875" style="56" customWidth="1"/>
    <col min="8971" max="8971" width="3.77734375" style="56" customWidth="1"/>
    <col min="8972" max="8973" width="8.77734375" style="56"/>
    <col min="8974" max="8974" width="3.77734375" style="56" customWidth="1"/>
    <col min="8975" max="9214" width="8.77734375" style="56"/>
    <col min="9215" max="9215" width="24.77734375" style="56" customWidth="1"/>
    <col min="9216" max="9216" width="13.5546875" style="56" customWidth="1"/>
    <col min="9217" max="9217" width="8.77734375" style="56"/>
    <col min="9218" max="9218" width="6.77734375" style="56" customWidth="1"/>
    <col min="9219" max="9219" width="6.44140625" style="56" customWidth="1"/>
    <col min="9220" max="9220" width="8.21875" style="56" customWidth="1"/>
    <col min="9221" max="9221" width="6.77734375" style="56" customWidth="1"/>
    <col min="9222" max="9222" width="4.77734375" style="56" customWidth="1"/>
    <col min="9223" max="9224" width="5" style="56" customWidth="1"/>
    <col min="9225" max="9225" width="8.77734375" style="56"/>
    <col min="9226" max="9226" width="10.5546875" style="56" customWidth="1"/>
    <col min="9227" max="9227" width="3.77734375" style="56" customWidth="1"/>
    <col min="9228" max="9229" width="8.77734375" style="56"/>
    <col min="9230" max="9230" width="3.77734375" style="56" customWidth="1"/>
    <col min="9231" max="9470" width="8.77734375" style="56"/>
    <col min="9471" max="9471" width="24.77734375" style="56" customWidth="1"/>
    <col min="9472" max="9472" width="13.5546875" style="56" customWidth="1"/>
    <col min="9473" max="9473" width="8.77734375" style="56"/>
    <col min="9474" max="9474" width="6.77734375" style="56" customWidth="1"/>
    <col min="9475" max="9475" width="6.44140625" style="56" customWidth="1"/>
    <col min="9476" max="9476" width="8.21875" style="56" customWidth="1"/>
    <col min="9477" max="9477" width="6.77734375" style="56" customWidth="1"/>
    <col min="9478" max="9478" width="4.77734375" style="56" customWidth="1"/>
    <col min="9479" max="9480" width="5" style="56" customWidth="1"/>
    <col min="9481" max="9481" width="8.77734375" style="56"/>
    <col min="9482" max="9482" width="10.5546875" style="56" customWidth="1"/>
    <col min="9483" max="9483" width="3.77734375" style="56" customWidth="1"/>
    <col min="9484" max="9485" width="8.77734375" style="56"/>
    <col min="9486" max="9486" width="3.77734375" style="56" customWidth="1"/>
    <col min="9487" max="9726" width="8.77734375" style="56"/>
    <col min="9727" max="9727" width="24.77734375" style="56" customWidth="1"/>
    <col min="9728" max="9728" width="13.5546875" style="56" customWidth="1"/>
    <col min="9729" max="9729" width="8.77734375" style="56"/>
    <col min="9730" max="9730" width="6.77734375" style="56" customWidth="1"/>
    <col min="9731" max="9731" width="6.44140625" style="56" customWidth="1"/>
    <col min="9732" max="9732" width="8.21875" style="56" customWidth="1"/>
    <col min="9733" max="9733" width="6.77734375" style="56" customWidth="1"/>
    <col min="9734" max="9734" width="4.77734375" style="56" customWidth="1"/>
    <col min="9735" max="9736" width="5" style="56" customWidth="1"/>
    <col min="9737" max="9737" width="8.77734375" style="56"/>
    <col min="9738" max="9738" width="10.5546875" style="56" customWidth="1"/>
    <col min="9739" max="9739" width="3.77734375" style="56" customWidth="1"/>
    <col min="9740" max="9741" width="8.77734375" style="56"/>
    <col min="9742" max="9742" width="3.77734375" style="56" customWidth="1"/>
    <col min="9743" max="9982" width="8.77734375" style="56"/>
    <col min="9983" max="9983" width="24.77734375" style="56" customWidth="1"/>
    <col min="9984" max="9984" width="13.5546875" style="56" customWidth="1"/>
    <col min="9985" max="9985" width="8.77734375" style="56"/>
    <col min="9986" max="9986" width="6.77734375" style="56" customWidth="1"/>
    <col min="9987" max="9987" width="6.44140625" style="56" customWidth="1"/>
    <col min="9988" max="9988" width="8.21875" style="56" customWidth="1"/>
    <col min="9989" max="9989" width="6.77734375" style="56" customWidth="1"/>
    <col min="9990" max="9990" width="4.77734375" style="56" customWidth="1"/>
    <col min="9991" max="9992" width="5" style="56" customWidth="1"/>
    <col min="9993" max="9993" width="8.77734375" style="56"/>
    <col min="9994" max="9994" width="10.5546875" style="56" customWidth="1"/>
    <col min="9995" max="9995" width="3.77734375" style="56" customWidth="1"/>
    <col min="9996" max="9997" width="8.77734375" style="56"/>
    <col min="9998" max="9998" width="3.77734375" style="56" customWidth="1"/>
    <col min="9999" max="10238" width="8.77734375" style="56"/>
    <col min="10239" max="10239" width="24.77734375" style="56" customWidth="1"/>
    <col min="10240" max="10240" width="13.5546875" style="56" customWidth="1"/>
    <col min="10241" max="10241" width="8.77734375" style="56"/>
    <col min="10242" max="10242" width="6.77734375" style="56" customWidth="1"/>
    <col min="10243" max="10243" width="6.44140625" style="56" customWidth="1"/>
    <col min="10244" max="10244" width="8.21875" style="56" customWidth="1"/>
    <col min="10245" max="10245" width="6.77734375" style="56" customWidth="1"/>
    <col min="10246" max="10246" width="4.77734375" style="56" customWidth="1"/>
    <col min="10247" max="10248" width="5" style="56" customWidth="1"/>
    <col min="10249" max="10249" width="8.77734375" style="56"/>
    <col min="10250" max="10250" width="10.5546875" style="56" customWidth="1"/>
    <col min="10251" max="10251" width="3.77734375" style="56" customWidth="1"/>
    <col min="10252" max="10253" width="8.77734375" style="56"/>
    <col min="10254" max="10254" width="3.77734375" style="56" customWidth="1"/>
    <col min="10255" max="10494" width="8.77734375" style="56"/>
    <col min="10495" max="10495" width="24.77734375" style="56" customWidth="1"/>
    <col min="10496" max="10496" width="13.5546875" style="56" customWidth="1"/>
    <col min="10497" max="10497" width="8.77734375" style="56"/>
    <col min="10498" max="10498" width="6.77734375" style="56" customWidth="1"/>
    <col min="10499" max="10499" width="6.44140625" style="56" customWidth="1"/>
    <col min="10500" max="10500" width="8.21875" style="56" customWidth="1"/>
    <col min="10501" max="10501" width="6.77734375" style="56" customWidth="1"/>
    <col min="10502" max="10502" width="4.77734375" style="56" customWidth="1"/>
    <col min="10503" max="10504" width="5" style="56" customWidth="1"/>
    <col min="10505" max="10505" width="8.77734375" style="56"/>
    <col min="10506" max="10506" width="10.5546875" style="56" customWidth="1"/>
    <col min="10507" max="10507" width="3.77734375" style="56" customWidth="1"/>
    <col min="10508" max="10509" width="8.77734375" style="56"/>
    <col min="10510" max="10510" width="3.77734375" style="56" customWidth="1"/>
    <col min="10511" max="10750" width="8.77734375" style="56"/>
    <col min="10751" max="10751" width="24.77734375" style="56" customWidth="1"/>
    <col min="10752" max="10752" width="13.5546875" style="56" customWidth="1"/>
    <col min="10753" max="10753" width="8.77734375" style="56"/>
    <col min="10754" max="10754" width="6.77734375" style="56" customWidth="1"/>
    <col min="10755" max="10755" width="6.44140625" style="56" customWidth="1"/>
    <col min="10756" max="10756" width="8.21875" style="56" customWidth="1"/>
    <col min="10757" max="10757" width="6.77734375" style="56" customWidth="1"/>
    <col min="10758" max="10758" width="4.77734375" style="56" customWidth="1"/>
    <col min="10759" max="10760" width="5" style="56" customWidth="1"/>
    <col min="10761" max="10761" width="8.77734375" style="56"/>
    <col min="10762" max="10762" width="10.5546875" style="56" customWidth="1"/>
    <col min="10763" max="10763" width="3.77734375" style="56" customWidth="1"/>
    <col min="10764" max="10765" width="8.77734375" style="56"/>
    <col min="10766" max="10766" width="3.77734375" style="56" customWidth="1"/>
    <col min="10767" max="11006" width="8.77734375" style="56"/>
    <col min="11007" max="11007" width="24.77734375" style="56" customWidth="1"/>
    <col min="11008" max="11008" width="13.5546875" style="56" customWidth="1"/>
    <col min="11009" max="11009" width="8.77734375" style="56"/>
    <col min="11010" max="11010" width="6.77734375" style="56" customWidth="1"/>
    <col min="11011" max="11011" width="6.44140625" style="56" customWidth="1"/>
    <col min="11012" max="11012" width="8.21875" style="56" customWidth="1"/>
    <col min="11013" max="11013" width="6.77734375" style="56" customWidth="1"/>
    <col min="11014" max="11014" width="4.77734375" style="56" customWidth="1"/>
    <col min="11015" max="11016" width="5" style="56" customWidth="1"/>
    <col min="11017" max="11017" width="8.77734375" style="56"/>
    <col min="11018" max="11018" width="10.5546875" style="56" customWidth="1"/>
    <col min="11019" max="11019" width="3.77734375" style="56" customWidth="1"/>
    <col min="11020" max="11021" width="8.77734375" style="56"/>
    <col min="11022" max="11022" width="3.77734375" style="56" customWidth="1"/>
    <col min="11023" max="11262" width="8.77734375" style="56"/>
    <col min="11263" max="11263" width="24.77734375" style="56" customWidth="1"/>
    <col min="11264" max="11264" width="13.5546875" style="56" customWidth="1"/>
    <col min="11265" max="11265" width="8.77734375" style="56"/>
    <col min="11266" max="11266" width="6.77734375" style="56" customWidth="1"/>
    <col min="11267" max="11267" width="6.44140625" style="56" customWidth="1"/>
    <col min="11268" max="11268" width="8.21875" style="56" customWidth="1"/>
    <col min="11269" max="11269" width="6.77734375" style="56" customWidth="1"/>
    <col min="11270" max="11270" width="4.77734375" style="56" customWidth="1"/>
    <col min="11271" max="11272" width="5" style="56" customWidth="1"/>
    <col min="11273" max="11273" width="8.77734375" style="56"/>
    <col min="11274" max="11274" width="10.5546875" style="56" customWidth="1"/>
    <col min="11275" max="11275" width="3.77734375" style="56" customWidth="1"/>
    <col min="11276" max="11277" width="8.77734375" style="56"/>
    <col min="11278" max="11278" width="3.77734375" style="56" customWidth="1"/>
    <col min="11279" max="11518" width="8.77734375" style="56"/>
    <col min="11519" max="11519" width="24.77734375" style="56" customWidth="1"/>
    <col min="11520" max="11520" width="13.5546875" style="56" customWidth="1"/>
    <col min="11521" max="11521" width="8.77734375" style="56"/>
    <col min="11522" max="11522" width="6.77734375" style="56" customWidth="1"/>
    <col min="11523" max="11523" width="6.44140625" style="56" customWidth="1"/>
    <col min="11524" max="11524" width="8.21875" style="56" customWidth="1"/>
    <col min="11525" max="11525" width="6.77734375" style="56" customWidth="1"/>
    <col min="11526" max="11526" width="4.77734375" style="56" customWidth="1"/>
    <col min="11527" max="11528" width="5" style="56" customWidth="1"/>
    <col min="11529" max="11529" width="8.77734375" style="56"/>
    <col min="11530" max="11530" width="10.5546875" style="56" customWidth="1"/>
    <col min="11531" max="11531" width="3.77734375" style="56" customWidth="1"/>
    <col min="11532" max="11533" width="8.77734375" style="56"/>
    <col min="11534" max="11534" width="3.77734375" style="56" customWidth="1"/>
    <col min="11535" max="11774" width="8.77734375" style="56"/>
    <col min="11775" max="11775" width="24.77734375" style="56" customWidth="1"/>
    <col min="11776" max="11776" width="13.5546875" style="56" customWidth="1"/>
    <col min="11777" max="11777" width="8.77734375" style="56"/>
    <col min="11778" max="11778" width="6.77734375" style="56" customWidth="1"/>
    <col min="11779" max="11779" width="6.44140625" style="56" customWidth="1"/>
    <col min="11780" max="11780" width="8.21875" style="56" customWidth="1"/>
    <col min="11781" max="11781" width="6.77734375" style="56" customWidth="1"/>
    <col min="11782" max="11782" width="4.77734375" style="56" customWidth="1"/>
    <col min="11783" max="11784" width="5" style="56" customWidth="1"/>
    <col min="11785" max="11785" width="8.77734375" style="56"/>
    <col min="11786" max="11786" width="10.5546875" style="56" customWidth="1"/>
    <col min="11787" max="11787" width="3.77734375" style="56" customWidth="1"/>
    <col min="11788" max="11789" width="8.77734375" style="56"/>
    <col min="11790" max="11790" width="3.77734375" style="56" customWidth="1"/>
    <col min="11791" max="12030" width="8.77734375" style="56"/>
    <col min="12031" max="12031" width="24.77734375" style="56" customWidth="1"/>
    <col min="12032" max="12032" width="13.5546875" style="56" customWidth="1"/>
    <col min="12033" max="12033" width="8.77734375" style="56"/>
    <col min="12034" max="12034" width="6.77734375" style="56" customWidth="1"/>
    <col min="12035" max="12035" width="6.44140625" style="56" customWidth="1"/>
    <col min="12036" max="12036" width="8.21875" style="56" customWidth="1"/>
    <col min="12037" max="12037" width="6.77734375" style="56" customWidth="1"/>
    <col min="12038" max="12038" width="4.77734375" style="56" customWidth="1"/>
    <col min="12039" max="12040" width="5" style="56" customWidth="1"/>
    <col min="12041" max="12041" width="8.77734375" style="56"/>
    <col min="12042" max="12042" width="10.5546875" style="56" customWidth="1"/>
    <col min="12043" max="12043" width="3.77734375" style="56" customWidth="1"/>
    <col min="12044" max="12045" width="8.77734375" style="56"/>
    <col min="12046" max="12046" width="3.77734375" style="56" customWidth="1"/>
    <col min="12047" max="12286" width="8.77734375" style="56"/>
    <col min="12287" max="12287" width="24.77734375" style="56" customWidth="1"/>
    <col min="12288" max="12288" width="13.5546875" style="56" customWidth="1"/>
    <col min="12289" max="12289" width="8.77734375" style="56"/>
    <col min="12290" max="12290" width="6.77734375" style="56" customWidth="1"/>
    <col min="12291" max="12291" width="6.44140625" style="56" customWidth="1"/>
    <col min="12292" max="12292" width="8.21875" style="56" customWidth="1"/>
    <col min="12293" max="12293" width="6.77734375" style="56" customWidth="1"/>
    <col min="12294" max="12294" width="4.77734375" style="56" customWidth="1"/>
    <col min="12295" max="12296" width="5" style="56" customWidth="1"/>
    <col min="12297" max="12297" width="8.77734375" style="56"/>
    <col min="12298" max="12298" width="10.5546875" style="56" customWidth="1"/>
    <col min="12299" max="12299" width="3.77734375" style="56" customWidth="1"/>
    <col min="12300" max="12301" width="8.77734375" style="56"/>
    <col min="12302" max="12302" width="3.77734375" style="56" customWidth="1"/>
    <col min="12303" max="12542" width="8.77734375" style="56"/>
    <col min="12543" max="12543" width="24.77734375" style="56" customWidth="1"/>
    <col min="12544" max="12544" width="13.5546875" style="56" customWidth="1"/>
    <col min="12545" max="12545" width="8.77734375" style="56"/>
    <col min="12546" max="12546" width="6.77734375" style="56" customWidth="1"/>
    <col min="12547" max="12547" width="6.44140625" style="56" customWidth="1"/>
    <col min="12548" max="12548" width="8.21875" style="56" customWidth="1"/>
    <col min="12549" max="12549" width="6.77734375" style="56" customWidth="1"/>
    <col min="12550" max="12550" width="4.77734375" style="56" customWidth="1"/>
    <col min="12551" max="12552" width="5" style="56" customWidth="1"/>
    <col min="12553" max="12553" width="8.77734375" style="56"/>
    <col min="12554" max="12554" width="10.5546875" style="56" customWidth="1"/>
    <col min="12555" max="12555" width="3.77734375" style="56" customWidth="1"/>
    <col min="12556" max="12557" width="8.77734375" style="56"/>
    <col min="12558" max="12558" width="3.77734375" style="56" customWidth="1"/>
    <col min="12559" max="12798" width="8.77734375" style="56"/>
    <col min="12799" max="12799" width="24.77734375" style="56" customWidth="1"/>
    <col min="12800" max="12800" width="13.5546875" style="56" customWidth="1"/>
    <col min="12801" max="12801" width="8.77734375" style="56"/>
    <col min="12802" max="12802" width="6.77734375" style="56" customWidth="1"/>
    <col min="12803" max="12803" width="6.44140625" style="56" customWidth="1"/>
    <col min="12804" max="12804" width="8.21875" style="56" customWidth="1"/>
    <col min="12805" max="12805" width="6.77734375" style="56" customWidth="1"/>
    <col min="12806" max="12806" width="4.77734375" style="56" customWidth="1"/>
    <col min="12807" max="12808" width="5" style="56" customWidth="1"/>
    <col min="12809" max="12809" width="8.77734375" style="56"/>
    <col min="12810" max="12810" width="10.5546875" style="56" customWidth="1"/>
    <col min="12811" max="12811" width="3.77734375" style="56" customWidth="1"/>
    <col min="12812" max="12813" width="8.77734375" style="56"/>
    <col min="12814" max="12814" width="3.77734375" style="56" customWidth="1"/>
    <col min="12815" max="13054" width="8.77734375" style="56"/>
    <col min="13055" max="13055" width="24.77734375" style="56" customWidth="1"/>
    <col min="13056" max="13056" width="13.5546875" style="56" customWidth="1"/>
    <col min="13057" max="13057" width="8.77734375" style="56"/>
    <col min="13058" max="13058" width="6.77734375" style="56" customWidth="1"/>
    <col min="13059" max="13059" width="6.44140625" style="56" customWidth="1"/>
    <col min="13060" max="13060" width="8.21875" style="56" customWidth="1"/>
    <col min="13061" max="13061" width="6.77734375" style="56" customWidth="1"/>
    <col min="13062" max="13062" width="4.77734375" style="56" customWidth="1"/>
    <col min="13063" max="13064" width="5" style="56" customWidth="1"/>
    <col min="13065" max="13065" width="8.77734375" style="56"/>
    <col min="13066" max="13066" width="10.5546875" style="56" customWidth="1"/>
    <col min="13067" max="13067" width="3.77734375" style="56" customWidth="1"/>
    <col min="13068" max="13069" width="8.77734375" style="56"/>
    <col min="13070" max="13070" width="3.77734375" style="56" customWidth="1"/>
    <col min="13071" max="13310" width="8.77734375" style="56"/>
    <col min="13311" max="13311" width="24.77734375" style="56" customWidth="1"/>
    <col min="13312" max="13312" width="13.5546875" style="56" customWidth="1"/>
    <col min="13313" max="13313" width="8.77734375" style="56"/>
    <col min="13314" max="13314" width="6.77734375" style="56" customWidth="1"/>
    <col min="13315" max="13315" width="6.44140625" style="56" customWidth="1"/>
    <col min="13316" max="13316" width="8.21875" style="56" customWidth="1"/>
    <col min="13317" max="13317" width="6.77734375" style="56" customWidth="1"/>
    <col min="13318" max="13318" width="4.77734375" style="56" customWidth="1"/>
    <col min="13319" max="13320" width="5" style="56" customWidth="1"/>
    <col min="13321" max="13321" width="8.77734375" style="56"/>
    <col min="13322" max="13322" width="10.5546875" style="56" customWidth="1"/>
    <col min="13323" max="13323" width="3.77734375" style="56" customWidth="1"/>
    <col min="13324" max="13325" width="8.77734375" style="56"/>
    <col min="13326" max="13326" width="3.77734375" style="56" customWidth="1"/>
    <col min="13327" max="13566" width="8.77734375" style="56"/>
    <col min="13567" max="13567" width="24.77734375" style="56" customWidth="1"/>
    <col min="13568" max="13568" width="13.5546875" style="56" customWidth="1"/>
    <col min="13569" max="13569" width="8.77734375" style="56"/>
    <col min="13570" max="13570" width="6.77734375" style="56" customWidth="1"/>
    <col min="13571" max="13571" width="6.44140625" style="56" customWidth="1"/>
    <col min="13572" max="13572" width="8.21875" style="56" customWidth="1"/>
    <col min="13573" max="13573" width="6.77734375" style="56" customWidth="1"/>
    <col min="13574" max="13574" width="4.77734375" style="56" customWidth="1"/>
    <col min="13575" max="13576" width="5" style="56" customWidth="1"/>
    <col min="13577" max="13577" width="8.77734375" style="56"/>
    <col min="13578" max="13578" width="10.5546875" style="56" customWidth="1"/>
    <col min="13579" max="13579" width="3.77734375" style="56" customWidth="1"/>
    <col min="13580" max="13581" width="8.77734375" style="56"/>
    <col min="13582" max="13582" width="3.77734375" style="56" customWidth="1"/>
    <col min="13583" max="13822" width="8.77734375" style="56"/>
    <col min="13823" max="13823" width="24.77734375" style="56" customWidth="1"/>
    <col min="13824" max="13824" width="13.5546875" style="56" customWidth="1"/>
    <col min="13825" max="13825" width="8.77734375" style="56"/>
    <col min="13826" max="13826" width="6.77734375" style="56" customWidth="1"/>
    <col min="13827" max="13827" width="6.44140625" style="56" customWidth="1"/>
    <col min="13828" max="13828" width="8.21875" style="56" customWidth="1"/>
    <col min="13829" max="13829" width="6.77734375" style="56" customWidth="1"/>
    <col min="13830" max="13830" width="4.77734375" style="56" customWidth="1"/>
    <col min="13831" max="13832" width="5" style="56" customWidth="1"/>
    <col min="13833" max="13833" width="8.77734375" style="56"/>
    <col min="13834" max="13834" width="10.5546875" style="56" customWidth="1"/>
    <col min="13835" max="13835" width="3.77734375" style="56" customWidth="1"/>
    <col min="13836" max="13837" width="8.77734375" style="56"/>
    <col min="13838" max="13838" width="3.77734375" style="56" customWidth="1"/>
    <col min="13839" max="14078" width="8.77734375" style="56"/>
    <col min="14079" max="14079" width="24.77734375" style="56" customWidth="1"/>
    <col min="14080" max="14080" width="13.5546875" style="56" customWidth="1"/>
    <col min="14081" max="14081" width="8.77734375" style="56"/>
    <col min="14082" max="14082" width="6.77734375" style="56" customWidth="1"/>
    <col min="14083" max="14083" width="6.44140625" style="56" customWidth="1"/>
    <col min="14084" max="14084" width="8.21875" style="56" customWidth="1"/>
    <col min="14085" max="14085" width="6.77734375" style="56" customWidth="1"/>
    <col min="14086" max="14086" width="4.77734375" style="56" customWidth="1"/>
    <col min="14087" max="14088" width="5" style="56" customWidth="1"/>
    <col min="14089" max="14089" width="8.77734375" style="56"/>
    <col min="14090" max="14090" width="10.5546875" style="56" customWidth="1"/>
    <col min="14091" max="14091" width="3.77734375" style="56" customWidth="1"/>
    <col min="14092" max="14093" width="8.77734375" style="56"/>
    <col min="14094" max="14094" width="3.77734375" style="56" customWidth="1"/>
    <col min="14095" max="14334" width="8.77734375" style="56"/>
    <col min="14335" max="14335" width="24.77734375" style="56" customWidth="1"/>
    <col min="14336" max="14336" width="13.5546875" style="56" customWidth="1"/>
    <col min="14337" max="14337" width="8.77734375" style="56"/>
    <col min="14338" max="14338" width="6.77734375" style="56" customWidth="1"/>
    <col min="14339" max="14339" width="6.44140625" style="56" customWidth="1"/>
    <col min="14340" max="14340" width="8.21875" style="56" customWidth="1"/>
    <col min="14341" max="14341" width="6.77734375" style="56" customWidth="1"/>
    <col min="14342" max="14342" width="4.77734375" style="56" customWidth="1"/>
    <col min="14343" max="14344" width="5" style="56" customWidth="1"/>
    <col min="14345" max="14345" width="8.77734375" style="56"/>
    <col min="14346" max="14346" width="10.5546875" style="56" customWidth="1"/>
    <col min="14347" max="14347" width="3.77734375" style="56" customWidth="1"/>
    <col min="14348" max="14349" width="8.77734375" style="56"/>
    <col min="14350" max="14350" width="3.77734375" style="56" customWidth="1"/>
    <col min="14351" max="14590" width="8.77734375" style="56"/>
    <col min="14591" max="14591" width="24.77734375" style="56" customWidth="1"/>
    <col min="14592" max="14592" width="13.5546875" style="56" customWidth="1"/>
    <col min="14593" max="14593" width="8.77734375" style="56"/>
    <col min="14594" max="14594" width="6.77734375" style="56" customWidth="1"/>
    <col min="14595" max="14595" width="6.44140625" style="56" customWidth="1"/>
    <col min="14596" max="14596" width="8.21875" style="56" customWidth="1"/>
    <col min="14597" max="14597" width="6.77734375" style="56" customWidth="1"/>
    <col min="14598" max="14598" width="4.77734375" style="56" customWidth="1"/>
    <col min="14599" max="14600" width="5" style="56" customWidth="1"/>
    <col min="14601" max="14601" width="8.77734375" style="56"/>
    <col min="14602" max="14602" width="10.5546875" style="56" customWidth="1"/>
    <col min="14603" max="14603" width="3.77734375" style="56" customWidth="1"/>
    <col min="14604" max="14605" width="8.77734375" style="56"/>
    <col min="14606" max="14606" width="3.77734375" style="56" customWidth="1"/>
    <col min="14607" max="14846" width="8.77734375" style="56"/>
    <col min="14847" max="14847" width="24.77734375" style="56" customWidth="1"/>
    <col min="14848" max="14848" width="13.5546875" style="56" customWidth="1"/>
    <col min="14849" max="14849" width="8.77734375" style="56"/>
    <col min="14850" max="14850" width="6.77734375" style="56" customWidth="1"/>
    <col min="14851" max="14851" width="6.44140625" style="56" customWidth="1"/>
    <col min="14852" max="14852" width="8.21875" style="56" customWidth="1"/>
    <col min="14853" max="14853" width="6.77734375" style="56" customWidth="1"/>
    <col min="14854" max="14854" width="4.77734375" style="56" customWidth="1"/>
    <col min="14855" max="14856" width="5" style="56" customWidth="1"/>
    <col min="14857" max="14857" width="8.77734375" style="56"/>
    <col min="14858" max="14858" width="10.5546875" style="56" customWidth="1"/>
    <col min="14859" max="14859" width="3.77734375" style="56" customWidth="1"/>
    <col min="14860" max="14861" width="8.77734375" style="56"/>
    <col min="14862" max="14862" width="3.77734375" style="56" customWidth="1"/>
    <col min="14863" max="15102" width="8.77734375" style="56"/>
    <col min="15103" max="15103" width="24.77734375" style="56" customWidth="1"/>
    <col min="15104" max="15104" width="13.5546875" style="56" customWidth="1"/>
    <col min="15105" max="15105" width="8.77734375" style="56"/>
    <col min="15106" max="15106" width="6.77734375" style="56" customWidth="1"/>
    <col min="15107" max="15107" width="6.44140625" style="56" customWidth="1"/>
    <col min="15108" max="15108" width="8.21875" style="56" customWidth="1"/>
    <col min="15109" max="15109" width="6.77734375" style="56" customWidth="1"/>
    <col min="15110" max="15110" width="4.77734375" style="56" customWidth="1"/>
    <col min="15111" max="15112" width="5" style="56" customWidth="1"/>
    <col min="15113" max="15113" width="8.77734375" style="56"/>
    <col min="15114" max="15114" width="10.5546875" style="56" customWidth="1"/>
    <col min="15115" max="15115" width="3.77734375" style="56" customWidth="1"/>
    <col min="15116" max="15117" width="8.77734375" style="56"/>
    <col min="15118" max="15118" width="3.77734375" style="56" customWidth="1"/>
    <col min="15119" max="15358" width="8.77734375" style="56"/>
    <col min="15359" max="15359" width="24.77734375" style="56" customWidth="1"/>
    <col min="15360" max="15360" width="13.5546875" style="56" customWidth="1"/>
    <col min="15361" max="15361" width="8.77734375" style="56"/>
    <col min="15362" max="15362" width="6.77734375" style="56" customWidth="1"/>
    <col min="15363" max="15363" width="6.44140625" style="56" customWidth="1"/>
    <col min="15364" max="15364" width="8.21875" style="56" customWidth="1"/>
    <col min="15365" max="15365" width="6.77734375" style="56" customWidth="1"/>
    <col min="15366" max="15366" width="4.77734375" style="56" customWidth="1"/>
    <col min="15367" max="15368" width="5" style="56" customWidth="1"/>
    <col min="15369" max="15369" width="8.77734375" style="56"/>
    <col min="15370" max="15370" width="10.5546875" style="56" customWidth="1"/>
    <col min="15371" max="15371" width="3.77734375" style="56" customWidth="1"/>
    <col min="15372" max="15373" width="8.77734375" style="56"/>
    <col min="15374" max="15374" width="3.77734375" style="56" customWidth="1"/>
    <col min="15375" max="15614" width="8.77734375" style="56"/>
    <col min="15615" max="15615" width="24.77734375" style="56" customWidth="1"/>
    <col min="15616" max="15616" width="13.5546875" style="56" customWidth="1"/>
    <col min="15617" max="15617" width="8.77734375" style="56"/>
    <col min="15618" max="15618" width="6.77734375" style="56" customWidth="1"/>
    <col min="15619" max="15619" width="6.44140625" style="56" customWidth="1"/>
    <col min="15620" max="15620" width="8.21875" style="56" customWidth="1"/>
    <col min="15621" max="15621" width="6.77734375" style="56" customWidth="1"/>
    <col min="15622" max="15622" width="4.77734375" style="56" customWidth="1"/>
    <col min="15623" max="15624" width="5" style="56" customWidth="1"/>
    <col min="15625" max="15625" width="8.77734375" style="56"/>
    <col min="15626" max="15626" width="10.5546875" style="56" customWidth="1"/>
    <col min="15627" max="15627" width="3.77734375" style="56" customWidth="1"/>
    <col min="15628" max="15629" width="8.77734375" style="56"/>
    <col min="15630" max="15630" width="3.77734375" style="56" customWidth="1"/>
    <col min="15631" max="15870" width="8.77734375" style="56"/>
    <col min="15871" max="15871" width="24.77734375" style="56" customWidth="1"/>
    <col min="15872" max="15872" width="13.5546875" style="56" customWidth="1"/>
    <col min="15873" max="15873" width="8.77734375" style="56"/>
    <col min="15874" max="15874" width="6.77734375" style="56" customWidth="1"/>
    <col min="15875" max="15875" width="6.44140625" style="56" customWidth="1"/>
    <col min="15876" max="15876" width="8.21875" style="56" customWidth="1"/>
    <col min="15877" max="15877" width="6.77734375" style="56" customWidth="1"/>
    <col min="15878" max="15878" width="4.77734375" style="56" customWidth="1"/>
    <col min="15879" max="15880" width="5" style="56" customWidth="1"/>
    <col min="15881" max="15881" width="8.77734375" style="56"/>
    <col min="15882" max="15882" width="10.5546875" style="56" customWidth="1"/>
    <col min="15883" max="15883" width="3.77734375" style="56" customWidth="1"/>
    <col min="15884" max="15885" width="8.77734375" style="56"/>
    <col min="15886" max="15886" width="3.77734375" style="56" customWidth="1"/>
    <col min="15887" max="16126" width="8.77734375" style="56"/>
    <col min="16127" max="16127" width="24.77734375" style="56" customWidth="1"/>
    <col min="16128" max="16128" width="13.5546875" style="56" customWidth="1"/>
    <col min="16129" max="16129" width="8.77734375" style="56"/>
    <col min="16130" max="16130" width="6.77734375" style="56" customWidth="1"/>
    <col min="16131" max="16131" width="6.44140625" style="56" customWidth="1"/>
    <col min="16132" max="16132" width="8.21875" style="56" customWidth="1"/>
    <col min="16133" max="16133" width="6.77734375" style="56" customWidth="1"/>
    <col min="16134" max="16134" width="4.77734375" style="56" customWidth="1"/>
    <col min="16135" max="16136" width="5" style="56" customWidth="1"/>
    <col min="16137" max="16137" width="8.77734375" style="56"/>
    <col min="16138" max="16138" width="10.5546875" style="56" customWidth="1"/>
    <col min="16139" max="16139" width="3.77734375" style="56" customWidth="1"/>
    <col min="16140" max="16141" width="8.77734375" style="56"/>
    <col min="16142" max="16142" width="3.77734375" style="56" customWidth="1"/>
    <col min="16143" max="16384" width="8.77734375" style="56"/>
  </cols>
  <sheetData>
    <row r="1" spans="1:41" s="1" customFormat="1" ht="129.6" x14ac:dyDescent="0.3">
      <c r="A1" s="1" t="s">
        <v>0</v>
      </c>
      <c r="B1" s="73" t="s">
        <v>62</v>
      </c>
      <c r="C1" s="2" t="s">
        <v>1</v>
      </c>
      <c r="D1" s="2" t="s">
        <v>63</v>
      </c>
      <c r="E1" s="7" t="s">
        <v>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7" t="s">
        <v>71</v>
      </c>
      <c r="N1" s="1" t="s">
        <v>3</v>
      </c>
      <c r="O1" s="1" t="s">
        <v>241</v>
      </c>
      <c r="P1" s="3" t="s">
        <v>4</v>
      </c>
      <c r="Q1" s="3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242</v>
      </c>
      <c r="W1" s="1" t="s">
        <v>243</v>
      </c>
      <c r="X1" s="4" t="s">
        <v>80</v>
      </c>
      <c r="Y1" s="74" t="s">
        <v>81</v>
      </c>
      <c r="Z1" s="74" t="s">
        <v>82</v>
      </c>
      <c r="AA1" s="5" t="s">
        <v>83</v>
      </c>
      <c r="AB1" s="1" t="s">
        <v>84</v>
      </c>
      <c r="AC1" s="1" t="s">
        <v>85</v>
      </c>
      <c r="AD1" s="1" t="s">
        <v>244</v>
      </c>
      <c r="AE1" s="2" t="s">
        <v>245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246</v>
      </c>
      <c r="AO1" s="1" t="s">
        <v>247</v>
      </c>
    </row>
    <row r="2" spans="1:41" s="1" customFormat="1" ht="14.4" x14ac:dyDescent="0.3">
      <c r="A2" s="6">
        <v>42545</v>
      </c>
      <c r="B2" s="73">
        <v>9</v>
      </c>
      <c r="C2" s="2">
        <v>22.1</v>
      </c>
      <c r="D2" s="2">
        <v>30.1</v>
      </c>
      <c r="E2" s="7" t="s">
        <v>248</v>
      </c>
      <c r="F2"/>
      <c r="G2">
        <v>1000</v>
      </c>
      <c r="H2" s="1">
        <v>14.2</v>
      </c>
      <c r="K2" s="1">
        <v>3.95</v>
      </c>
      <c r="L2" s="1">
        <v>1</v>
      </c>
      <c r="M2" s="7"/>
      <c r="N2" s="2">
        <f t="shared" ref="N2:N5" si="0">C2</f>
        <v>22.1</v>
      </c>
      <c r="O2" s="8">
        <f t="shared" ref="O2:O5" si="1">0.001316*((D2*25.4)-(2.5*2053/100))</f>
        <v>0.93859093999999976</v>
      </c>
      <c r="P2" s="9">
        <f t="shared" ref="P2:P5" si="2">(O2*(G2/1000000))/(0.08205*(N2+273.15))</f>
        <v>3.874430421548579E-5</v>
      </c>
      <c r="Q2" s="9"/>
      <c r="R2"/>
      <c r="S2"/>
      <c r="T2"/>
      <c r="U2"/>
      <c r="V2"/>
      <c r="W2"/>
      <c r="X2">
        <f>IF(H2&lt;100,(0.000099*H2)-0.000104,(IF(H2&lt;15000,((0.000101*H2)+0.010653),((0.000118*H2)-0.170562))))</f>
        <v>1.3017999999999999E-3</v>
      </c>
      <c r="Y2" s="75">
        <f>IF(K2&lt;0.7,"BD",(IF(K2&lt;10,(-0.009*K2^2)+(0.0957*K2)-0.0237,(0.071971*K2)+0.591237)))</f>
        <v>0.21389249999999999</v>
      </c>
      <c r="Z2" s="25">
        <f t="shared" ref="Z2:Z65" si="3">X2*1000000/G2</f>
        <v>1.3017999999999998</v>
      </c>
      <c r="AA2" s="25">
        <f t="shared" ref="AA2:AA65" si="4">Y2*1000000/G2</f>
        <v>213.89249999999998</v>
      </c>
      <c r="AB2" s="13">
        <f t="shared" ref="AB2:AB65" si="5">(X2/12.011)/P2</f>
        <v>2.7974171570516564</v>
      </c>
      <c r="AC2" s="27">
        <f t="shared" ref="AC2:AC65" si="6">(Y2/12.011)/P2</f>
        <v>459.63016535924987</v>
      </c>
      <c r="AD2" s="13"/>
      <c r="AE2" s="13"/>
      <c r="AN2" s="1">
        <v>1</v>
      </c>
      <c r="AO2" s="1">
        <v>1</v>
      </c>
    </row>
    <row r="3" spans="1:41" s="1" customFormat="1" ht="14.4" x14ac:dyDescent="0.3">
      <c r="A3" s="6">
        <v>42545</v>
      </c>
      <c r="B3" s="73">
        <v>10</v>
      </c>
      <c r="C3" s="2">
        <v>22.1</v>
      </c>
      <c r="D3" s="2">
        <v>30.1</v>
      </c>
      <c r="E3" s="7" t="s">
        <v>248</v>
      </c>
      <c r="F3"/>
      <c r="G3">
        <v>1000</v>
      </c>
      <c r="H3" s="1">
        <v>13.47</v>
      </c>
      <c r="K3" s="1">
        <v>3.7</v>
      </c>
      <c r="L3" s="1">
        <v>1</v>
      </c>
      <c r="M3" s="7"/>
      <c r="N3" s="2">
        <f t="shared" si="0"/>
        <v>22.1</v>
      </c>
      <c r="O3" s="8">
        <f t="shared" si="1"/>
        <v>0.93859093999999976</v>
      </c>
      <c r="P3" s="9">
        <f t="shared" si="2"/>
        <v>3.874430421548579E-5</v>
      </c>
      <c r="Q3" s="9"/>
      <c r="R3"/>
      <c r="S3"/>
      <c r="T3"/>
      <c r="U3"/>
      <c r="V3"/>
      <c r="W3"/>
      <c r="X3">
        <f t="shared" ref="X3:X61" si="7">IF(H3&lt;100,(0.000099*H3)-0.000104,(IF(H3&lt;15000,((0.000101*H3)+0.010653),((0.000118*H3)-0.170562))))</f>
        <v>1.2295300000000002E-3</v>
      </c>
      <c r="Y3" s="75">
        <f>IF(K3&lt;0.7,"BD",(IF(K3&lt;10,(-0.009*K3^2)+(0.0957*K3)-0.0237,(0.071971*K3)+0.591237)))</f>
        <v>0.20718000000000003</v>
      </c>
      <c r="Z3" s="25">
        <f t="shared" si="3"/>
        <v>1.2295300000000002</v>
      </c>
      <c r="AA3" s="25">
        <f t="shared" si="4"/>
        <v>207.18000000000004</v>
      </c>
      <c r="AB3" s="13">
        <f t="shared" si="5"/>
        <v>2.6421173122674175</v>
      </c>
      <c r="AC3" s="27">
        <f t="shared" si="6"/>
        <v>445.20578168532984</v>
      </c>
      <c r="AD3" s="13"/>
      <c r="AE3" s="13"/>
      <c r="AN3" s="1">
        <v>2</v>
      </c>
      <c r="AO3" s="1">
        <v>1</v>
      </c>
    </row>
    <row r="4" spans="1:41" s="1" customFormat="1" ht="14.4" x14ac:dyDescent="0.3">
      <c r="A4" s="6">
        <v>42545</v>
      </c>
      <c r="B4" s="73">
        <v>11</v>
      </c>
      <c r="C4" s="2">
        <v>22.1</v>
      </c>
      <c r="D4" s="2">
        <v>30.1</v>
      </c>
      <c r="E4" s="7" t="s">
        <v>248</v>
      </c>
      <c r="F4"/>
      <c r="G4">
        <v>1000</v>
      </c>
      <c r="H4" s="1">
        <v>13.31</v>
      </c>
      <c r="K4" s="1">
        <v>3.86</v>
      </c>
      <c r="L4" s="1">
        <v>1</v>
      </c>
      <c r="M4" s="7"/>
      <c r="N4" s="2">
        <f t="shared" si="0"/>
        <v>22.1</v>
      </c>
      <c r="O4" s="8">
        <f t="shared" si="1"/>
        <v>0.93859093999999976</v>
      </c>
      <c r="P4" s="9">
        <f t="shared" si="2"/>
        <v>3.874430421548579E-5</v>
      </c>
      <c r="Q4" s="9"/>
      <c r="R4"/>
      <c r="S4"/>
      <c r="T4"/>
      <c r="U4"/>
      <c r="V4"/>
      <c r="W4"/>
      <c r="X4">
        <f t="shared" si="7"/>
        <v>1.2136900000000001E-3</v>
      </c>
      <c r="Y4" s="75">
        <f t="shared" ref="Y4:Y61" si="8">IF(K4&lt;0.7,"BD",(IF(K4&lt;10,(-0.009*K4^2)+(0.0957*K4)-0.0237,(0.071971*K4)+0.591237)))</f>
        <v>0.21160559999999998</v>
      </c>
      <c r="Z4" s="25">
        <f t="shared" si="3"/>
        <v>1.2136900000000002</v>
      </c>
      <c r="AA4" s="25">
        <f t="shared" si="4"/>
        <v>211.60559999999998</v>
      </c>
      <c r="AB4" s="13">
        <f t="shared" si="5"/>
        <v>2.6080789901229267</v>
      </c>
      <c r="AC4" s="27">
        <f t="shared" si="6"/>
        <v>454.71588259963897</v>
      </c>
      <c r="AD4" s="13"/>
      <c r="AE4" s="13"/>
      <c r="AN4" s="1">
        <v>3</v>
      </c>
      <c r="AO4" s="1">
        <v>1</v>
      </c>
    </row>
    <row r="5" spans="1:41" customFormat="1" ht="14.4" x14ac:dyDescent="0.3">
      <c r="A5" s="6">
        <v>42545</v>
      </c>
      <c r="B5" s="73">
        <v>36</v>
      </c>
      <c r="C5" s="2">
        <v>22.1</v>
      </c>
      <c r="D5" s="2">
        <v>30.1</v>
      </c>
      <c r="E5" s="7" t="s">
        <v>248</v>
      </c>
      <c r="G5">
        <v>1000</v>
      </c>
      <c r="H5" s="1">
        <v>13.84</v>
      </c>
      <c r="I5" s="1"/>
      <c r="J5" s="1"/>
      <c r="K5" s="1">
        <v>3.84</v>
      </c>
      <c r="L5" s="1">
        <v>1</v>
      </c>
      <c r="M5" s="7"/>
      <c r="N5" s="2">
        <f t="shared" si="0"/>
        <v>22.1</v>
      </c>
      <c r="O5" s="8">
        <f t="shared" si="1"/>
        <v>0.93859093999999976</v>
      </c>
      <c r="P5" s="9">
        <f t="shared" si="2"/>
        <v>3.874430421548579E-5</v>
      </c>
      <c r="Q5" s="9"/>
      <c r="X5">
        <f t="shared" si="7"/>
        <v>1.2661599999999999E-3</v>
      </c>
      <c r="Y5" s="75">
        <f t="shared" si="8"/>
        <v>0.2110776</v>
      </c>
      <c r="Z5" s="25">
        <f t="shared" si="3"/>
        <v>1.26616</v>
      </c>
      <c r="AA5" s="25">
        <f t="shared" si="4"/>
        <v>211.07760000000002</v>
      </c>
      <c r="AB5" s="13">
        <f t="shared" si="5"/>
        <v>2.7208309322265518</v>
      </c>
      <c r="AC5" s="27">
        <f t="shared" si="6"/>
        <v>453.58127186148931</v>
      </c>
      <c r="AD5" s="13"/>
      <c r="AE5" s="13"/>
      <c r="AF5" s="1"/>
      <c r="AG5" s="1"/>
      <c r="AN5" s="1">
        <v>4</v>
      </c>
      <c r="AO5" s="1">
        <v>1</v>
      </c>
    </row>
    <row r="6" spans="1:41" s="1" customFormat="1" ht="14.4" x14ac:dyDescent="0.3">
      <c r="A6" s="6">
        <v>42548</v>
      </c>
      <c r="B6" s="73">
        <v>38</v>
      </c>
      <c r="C6" s="2">
        <v>20.3</v>
      </c>
      <c r="D6" s="2">
        <v>30.18</v>
      </c>
      <c r="E6" s="7" t="s">
        <v>248</v>
      </c>
      <c r="F6"/>
      <c r="G6">
        <v>1000</v>
      </c>
      <c r="H6" s="1">
        <v>15.01</v>
      </c>
      <c r="K6" s="1">
        <v>3.5</v>
      </c>
      <c r="L6" s="1">
        <v>1</v>
      </c>
      <c r="M6" s="7"/>
      <c r="N6" s="2">
        <f>C6</f>
        <v>20.3</v>
      </c>
      <c r="O6" s="8">
        <f>0.001316*((D6*25.4)-(2.5*2053/100))</f>
        <v>0.94126505199999988</v>
      </c>
      <c r="P6" s="9">
        <f>(O6*(G6/1000000))/(0.08205*(N6+273.15))</f>
        <v>3.9093021192231902E-5</v>
      </c>
      <c r="Q6" s="9"/>
      <c r="R6"/>
      <c r="S6"/>
      <c r="T6"/>
      <c r="U6"/>
      <c r="V6"/>
      <c r="W6"/>
      <c r="X6">
        <f t="shared" si="7"/>
        <v>1.38199E-3</v>
      </c>
      <c r="Y6" s="75">
        <f t="shared" si="8"/>
        <v>0.20099999999999998</v>
      </c>
      <c r="Z6" s="25">
        <f t="shared" si="3"/>
        <v>1.3819900000000001</v>
      </c>
      <c r="AA6" s="25">
        <f t="shared" si="4"/>
        <v>200.99999999999997</v>
      </c>
      <c r="AB6" s="13">
        <f t="shared" si="5"/>
        <v>2.9432455672754694</v>
      </c>
      <c r="AC6" s="27">
        <f t="shared" si="6"/>
        <v>428.07282181663345</v>
      </c>
      <c r="AD6" s="13"/>
      <c r="AE6" s="13"/>
      <c r="AN6" s="1">
        <v>5</v>
      </c>
      <c r="AO6" s="1">
        <v>1</v>
      </c>
    </row>
    <row r="7" spans="1:41" s="1" customFormat="1" ht="14.4" x14ac:dyDescent="0.3">
      <c r="A7" s="6">
        <v>42548</v>
      </c>
      <c r="B7" s="73">
        <v>39</v>
      </c>
      <c r="C7" s="2">
        <v>20.3</v>
      </c>
      <c r="D7" s="2">
        <v>30.18</v>
      </c>
      <c r="E7" s="7" t="s">
        <v>248</v>
      </c>
      <c r="F7"/>
      <c r="G7">
        <v>1000</v>
      </c>
      <c r="H7" s="1">
        <v>13.98</v>
      </c>
      <c r="K7" s="1">
        <v>4.38</v>
      </c>
      <c r="L7" s="1">
        <v>1</v>
      </c>
      <c r="M7" s="7"/>
      <c r="N7" s="2">
        <f t="shared" ref="N7:N8" si="9">C7</f>
        <v>20.3</v>
      </c>
      <c r="O7" s="8">
        <f t="shared" ref="O7:O8" si="10">0.001316*((D7*25.4)-(2.5*2053/100))</f>
        <v>0.94126505199999988</v>
      </c>
      <c r="P7" s="9">
        <f t="shared" ref="P7:P8" si="11">(O7*(G7/1000000))/(0.08205*(N7+273.15))</f>
        <v>3.9093021192231902E-5</v>
      </c>
      <c r="Q7" s="9"/>
      <c r="R7"/>
      <c r="S7"/>
      <c r="T7"/>
      <c r="U7"/>
      <c r="V7"/>
      <c r="W7"/>
      <c r="X7">
        <f t="shared" si="7"/>
        <v>1.28002E-3</v>
      </c>
      <c r="Y7" s="75">
        <f t="shared" si="8"/>
        <v>0.22280639999999999</v>
      </c>
      <c r="Z7" s="25">
        <f t="shared" si="3"/>
        <v>1.2800199999999999</v>
      </c>
      <c r="AA7" s="25">
        <f t="shared" si="4"/>
        <v>222.8064</v>
      </c>
      <c r="AB7" s="13">
        <f t="shared" si="5"/>
        <v>2.7260784745359561</v>
      </c>
      <c r="AC7" s="27">
        <f t="shared" si="6"/>
        <v>474.51425058112216</v>
      </c>
      <c r="AD7" s="13"/>
      <c r="AE7" s="13"/>
      <c r="AN7" s="1">
        <v>6</v>
      </c>
      <c r="AO7" s="1">
        <v>1</v>
      </c>
    </row>
    <row r="8" spans="1:41" s="1" customFormat="1" ht="14.4" x14ac:dyDescent="0.3">
      <c r="A8" s="6">
        <v>42548</v>
      </c>
      <c r="B8" s="73">
        <v>40</v>
      </c>
      <c r="C8" s="2">
        <v>20.3</v>
      </c>
      <c r="D8" s="2">
        <v>30.18</v>
      </c>
      <c r="E8" s="7" t="s">
        <v>248</v>
      </c>
      <c r="F8"/>
      <c r="G8">
        <v>1000</v>
      </c>
      <c r="H8" s="1">
        <v>17.38</v>
      </c>
      <c r="K8" s="1">
        <v>5.32</v>
      </c>
      <c r="L8" s="1">
        <v>1</v>
      </c>
      <c r="M8" s="7"/>
      <c r="N8" s="2">
        <f t="shared" si="9"/>
        <v>20.3</v>
      </c>
      <c r="O8" s="8">
        <f t="shared" si="10"/>
        <v>0.94126505199999988</v>
      </c>
      <c r="P8" s="9">
        <f t="shared" si="11"/>
        <v>3.9093021192231902E-5</v>
      </c>
      <c r="Q8" s="9"/>
      <c r="R8"/>
      <c r="S8"/>
      <c r="T8"/>
      <c r="U8"/>
      <c r="V8"/>
      <c r="W8"/>
      <c r="X8">
        <f t="shared" si="7"/>
        <v>1.6166199999999998E-3</v>
      </c>
      <c r="Y8" s="75">
        <f t="shared" si="8"/>
        <v>0.23070240000000003</v>
      </c>
      <c r="Z8" s="25">
        <f t="shared" si="3"/>
        <v>1.6166199999999999</v>
      </c>
      <c r="AA8" s="25">
        <f t="shared" si="4"/>
        <v>230.70240000000001</v>
      </c>
      <c r="AB8" s="13">
        <f t="shared" si="5"/>
        <v>3.4429407224139599</v>
      </c>
      <c r="AC8" s="27">
        <f t="shared" si="6"/>
        <v>491.33048441726226</v>
      </c>
      <c r="AD8" s="13"/>
      <c r="AE8" s="13"/>
      <c r="AN8" s="1">
        <v>7</v>
      </c>
      <c r="AO8" s="1">
        <v>1</v>
      </c>
    </row>
    <row r="9" spans="1:41" s="1" customFormat="1" ht="14.4" x14ac:dyDescent="0.3">
      <c r="A9" s="6">
        <v>42549</v>
      </c>
      <c r="B9" s="73">
        <v>88</v>
      </c>
      <c r="C9" s="2">
        <v>20.12</v>
      </c>
      <c r="D9" s="2">
        <v>30.12</v>
      </c>
      <c r="E9" s="7" t="s">
        <v>248</v>
      </c>
      <c r="F9"/>
      <c r="G9">
        <v>1000</v>
      </c>
      <c r="H9" s="1">
        <v>14.13</v>
      </c>
      <c r="K9" s="1">
        <v>4.2300000000000004</v>
      </c>
      <c r="L9" s="1">
        <v>1</v>
      </c>
      <c r="M9" s="7"/>
      <c r="N9" s="2">
        <f>C9</f>
        <v>20.12</v>
      </c>
      <c r="O9" s="8">
        <f>0.001316*((D9*25.4)-(2.5*2053/100))</f>
        <v>0.93925946799999982</v>
      </c>
      <c r="P9" s="9">
        <f>(O9*(G9/1000000))/(0.08205*(N9+273.15))</f>
        <v>3.9033667377951199E-5</v>
      </c>
      <c r="Q9" s="9"/>
      <c r="R9"/>
      <c r="S9"/>
      <c r="T9"/>
      <c r="U9"/>
      <c r="V9"/>
      <c r="W9"/>
      <c r="X9">
        <f t="shared" si="7"/>
        <v>1.29487E-3</v>
      </c>
      <c r="Y9" s="75">
        <f t="shared" si="8"/>
        <v>0.22007490000000002</v>
      </c>
      <c r="Z9" s="25">
        <f t="shared" si="3"/>
        <v>1.2948700000000002</v>
      </c>
      <c r="AA9" s="25">
        <f t="shared" si="4"/>
        <v>220.07490000000001</v>
      </c>
      <c r="AB9" s="13">
        <f t="shared" si="5"/>
        <v>2.7618980608906178</v>
      </c>
      <c r="AC9" s="27">
        <f t="shared" si="6"/>
        <v>469.40962379288788</v>
      </c>
      <c r="AD9" s="13"/>
      <c r="AE9" s="13"/>
      <c r="AN9" s="1">
        <v>8</v>
      </c>
      <c r="AO9" s="1">
        <v>1</v>
      </c>
    </row>
    <row r="10" spans="1:41" s="1" customFormat="1" ht="14.4" x14ac:dyDescent="0.3">
      <c r="A10" s="6">
        <v>42549</v>
      </c>
      <c r="B10" s="73">
        <v>89</v>
      </c>
      <c r="C10" s="2">
        <v>20.12</v>
      </c>
      <c r="D10" s="2">
        <v>30.12</v>
      </c>
      <c r="E10" s="7" t="s">
        <v>248</v>
      </c>
      <c r="F10"/>
      <c r="G10">
        <v>1000</v>
      </c>
      <c r="H10" s="1">
        <v>13.26</v>
      </c>
      <c r="K10" s="1">
        <v>3.49</v>
      </c>
      <c r="L10" s="1">
        <v>1</v>
      </c>
      <c r="M10" s="7"/>
      <c r="N10" s="2">
        <f t="shared" ref="N10:N12" si="12">C10</f>
        <v>20.12</v>
      </c>
      <c r="O10" s="8">
        <f t="shared" ref="O10:O12" si="13">0.001316*((D10*25.4)-(2.5*2053/100))</f>
        <v>0.93925946799999982</v>
      </c>
      <c r="P10" s="9">
        <f t="shared" ref="P10:P12" si="14">(O10*(G10/1000000))/(0.08205*(N10+273.15))</f>
        <v>3.9033667377951199E-5</v>
      </c>
      <c r="Q10" s="9"/>
      <c r="R10"/>
      <c r="S10"/>
      <c r="T10"/>
      <c r="U10"/>
      <c r="V10"/>
      <c r="W10"/>
      <c r="X10">
        <f t="shared" si="7"/>
        <v>1.20874E-3</v>
      </c>
      <c r="Y10" s="75">
        <f t="shared" si="8"/>
        <v>0.20067209999999996</v>
      </c>
      <c r="Z10" s="25">
        <f t="shared" si="3"/>
        <v>1.2087399999999999</v>
      </c>
      <c r="AA10" s="25">
        <f t="shared" si="4"/>
        <v>200.67209999999997</v>
      </c>
      <c r="AB10" s="13">
        <f t="shared" si="5"/>
        <v>2.5781867385304511</v>
      </c>
      <c r="AC10" s="27">
        <f t="shared" si="6"/>
        <v>428.02434519669782</v>
      </c>
      <c r="AD10" s="13"/>
      <c r="AE10" s="13"/>
      <c r="AN10" s="1">
        <v>9</v>
      </c>
      <c r="AO10" s="1">
        <v>1</v>
      </c>
    </row>
    <row r="11" spans="1:41" s="1" customFormat="1" ht="14.4" x14ac:dyDescent="0.3">
      <c r="A11" s="6">
        <v>42549</v>
      </c>
      <c r="B11" s="73">
        <v>90</v>
      </c>
      <c r="C11" s="2">
        <v>20.12</v>
      </c>
      <c r="D11" s="2">
        <v>30.12</v>
      </c>
      <c r="E11" s="7" t="s">
        <v>248</v>
      </c>
      <c r="F11"/>
      <c r="G11">
        <v>1000</v>
      </c>
      <c r="H11" s="1">
        <v>14.76</v>
      </c>
      <c r="K11" s="1">
        <v>6.43</v>
      </c>
      <c r="L11" s="1">
        <v>1</v>
      </c>
      <c r="M11" s="7"/>
      <c r="N11" s="2">
        <f t="shared" si="12"/>
        <v>20.12</v>
      </c>
      <c r="O11" s="8">
        <f t="shared" si="13"/>
        <v>0.93925946799999982</v>
      </c>
      <c r="P11" s="9">
        <f t="shared" si="14"/>
        <v>3.9033667377951199E-5</v>
      </c>
      <c r="Q11" s="9"/>
      <c r="R11"/>
      <c r="S11"/>
      <c r="T11"/>
      <c r="U11"/>
      <c r="V11"/>
      <c r="W11"/>
      <c r="X11">
        <f t="shared" si="7"/>
        <v>1.35724E-3</v>
      </c>
      <c r="Y11" s="75">
        <f t="shared" si="8"/>
        <v>0.21954690000000004</v>
      </c>
      <c r="Z11" s="25">
        <f t="shared" si="3"/>
        <v>1.35724</v>
      </c>
      <c r="AA11" s="25">
        <f t="shared" si="4"/>
        <v>219.54690000000005</v>
      </c>
      <c r="AB11" s="13">
        <f t="shared" si="5"/>
        <v>2.8949303977721175</v>
      </c>
      <c r="AC11" s="27">
        <f t="shared" si="6"/>
        <v>468.28342411558418</v>
      </c>
      <c r="AD11" s="13"/>
      <c r="AE11" s="13"/>
      <c r="AN11" s="1">
        <v>10</v>
      </c>
      <c r="AO11" s="1">
        <v>1</v>
      </c>
    </row>
    <row r="12" spans="1:41" customFormat="1" ht="14.4" x14ac:dyDescent="0.3">
      <c r="A12" s="6">
        <v>42549</v>
      </c>
      <c r="B12" s="73">
        <v>116</v>
      </c>
      <c r="C12" s="2">
        <v>20.12</v>
      </c>
      <c r="D12" s="2">
        <v>30.12</v>
      </c>
      <c r="E12" s="7" t="s">
        <v>248</v>
      </c>
      <c r="G12" s="7">
        <v>1000</v>
      </c>
      <c r="H12" s="1">
        <v>12.44</v>
      </c>
      <c r="I12" s="1"/>
      <c r="J12" s="1"/>
      <c r="K12" s="1">
        <v>3.42</v>
      </c>
      <c r="L12" s="1">
        <v>1</v>
      </c>
      <c r="M12" s="7"/>
      <c r="N12" s="2">
        <f t="shared" si="12"/>
        <v>20.12</v>
      </c>
      <c r="O12" s="8">
        <f t="shared" si="13"/>
        <v>0.93925946799999982</v>
      </c>
      <c r="P12" s="9">
        <f t="shared" si="14"/>
        <v>3.9033667377951199E-5</v>
      </c>
      <c r="Q12" s="9"/>
      <c r="X12">
        <f t="shared" si="7"/>
        <v>1.1275599999999999E-3</v>
      </c>
      <c r="Y12" s="75">
        <f t="shared" si="8"/>
        <v>0.19832640000000001</v>
      </c>
      <c r="Z12" s="25">
        <f t="shared" si="3"/>
        <v>1.1275599999999999</v>
      </c>
      <c r="AA12" s="25">
        <f t="shared" si="4"/>
        <v>198.32640000000004</v>
      </c>
      <c r="AB12" s="13">
        <f t="shared" si="5"/>
        <v>2.4050335381450063</v>
      </c>
      <c r="AC12" s="27">
        <f t="shared" si="6"/>
        <v>423.02107515304004</v>
      </c>
      <c r="AD12" s="13"/>
      <c r="AE12" s="13"/>
      <c r="AG12" s="7"/>
      <c r="AN12" s="1">
        <v>11</v>
      </c>
      <c r="AO12" s="1">
        <v>1</v>
      </c>
    </row>
    <row r="13" spans="1:41" customFormat="1" ht="14.4" x14ac:dyDescent="0.3">
      <c r="A13" s="18">
        <v>42550</v>
      </c>
      <c r="B13" s="27">
        <v>127</v>
      </c>
      <c r="C13" s="13">
        <v>20</v>
      </c>
      <c r="D13" s="13">
        <v>30.08</v>
      </c>
      <c r="E13" t="s">
        <v>248</v>
      </c>
      <c r="G13">
        <v>1000</v>
      </c>
      <c r="H13" s="17">
        <v>13.67</v>
      </c>
      <c r="I13" s="12"/>
      <c r="J13" s="12"/>
      <c r="K13" s="17">
        <v>4.18</v>
      </c>
      <c r="L13" s="17">
        <v>1</v>
      </c>
      <c r="M13" s="17"/>
      <c r="N13">
        <v>20</v>
      </c>
      <c r="O13">
        <v>0.93792241199999982</v>
      </c>
      <c r="P13" s="9">
        <v>3.8994057674612359E-5</v>
      </c>
      <c r="Q13" s="9"/>
      <c r="X13">
        <f t="shared" si="7"/>
        <v>1.2493299999999999E-3</v>
      </c>
      <c r="Y13" s="75">
        <f t="shared" si="8"/>
        <v>0.21907439999999997</v>
      </c>
      <c r="Z13" s="25">
        <f t="shared" si="3"/>
        <v>1.2493299999999998</v>
      </c>
      <c r="AA13" s="25">
        <f t="shared" si="4"/>
        <v>219.07439999999997</v>
      </c>
      <c r="AB13" s="13">
        <f t="shared" si="5"/>
        <v>2.667470173856767</v>
      </c>
      <c r="AC13" s="27">
        <f t="shared" si="6"/>
        <v>467.7502564218957</v>
      </c>
      <c r="AD13" s="13"/>
      <c r="AE13" s="13"/>
      <c r="AK13" s="1"/>
      <c r="AL13" s="1"/>
      <c r="AM13" s="1"/>
      <c r="AN13" s="1">
        <v>12</v>
      </c>
      <c r="AO13" s="1">
        <v>1</v>
      </c>
    </row>
    <row r="14" spans="1:41" customFormat="1" ht="14.4" x14ac:dyDescent="0.3">
      <c r="A14" s="18">
        <v>42550</v>
      </c>
      <c r="B14" s="27">
        <v>128</v>
      </c>
      <c r="C14" s="13">
        <v>20</v>
      </c>
      <c r="D14" s="13">
        <v>30.08</v>
      </c>
      <c r="E14" t="s">
        <v>248</v>
      </c>
      <c r="G14">
        <v>1000</v>
      </c>
      <c r="H14" s="17">
        <v>15.4</v>
      </c>
      <c r="I14" s="12"/>
      <c r="J14" s="12"/>
      <c r="K14" s="17">
        <v>4.22</v>
      </c>
      <c r="L14" s="17">
        <v>1</v>
      </c>
      <c r="M14" s="17"/>
      <c r="N14">
        <v>20</v>
      </c>
      <c r="O14">
        <v>0.93792241199999982</v>
      </c>
      <c r="P14" s="9">
        <v>3.8994057674612359E-5</v>
      </c>
      <c r="Q14" s="9"/>
      <c r="X14">
        <f t="shared" si="7"/>
        <v>1.4205999999999999E-3</v>
      </c>
      <c r="Y14" s="75">
        <f t="shared" si="8"/>
        <v>0.21987839999999995</v>
      </c>
      <c r="Z14" s="25">
        <f t="shared" si="3"/>
        <v>1.4205999999999999</v>
      </c>
      <c r="AA14" s="25">
        <f t="shared" si="4"/>
        <v>219.87839999999994</v>
      </c>
      <c r="AB14" s="13">
        <f t="shared" si="5"/>
        <v>3.0331522728029614</v>
      </c>
      <c r="AC14" s="27">
        <f t="shared" si="6"/>
        <v>469.46689335511655</v>
      </c>
      <c r="AD14" s="13"/>
      <c r="AE14" s="13"/>
      <c r="AK14" s="1"/>
      <c r="AL14" s="1"/>
      <c r="AM14" s="1"/>
      <c r="AN14" s="1">
        <v>13</v>
      </c>
      <c r="AO14" s="1">
        <v>1</v>
      </c>
    </row>
    <row r="15" spans="1:41" customFormat="1" ht="14.4" x14ac:dyDescent="0.3">
      <c r="A15" s="18">
        <v>42550</v>
      </c>
      <c r="B15" s="27">
        <v>129</v>
      </c>
      <c r="C15" s="13">
        <v>20</v>
      </c>
      <c r="D15" s="13">
        <v>30.08</v>
      </c>
      <c r="E15" t="s">
        <v>248</v>
      </c>
      <c r="G15">
        <v>1000</v>
      </c>
      <c r="H15" s="17">
        <v>12.89</v>
      </c>
      <c r="I15" s="12"/>
      <c r="J15" s="12"/>
      <c r="K15" s="17">
        <v>4.32</v>
      </c>
      <c r="L15" s="17">
        <v>1</v>
      </c>
      <c r="M15" s="17"/>
      <c r="N15">
        <v>20</v>
      </c>
      <c r="O15">
        <v>0.93792241199999982</v>
      </c>
      <c r="P15" s="9">
        <v>3.8994057674612359E-5</v>
      </c>
      <c r="Q15" s="9"/>
      <c r="X15">
        <f t="shared" si="7"/>
        <v>1.1721100000000001E-3</v>
      </c>
      <c r="Y15" s="75">
        <f t="shared" si="8"/>
        <v>0.22176240000000003</v>
      </c>
      <c r="Z15" s="25">
        <f t="shared" si="3"/>
        <v>1.1721100000000002</v>
      </c>
      <c r="AA15" s="25">
        <f t="shared" si="4"/>
        <v>221.76240000000001</v>
      </c>
      <c r="AB15" s="13">
        <f t="shared" si="5"/>
        <v>2.50259616392727</v>
      </c>
      <c r="AC15" s="27">
        <f t="shared" si="6"/>
        <v>473.48946049714175</v>
      </c>
      <c r="AD15" s="13"/>
      <c r="AE15" s="13"/>
      <c r="AK15" s="1"/>
      <c r="AL15" s="1"/>
      <c r="AM15" s="1"/>
      <c r="AN15" s="1">
        <v>14</v>
      </c>
      <c r="AO15" s="1">
        <v>1</v>
      </c>
    </row>
    <row r="16" spans="1:41" s="1" customFormat="1" ht="14.4" x14ac:dyDescent="0.3">
      <c r="A16" s="6">
        <v>42550</v>
      </c>
      <c r="B16" s="73">
        <v>135</v>
      </c>
      <c r="C16" s="2">
        <v>20</v>
      </c>
      <c r="D16" s="2">
        <v>30.08</v>
      </c>
      <c r="E16" s="7" t="s">
        <v>248</v>
      </c>
      <c r="F16" s="7"/>
      <c r="G16" s="7">
        <v>1000</v>
      </c>
      <c r="H16" s="1">
        <v>16.39</v>
      </c>
      <c r="K16" s="1">
        <v>3.63</v>
      </c>
      <c r="L16" s="1">
        <v>1</v>
      </c>
      <c r="M16" s="7"/>
      <c r="N16" s="2">
        <f t="shared" ref="N16:N21" si="15">C16</f>
        <v>20</v>
      </c>
      <c r="O16" s="8">
        <f t="shared" ref="O16:O21" si="16">0.001316*((D16*25.4)-(2.5*2053/100))</f>
        <v>0.93792241199999982</v>
      </c>
      <c r="P16" s="9">
        <f t="shared" ref="P16:P21" si="17">(O16*(G16/1000000))/(0.08205*(N16+273.15))</f>
        <v>3.8994057674612359E-5</v>
      </c>
      <c r="Q16" s="9"/>
      <c r="R16"/>
      <c r="S16"/>
      <c r="T16"/>
      <c r="U16"/>
      <c r="V16"/>
      <c r="W16"/>
      <c r="X16">
        <f t="shared" si="7"/>
        <v>1.5186100000000001E-3</v>
      </c>
      <c r="Y16" s="75">
        <f t="shared" si="8"/>
        <v>0.20509889999999997</v>
      </c>
      <c r="Z16" s="25">
        <f t="shared" si="3"/>
        <v>1.5186100000000002</v>
      </c>
      <c r="AA16" s="25">
        <f t="shared" si="4"/>
        <v>205.09889999999996</v>
      </c>
      <c r="AB16" s="13">
        <f t="shared" si="5"/>
        <v>3.24241543925194</v>
      </c>
      <c r="AC16" s="27">
        <f t="shared" si="6"/>
        <v>437.91087898380073</v>
      </c>
      <c r="AD16" s="13"/>
      <c r="AE16" s="13"/>
      <c r="AN16" s="1">
        <v>15</v>
      </c>
      <c r="AO16" s="1">
        <v>1</v>
      </c>
    </row>
    <row r="17" spans="1:44" customFormat="1" ht="14.4" x14ac:dyDescent="0.3">
      <c r="A17" s="6">
        <v>42550</v>
      </c>
      <c r="B17" s="73">
        <v>164</v>
      </c>
      <c r="C17" s="2">
        <v>20</v>
      </c>
      <c r="D17" s="2">
        <v>30.08</v>
      </c>
      <c r="E17" s="7" t="s">
        <v>248</v>
      </c>
      <c r="G17" s="7">
        <v>1000</v>
      </c>
      <c r="H17" s="1">
        <v>17.309999999999999</v>
      </c>
      <c r="I17" s="1"/>
      <c r="J17" s="1"/>
      <c r="K17" s="1">
        <v>3.44</v>
      </c>
      <c r="L17" s="1">
        <v>1</v>
      </c>
      <c r="M17" s="7"/>
      <c r="N17" s="2">
        <f t="shared" si="15"/>
        <v>20</v>
      </c>
      <c r="O17" s="8">
        <f t="shared" si="16"/>
        <v>0.93792241199999982</v>
      </c>
      <c r="P17" s="9">
        <f t="shared" si="17"/>
        <v>3.8994057674612359E-5</v>
      </c>
      <c r="Q17" s="9"/>
      <c r="X17">
        <f t="shared" si="7"/>
        <v>1.6096899999999998E-3</v>
      </c>
      <c r="Y17" s="75">
        <f t="shared" si="8"/>
        <v>0.19900559999999995</v>
      </c>
      <c r="Z17" s="25">
        <f t="shared" si="3"/>
        <v>1.6096899999999998</v>
      </c>
      <c r="AA17" s="25">
        <f t="shared" si="4"/>
        <v>199.00559999999996</v>
      </c>
      <c r="AB17" s="13">
        <f t="shared" si="5"/>
        <v>3.4368822201944242</v>
      </c>
      <c r="AC17" s="27">
        <f t="shared" si="6"/>
        <v>424.90094885296133</v>
      </c>
      <c r="AD17" s="13"/>
      <c r="AE17" s="13"/>
      <c r="AG17" s="7"/>
      <c r="AN17" s="1">
        <v>16</v>
      </c>
      <c r="AO17" s="1">
        <v>1</v>
      </c>
    </row>
    <row r="18" spans="1:44" s="1" customFormat="1" ht="14.4" x14ac:dyDescent="0.3">
      <c r="A18" s="6">
        <v>42552</v>
      </c>
      <c r="B18" s="73">
        <v>173</v>
      </c>
      <c r="C18" s="2">
        <v>19.899999999999999</v>
      </c>
      <c r="D18" s="2">
        <v>30.09</v>
      </c>
      <c r="E18" s="7" t="s">
        <v>248</v>
      </c>
      <c r="F18"/>
      <c r="G18">
        <v>1000</v>
      </c>
      <c r="H18" s="1">
        <v>15.04</v>
      </c>
      <c r="K18" s="1">
        <v>3.72</v>
      </c>
      <c r="L18" s="1">
        <v>1</v>
      </c>
      <c r="M18" s="7"/>
      <c r="N18" s="2">
        <f t="shared" si="15"/>
        <v>19.899999999999999</v>
      </c>
      <c r="O18" s="8">
        <f t="shared" si="16"/>
        <v>0.93825667599999985</v>
      </c>
      <c r="P18" s="9">
        <f t="shared" si="17"/>
        <v>3.9021265700281178E-5</v>
      </c>
      <c r="Q18" s="9"/>
      <c r="R18"/>
      <c r="S18"/>
      <c r="T18"/>
      <c r="U18"/>
      <c r="V18"/>
      <c r="W18"/>
      <c r="X18">
        <f t="shared" si="7"/>
        <v>1.38496E-3</v>
      </c>
      <c r="Y18" s="75">
        <f t="shared" si="8"/>
        <v>0.20775839999999998</v>
      </c>
      <c r="Z18" s="25">
        <f t="shared" si="3"/>
        <v>1.38496</v>
      </c>
      <c r="AA18" s="25">
        <f t="shared" si="4"/>
        <v>207.75839999999999</v>
      </c>
      <c r="AB18" s="13">
        <f t="shared" si="5"/>
        <v>2.9549947342530696</v>
      </c>
      <c r="AC18" s="27">
        <f t="shared" si="6"/>
        <v>443.27993443626019</v>
      </c>
      <c r="AD18" s="13"/>
      <c r="AE18" s="13"/>
      <c r="AN18" s="1">
        <v>17</v>
      </c>
      <c r="AO18" s="1">
        <v>1</v>
      </c>
    </row>
    <row r="19" spans="1:44" s="1" customFormat="1" ht="14.4" x14ac:dyDescent="0.3">
      <c r="A19" s="6">
        <v>42552</v>
      </c>
      <c r="B19" s="73">
        <v>174</v>
      </c>
      <c r="C19" s="2">
        <v>19.899999999999999</v>
      </c>
      <c r="D19" s="2">
        <v>30.09</v>
      </c>
      <c r="E19" s="7" t="s">
        <v>248</v>
      </c>
      <c r="F19"/>
      <c r="G19">
        <v>1000</v>
      </c>
      <c r="H19" s="1">
        <v>20.88</v>
      </c>
      <c r="K19" s="1">
        <v>4.1900000000000004</v>
      </c>
      <c r="L19" s="1">
        <v>1</v>
      </c>
      <c r="M19" s="7"/>
      <c r="N19" s="2">
        <f t="shared" si="15"/>
        <v>19.899999999999999</v>
      </c>
      <c r="O19" s="8">
        <f t="shared" si="16"/>
        <v>0.93825667599999985</v>
      </c>
      <c r="P19" s="9">
        <f t="shared" si="17"/>
        <v>3.9021265700281178E-5</v>
      </c>
      <c r="Q19" s="9"/>
      <c r="R19"/>
      <c r="S19"/>
      <c r="T19"/>
      <c r="U19"/>
      <c r="V19"/>
      <c r="W19"/>
      <c r="X19">
        <f t="shared" si="7"/>
        <v>1.9631200000000001E-3</v>
      </c>
      <c r="Y19" s="75">
        <f t="shared" si="8"/>
        <v>0.2192781</v>
      </c>
      <c r="Z19" s="25">
        <f t="shared" si="3"/>
        <v>1.9631200000000002</v>
      </c>
      <c r="AA19" s="25">
        <f t="shared" si="4"/>
        <v>219.27809999999999</v>
      </c>
      <c r="AB19" s="13">
        <f t="shared" si="5"/>
        <v>4.188575310988683</v>
      </c>
      <c r="AC19" s="27">
        <f t="shared" si="6"/>
        <v>467.85873298652524</v>
      </c>
      <c r="AD19" s="13"/>
      <c r="AE19" s="13"/>
      <c r="AN19" s="1">
        <v>18</v>
      </c>
      <c r="AO19" s="1">
        <v>1</v>
      </c>
    </row>
    <row r="20" spans="1:44" s="1" customFormat="1" ht="14.4" x14ac:dyDescent="0.3">
      <c r="A20" s="6">
        <v>42552</v>
      </c>
      <c r="B20" s="73">
        <v>175</v>
      </c>
      <c r="C20" s="2">
        <v>19.899999999999999</v>
      </c>
      <c r="D20" s="2">
        <v>30.09</v>
      </c>
      <c r="E20" s="7" t="s">
        <v>248</v>
      </c>
      <c r="F20"/>
      <c r="G20">
        <v>1000</v>
      </c>
      <c r="H20" s="1">
        <v>22.21</v>
      </c>
      <c r="K20" s="1">
        <v>6.17</v>
      </c>
      <c r="L20" s="1">
        <v>1</v>
      </c>
      <c r="M20" s="7"/>
      <c r="N20" s="2">
        <f t="shared" si="15"/>
        <v>19.899999999999999</v>
      </c>
      <c r="O20" s="8">
        <f t="shared" si="16"/>
        <v>0.93825667599999985</v>
      </c>
      <c r="P20" s="9">
        <f t="shared" si="17"/>
        <v>3.9021265700281178E-5</v>
      </c>
      <c r="Q20" s="9"/>
      <c r="R20"/>
      <c r="S20"/>
      <c r="T20"/>
      <c r="U20"/>
      <c r="V20"/>
      <c r="W20"/>
      <c r="X20">
        <f t="shared" si="7"/>
        <v>2.09479E-3</v>
      </c>
      <c r="Y20" s="75">
        <f t="shared" si="8"/>
        <v>0.22414889999999993</v>
      </c>
      <c r="Z20" s="25">
        <f t="shared" si="3"/>
        <v>2.0947900000000002</v>
      </c>
      <c r="AA20" s="25">
        <f t="shared" si="4"/>
        <v>224.14889999999994</v>
      </c>
      <c r="AB20" s="13">
        <f t="shared" si="5"/>
        <v>4.4695106135671701</v>
      </c>
      <c r="AC20" s="27">
        <f t="shared" si="6"/>
        <v>478.25122688642102</v>
      </c>
      <c r="AD20" s="13"/>
      <c r="AE20" s="13"/>
      <c r="AN20" s="1">
        <v>19</v>
      </c>
      <c r="AO20" s="1">
        <v>1</v>
      </c>
    </row>
    <row r="21" spans="1:44" customFormat="1" ht="14.4" x14ac:dyDescent="0.3">
      <c r="A21" s="6">
        <v>42552</v>
      </c>
      <c r="B21" s="73">
        <v>218</v>
      </c>
      <c r="C21" s="2">
        <v>19.899999999999999</v>
      </c>
      <c r="D21" s="2">
        <v>30.09</v>
      </c>
      <c r="E21" s="7" t="s">
        <v>248</v>
      </c>
      <c r="G21" s="7">
        <v>1000</v>
      </c>
      <c r="H21" s="1">
        <v>12.73</v>
      </c>
      <c r="I21" s="1"/>
      <c r="J21" s="1"/>
      <c r="K21" s="1">
        <v>5.17</v>
      </c>
      <c r="L21" s="1">
        <v>1</v>
      </c>
      <c r="M21" s="7"/>
      <c r="N21" s="2">
        <f t="shared" si="15"/>
        <v>19.899999999999999</v>
      </c>
      <c r="O21" s="8">
        <f t="shared" si="16"/>
        <v>0.93825667599999985</v>
      </c>
      <c r="P21" s="9">
        <f t="shared" si="17"/>
        <v>3.9021265700281178E-5</v>
      </c>
      <c r="Q21" s="9"/>
      <c r="X21">
        <f t="shared" si="7"/>
        <v>1.15627E-3</v>
      </c>
      <c r="Y21" s="75">
        <f t="shared" si="8"/>
        <v>0.23050889999999996</v>
      </c>
      <c r="Z21" s="25">
        <f t="shared" si="3"/>
        <v>1.1562699999999999</v>
      </c>
      <c r="AA21" s="25">
        <f t="shared" si="4"/>
        <v>230.50889999999995</v>
      </c>
      <c r="AB21" s="13">
        <f t="shared" si="5"/>
        <v>2.4670544718799077</v>
      </c>
      <c r="AC21" s="27">
        <f t="shared" si="6"/>
        <v>491.82112530215119</v>
      </c>
      <c r="AD21" s="13"/>
      <c r="AE21" s="13"/>
      <c r="AG21" s="7"/>
      <c r="AN21" s="1">
        <v>20</v>
      </c>
      <c r="AO21" s="1">
        <v>1</v>
      </c>
    </row>
    <row r="22" spans="1:44" s="1" customFormat="1" ht="14.4" x14ac:dyDescent="0.3">
      <c r="A22" s="6">
        <v>42557</v>
      </c>
      <c r="B22" s="73">
        <v>220</v>
      </c>
      <c r="C22" s="2">
        <v>20.3</v>
      </c>
      <c r="D22" s="2">
        <v>30.1</v>
      </c>
      <c r="E22" s="7" t="s">
        <v>248</v>
      </c>
      <c r="F22"/>
      <c r="G22">
        <v>1000</v>
      </c>
      <c r="H22" s="1">
        <v>14.79</v>
      </c>
      <c r="K22" s="1">
        <v>7.34</v>
      </c>
      <c r="L22" s="1">
        <v>1</v>
      </c>
      <c r="M22" s="7"/>
      <c r="N22" s="2">
        <f>C22</f>
        <v>20.3</v>
      </c>
      <c r="O22" s="8">
        <f>0.001316*((D22*25.4)-(2.5*2053/100))</f>
        <v>0.93859093999999976</v>
      </c>
      <c r="P22" s="9">
        <f>(O22*(G22/1000000))/(0.08205*(N22+273.15))</f>
        <v>3.8981958833266926E-5</v>
      </c>
      <c r="Q22" s="9"/>
      <c r="R22"/>
      <c r="S22"/>
      <c r="T22"/>
      <c r="U22"/>
      <c r="V22"/>
      <c r="W22"/>
      <c r="X22">
        <f t="shared" si="7"/>
        <v>1.3602099999999999E-3</v>
      </c>
      <c r="Y22" s="75">
        <f t="shared" si="8"/>
        <v>0.19385759999999996</v>
      </c>
      <c r="Z22" s="25">
        <f t="shared" si="3"/>
        <v>1.3602100000000001</v>
      </c>
      <c r="AA22" s="25">
        <f t="shared" si="4"/>
        <v>193.85759999999999</v>
      </c>
      <c r="AB22" s="13">
        <f t="shared" si="5"/>
        <v>2.9051137231485371</v>
      </c>
      <c r="AC22" s="27">
        <f t="shared" si="6"/>
        <v>414.03781334987963</v>
      </c>
      <c r="AD22" s="13"/>
      <c r="AE22" s="13"/>
      <c r="AN22" s="1">
        <v>21</v>
      </c>
      <c r="AO22" s="1">
        <v>1</v>
      </c>
    </row>
    <row r="23" spans="1:44" s="1" customFormat="1" ht="14.4" x14ac:dyDescent="0.3">
      <c r="A23" s="6">
        <v>42557</v>
      </c>
      <c r="B23" s="73">
        <v>221</v>
      </c>
      <c r="C23" s="2">
        <v>20.3</v>
      </c>
      <c r="D23" s="2">
        <v>30.1</v>
      </c>
      <c r="E23" s="7" t="s">
        <v>248</v>
      </c>
      <c r="F23"/>
      <c r="G23">
        <v>1000</v>
      </c>
      <c r="H23" s="1">
        <v>15.96</v>
      </c>
      <c r="K23" s="1">
        <v>2.57</v>
      </c>
      <c r="L23" s="1">
        <v>1</v>
      </c>
      <c r="M23" s="7"/>
      <c r="N23" s="2">
        <f t="shared" ref="N23:N37" si="18">C23</f>
        <v>20.3</v>
      </c>
      <c r="O23" s="8">
        <f t="shared" ref="O23:O34" si="19">0.001316*((D23*25.4)-(2.5*2053/100))</f>
        <v>0.93859093999999976</v>
      </c>
      <c r="P23" s="9">
        <f t="shared" ref="P23:P61" si="20">(O23*(G23/1000000))/(0.08205*(N23+273.15))</f>
        <v>3.8981958833266926E-5</v>
      </c>
      <c r="Q23" s="9"/>
      <c r="R23"/>
      <c r="S23"/>
      <c r="T23"/>
      <c r="U23"/>
      <c r="V23"/>
      <c r="W23"/>
      <c r="X23">
        <f t="shared" si="7"/>
        <v>1.4760400000000001E-3</v>
      </c>
      <c r="Y23" s="75">
        <f t="shared" si="8"/>
        <v>0.16280489999999997</v>
      </c>
      <c r="Z23" s="25">
        <f t="shared" si="3"/>
        <v>1.4760400000000002</v>
      </c>
      <c r="AA23" s="25">
        <f t="shared" si="4"/>
        <v>162.80489999999998</v>
      </c>
      <c r="AB23" s="13">
        <f t="shared" si="5"/>
        <v>3.1525014960308826</v>
      </c>
      <c r="AC23" s="27">
        <f t="shared" si="6"/>
        <v>347.71597708135153</v>
      </c>
      <c r="AD23" s="13"/>
      <c r="AE23" s="13"/>
      <c r="AN23" s="1">
        <v>22</v>
      </c>
      <c r="AO23" s="1">
        <v>1</v>
      </c>
    </row>
    <row r="24" spans="1:44" s="1" customFormat="1" ht="14.4" x14ac:dyDescent="0.3">
      <c r="A24" s="6">
        <v>42557</v>
      </c>
      <c r="B24" s="73">
        <v>222</v>
      </c>
      <c r="C24" s="2">
        <v>20.3</v>
      </c>
      <c r="D24" s="2">
        <v>30.1</v>
      </c>
      <c r="E24" s="7" t="s">
        <v>248</v>
      </c>
      <c r="F24"/>
      <c r="G24">
        <v>1000</v>
      </c>
      <c r="H24" s="1">
        <v>18.420000000000002</v>
      </c>
      <c r="K24" s="1">
        <v>4.05</v>
      </c>
      <c r="L24" s="1">
        <v>1</v>
      </c>
      <c r="M24" s="7"/>
      <c r="N24" s="2">
        <f t="shared" si="18"/>
        <v>20.3</v>
      </c>
      <c r="O24" s="8">
        <f t="shared" si="19"/>
        <v>0.93859093999999976</v>
      </c>
      <c r="P24" s="9">
        <f t="shared" si="20"/>
        <v>3.8981958833266926E-5</v>
      </c>
      <c r="Q24" s="9"/>
      <c r="R24"/>
      <c r="S24"/>
      <c r="T24"/>
      <c r="U24"/>
      <c r="V24"/>
      <c r="W24"/>
      <c r="X24">
        <f t="shared" si="7"/>
        <v>1.7195800000000001E-3</v>
      </c>
      <c r="Y24" s="75">
        <f t="shared" si="8"/>
        <v>0.21626249999999997</v>
      </c>
      <c r="Z24" s="25">
        <f t="shared" si="3"/>
        <v>1.7195800000000001</v>
      </c>
      <c r="AA24" s="25">
        <f t="shared" si="4"/>
        <v>216.26249999999996</v>
      </c>
      <c r="AB24" s="13">
        <f t="shared" si="5"/>
        <v>3.6726501467065833</v>
      </c>
      <c r="AC24" s="27">
        <f t="shared" si="6"/>
        <v>461.88982330111554</v>
      </c>
      <c r="AD24" s="13"/>
      <c r="AE24" s="13"/>
      <c r="AN24" s="1">
        <v>23</v>
      </c>
      <c r="AO24" s="1">
        <v>1</v>
      </c>
    </row>
    <row r="25" spans="1:44" customFormat="1" ht="14.4" x14ac:dyDescent="0.3">
      <c r="A25" s="6">
        <v>42557</v>
      </c>
      <c r="B25" s="73">
        <v>278</v>
      </c>
      <c r="C25" s="2">
        <v>20.3</v>
      </c>
      <c r="D25" s="2">
        <v>30.1</v>
      </c>
      <c r="E25" s="7" t="s">
        <v>248</v>
      </c>
      <c r="G25" s="7">
        <v>700</v>
      </c>
      <c r="H25" s="1">
        <v>14.95</v>
      </c>
      <c r="I25" s="1"/>
      <c r="J25" s="1"/>
      <c r="K25" s="1">
        <v>3.71</v>
      </c>
      <c r="L25" s="1">
        <v>1</v>
      </c>
      <c r="M25" s="7"/>
      <c r="N25" s="2">
        <f t="shared" si="18"/>
        <v>20.3</v>
      </c>
      <c r="O25" s="8">
        <f t="shared" si="19"/>
        <v>0.93859093999999976</v>
      </c>
      <c r="P25" s="9">
        <f t="shared" si="20"/>
        <v>2.7287371183286847E-5</v>
      </c>
      <c r="Q25" s="9"/>
      <c r="X25">
        <f t="shared" si="7"/>
        <v>1.37605E-3</v>
      </c>
      <c r="Y25" s="75">
        <f t="shared" si="8"/>
        <v>0.20747009999999996</v>
      </c>
      <c r="Z25" s="25">
        <f t="shared" si="3"/>
        <v>1.9657857142857142</v>
      </c>
      <c r="AA25" s="25">
        <f t="shared" si="4"/>
        <v>296.38585714285711</v>
      </c>
      <c r="AB25" s="13">
        <f t="shared" si="5"/>
        <v>4.1984921852807862</v>
      </c>
      <c r="AC25" s="27">
        <f t="shared" si="6"/>
        <v>633.01594675296906</v>
      </c>
      <c r="AD25" s="13"/>
      <c r="AE25" s="13"/>
      <c r="AF25" s="1"/>
      <c r="AG25" s="1"/>
      <c r="AH25" s="1"/>
      <c r="AI25" s="1"/>
      <c r="AN25" s="1">
        <v>24</v>
      </c>
      <c r="AO25" s="1">
        <v>1</v>
      </c>
    </row>
    <row r="26" spans="1:44" s="1" customFormat="1" ht="14.4" x14ac:dyDescent="0.3">
      <c r="A26" s="6">
        <v>42571</v>
      </c>
      <c r="B26" s="73"/>
      <c r="C26" s="2">
        <v>18.001000000000001</v>
      </c>
      <c r="D26" s="2">
        <v>30.33</v>
      </c>
      <c r="E26" s="7" t="s">
        <v>248</v>
      </c>
      <c r="F26"/>
      <c r="G26" s="1">
        <v>1000</v>
      </c>
      <c r="H26" s="1">
        <v>14.75</v>
      </c>
      <c r="K26" s="1">
        <v>3.67</v>
      </c>
      <c r="L26" s="1">
        <v>1</v>
      </c>
      <c r="M26" s="7"/>
      <c r="N26" s="2">
        <f t="shared" si="18"/>
        <v>18.001000000000001</v>
      </c>
      <c r="O26" s="8">
        <f t="shared" si="19"/>
        <v>0.94627901199999975</v>
      </c>
      <c r="P26" s="9">
        <f t="shared" si="20"/>
        <v>3.961159556787442E-5</v>
      </c>
      <c r="Q26" s="9"/>
      <c r="R26"/>
      <c r="S26"/>
      <c r="T26"/>
      <c r="U26"/>
      <c r="V26"/>
      <c r="W26"/>
      <c r="X26">
        <f t="shared" si="7"/>
        <v>1.35625E-3</v>
      </c>
      <c r="Y26" s="75">
        <f t="shared" si="8"/>
        <v>0.20629889999999995</v>
      </c>
      <c r="Z26" s="25">
        <f t="shared" si="3"/>
        <v>1.35625</v>
      </c>
      <c r="AA26" s="25">
        <f t="shared" si="4"/>
        <v>206.29889999999997</v>
      </c>
      <c r="AB26" s="13">
        <f t="shared" si="5"/>
        <v>2.8506129118483416</v>
      </c>
      <c r="AC26" s="27">
        <f t="shared" si="6"/>
        <v>433.60612574385971</v>
      </c>
      <c r="AD26" s="13"/>
      <c r="AE26" s="13"/>
      <c r="AF26"/>
      <c r="AG26"/>
      <c r="AH26"/>
      <c r="AI26"/>
      <c r="AJ26"/>
      <c r="AN26" s="1">
        <v>25</v>
      </c>
      <c r="AO26" s="1">
        <v>1</v>
      </c>
    </row>
    <row r="27" spans="1:44" s="1" customFormat="1" ht="14.4" x14ac:dyDescent="0.3">
      <c r="A27" s="6">
        <v>42571</v>
      </c>
      <c r="B27" s="73"/>
      <c r="C27" s="2">
        <v>18.001000000000001</v>
      </c>
      <c r="D27" s="2">
        <v>30.33</v>
      </c>
      <c r="E27" s="7" t="s">
        <v>248</v>
      </c>
      <c r="F27"/>
      <c r="G27" s="1">
        <v>1000</v>
      </c>
      <c r="H27" s="1">
        <v>14.44</v>
      </c>
      <c r="K27" s="1">
        <v>2.44</v>
      </c>
      <c r="L27" s="1">
        <v>1</v>
      </c>
      <c r="M27" s="7"/>
      <c r="N27" s="2">
        <f t="shared" si="18"/>
        <v>18.001000000000001</v>
      </c>
      <c r="O27" s="8">
        <f t="shared" si="19"/>
        <v>0.94627901199999975</v>
      </c>
      <c r="P27" s="9">
        <f t="shared" si="20"/>
        <v>3.961159556787442E-5</v>
      </c>
      <c r="Q27" s="9"/>
      <c r="R27"/>
      <c r="S27"/>
      <c r="T27"/>
      <c r="U27"/>
      <c r="V27"/>
      <c r="W27"/>
      <c r="X27">
        <f t="shared" si="7"/>
        <v>1.3255599999999999E-3</v>
      </c>
      <c r="Y27" s="75">
        <f t="shared" si="8"/>
        <v>0.15622559999999996</v>
      </c>
      <c r="Z27" s="25">
        <f t="shared" si="3"/>
        <v>1.3255599999999998</v>
      </c>
      <c r="AA27" s="25">
        <f t="shared" si="4"/>
        <v>156.22559999999999</v>
      </c>
      <c r="AB27" s="13">
        <f t="shared" si="5"/>
        <v>2.7861076139573733</v>
      </c>
      <c r="AC27" s="27">
        <f t="shared" si="6"/>
        <v>328.36034102949617</v>
      </c>
      <c r="AD27" s="13"/>
      <c r="AE27" s="13"/>
      <c r="AF27"/>
      <c r="AG27"/>
      <c r="AH27"/>
      <c r="AI27"/>
      <c r="AJ27"/>
      <c r="AN27" s="1">
        <v>26</v>
      </c>
      <c r="AO27" s="1">
        <v>1</v>
      </c>
    </row>
    <row r="28" spans="1:44" customFormat="1" ht="14.4" x14ac:dyDescent="0.3">
      <c r="A28" s="6">
        <v>42571</v>
      </c>
      <c r="B28" s="27"/>
      <c r="C28" s="2">
        <v>18.001000000000001</v>
      </c>
      <c r="D28" s="2">
        <v>30.33</v>
      </c>
      <c r="E28" s="7" t="s">
        <v>248</v>
      </c>
      <c r="G28" s="1">
        <v>1000</v>
      </c>
      <c r="H28" s="1">
        <v>16.350000000000001</v>
      </c>
      <c r="I28" s="1"/>
      <c r="J28" s="1"/>
      <c r="K28" s="1">
        <v>4.4400000000000004</v>
      </c>
      <c r="L28" s="1">
        <v>1</v>
      </c>
      <c r="M28" s="7"/>
      <c r="N28" s="2">
        <f t="shared" si="18"/>
        <v>18.001000000000001</v>
      </c>
      <c r="O28" s="8">
        <f t="shared" si="19"/>
        <v>0.94627901199999975</v>
      </c>
      <c r="P28" s="9">
        <f t="shared" si="20"/>
        <v>3.961159556787442E-5</v>
      </c>
      <c r="Q28" s="9"/>
      <c r="X28">
        <f t="shared" si="7"/>
        <v>1.5146500000000002E-3</v>
      </c>
      <c r="Y28" s="75">
        <f t="shared" si="8"/>
        <v>0.2237856</v>
      </c>
      <c r="Z28" s="25">
        <f t="shared" si="3"/>
        <v>1.5146500000000001</v>
      </c>
      <c r="AA28" s="25">
        <f t="shared" si="4"/>
        <v>223.78560000000002</v>
      </c>
      <c r="AB28" s="13">
        <f t="shared" si="5"/>
        <v>3.183543481608178</v>
      </c>
      <c r="AC28" s="27">
        <f t="shared" si="6"/>
        <v>470.36027343463837</v>
      </c>
      <c r="AD28" s="13"/>
      <c r="AE28" s="13"/>
      <c r="AN28" s="1">
        <v>27</v>
      </c>
      <c r="AO28" s="1">
        <v>1</v>
      </c>
    </row>
    <row r="29" spans="1:44" s="1" customFormat="1" ht="14.4" x14ac:dyDescent="0.3">
      <c r="A29" s="6">
        <v>42577</v>
      </c>
      <c r="B29" s="73"/>
      <c r="C29" s="2">
        <v>19</v>
      </c>
      <c r="D29" s="2">
        <v>30.15</v>
      </c>
      <c r="E29" s="7" t="s">
        <v>248</v>
      </c>
      <c r="F29" s="7" t="s">
        <v>249</v>
      </c>
      <c r="G29" s="7">
        <v>1000</v>
      </c>
      <c r="H29" s="1">
        <v>13.9</v>
      </c>
      <c r="K29" s="1">
        <v>5.76</v>
      </c>
      <c r="L29" s="1">
        <v>1</v>
      </c>
      <c r="M29" s="7"/>
      <c r="N29" s="2">
        <f t="shared" si="18"/>
        <v>19</v>
      </c>
      <c r="O29" s="8">
        <f t="shared" si="19"/>
        <v>0.94026225999999979</v>
      </c>
      <c r="P29" s="9">
        <f t="shared" si="20"/>
        <v>3.9225142393962342E-5</v>
      </c>
      <c r="Q29" s="9">
        <f t="shared" ref="Q29:Q34" si="21">(O29*0.001)/(0.08205*(N29+273.15))</f>
        <v>3.9225142393962342E-5</v>
      </c>
      <c r="R29"/>
      <c r="S29"/>
      <c r="T29"/>
      <c r="U29"/>
      <c r="V29"/>
      <c r="W29"/>
      <c r="X29">
        <f t="shared" si="7"/>
        <v>1.2721E-3</v>
      </c>
      <c r="Y29" s="75">
        <f t="shared" si="8"/>
        <v>0.22893359999999996</v>
      </c>
      <c r="Z29" s="25">
        <f t="shared" si="3"/>
        <v>1.2721</v>
      </c>
      <c r="AA29" s="25">
        <f t="shared" si="4"/>
        <v>228.93359999999996</v>
      </c>
      <c r="AB29" s="13">
        <f t="shared" si="5"/>
        <v>2.7000857500761581</v>
      </c>
      <c r="AC29" s="27">
        <f t="shared" si="6"/>
        <v>485.92119414639973</v>
      </c>
      <c r="AD29" s="13"/>
      <c r="AE29" s="13"/>
      <c r="AJ29"/>
      <c r="AK29"/>
      <c r="AL29"/>
      <c r="AM29"/>
      <c r="AN29" s="1">
        <v>28</v>
      </c>
      <c r="AO29" s="1">
        <v>1</v>
      </c>
      <c r="AP29"/>
      <c r="AQ29"/>
      <c r="AR29"/>
    </row>
    <row r="30" spans="1:44" s="1" customFormat="1" ht="14.4" x14ac:dyDescent="0.3">
      <c r="A30" s="6">
        <v>42577</v>
      </c>
      <c r="B30" s="73"/>
      <c r="C30" s="2">
        <v>19</v>
      </c>
      <c r="D30" s="2">
        <v>30.15</v>
      </c>
      <c r="E30" s="7" t="s">
        <v>248</v>
      </c>
      <c r="F30" s="7" t="s">
        <v>250</v>
      </c>
      <c r="G30" s="7">
        <v>1000</v>
      </c>
      <c r="H30" s="1">
        <v>13.12</v>
      </c>
      <c r="K30" s="1">
        <v>3.52</v>
      </c>
      <c r="L30" s="1">
        <v>1</v>
      </c>
      <c r="M30" s="7"/>
      <c r="N30" s="2">
        <f t="shared" si="18"/>
        <v>19</v>
      </c>
      <c r="O30" s="8">
        <f t="shared" si="19"/>
        <v>0.94026225999999979</v>
      </c>
      <c r="P30" s="9">
        <f t="shared" si="20"/>
        <v>3.9225142393962342E-5</v>
      </c>
      <c r="Q30" s="9">
        <f t="shared" si="21"/>
        <v>3.9225142393962342E-5</v>
      </c>
      <c r="R30"/>
      <c r="S30"/>
      <c r="T30"/>
      <c r="U30"/>
      <c r="V30"/>
      <c r="W30"/>
      <c r="X30">
        <f t="shared" si="7"/>
        <v>1.1948799999999999E-3</v>
      </c>
      <c r="Y30" s="75">
        <f t="shared" si="8"/>
        <v>0.20165040000000001</v>
      </c>
      <c r="Z30" s="25">
        <f t="shared" si="3"/>
        <v>1.1948799999999999</v>
      </c>
      <c r="AA30" s="25">
        <f t="shared" si="4"/>
        <v>201.65039999999999</v>
      </c>
      <c r="AB30" s="13">
        <f t="shared" si="5"/>
        <v>2.5361830524730755</v>
      </c>
      <c r="AC30" s="27">
        <f t="shared" si="6"/>
        <v>428.01145471044521</v>
      </c>
      <c r="AD30" s="13"/>
      <c r="AE30" s="13"/>
      <c r="AJ30"/>
      <c r="AK30"/>
      <c r="AL30"/>
      <c r="AM30"/>
      <c r="AN30" s="1">
        <v>29</v>
      </c>
      <c r="AO30" s="1">
        <v>1</v>
      </c>
      <c r="AP30"/>
      <c r="AQ30"/>
      <c r="AR30"/>
    </row>
    <row r="31" spans="1:44" s="1" customFormat="1" ht="14.4" x14ac:dyDescent="0.3">
      <c r="A31" s="6">
        <v>42577</v>
      </c>
      <c r="B31" s="73"/>
      <c r="C31" s="2">
        <v>19</v>
      </c>
      <c r="D31" s="2">
        <v>30.15</v>
      </c>
      <c r="E31" s="7" t="s">
        <v>248</v>
      </c>
      <c r="F31" s="7" t="s">
        <v>251</v>
      </c>
      <c r="G31" s="7">
        <v>1000</v>
      </c>
      <c r="H31" s="1">
        <v>14.92</v>
      </c>
      <c r="K31" s="1">
        <v>5.81</v>
      </c>
      <c r="L31" s="1">
        <v>1</v>
      </c>
      <c r="M31" s="7"/>
      <c r="N31" s="2">
        <f t="shared" si="18"/>
        <v>19</v>
      </c>
      <c r="O31" s="8">
        <f t="shared" si="19"/>
        <v>0.94026225999999979</v>
      </c>
      <c r="P31" s="9">
        <f t="shared" si="20"/>
        <v>3.9225142393962342E-5</v>
      </c>
      <c r="Q31" s="9">
        <f t="shared" si="21"/>
        <v>3.9225142393962342E-5</v>
      </c>
      <c r="R31"/>
      <c r="S31"/>
      <c r="T31"/>
      <c r="U31"/>
      <c r="V31"/>
      <c r="W31"/>
      <c r="X31">
        <f t="shared" si="7"/>
        <v>1.37308E-3</v>
      </c>
      <c r="Y31" s="75">
        <f t="shared" si="8"/>
        <v>0.22851209999999994</v>
      </c>
      <c r="Z31" s="25">
        <f t="shared" si="3"/>
        <v>1.3730800000000001</v>
      </c>
      <c r="AA31" s="25">
        <f t="shared" si="4"/>
        <v>228.51209999999995</v>
      </c>
      <c r="AB31" s="13">
        <f t="shared" si="5"/>
        <v>2.9144200469417272</v>
      </c>
      <c r="AC31" s="27">
        <f t="shared" si="6"/>
        <v>485.02654266958405</v>
      </c>
      <c r="AD31" s="13"/>
      <c r="AE31" s="13"/>
      <c r="AJ31"/>
      <c r="AK31"/>
      <c r="AL31"/>
      <c r="AM31"/>
      <c r="AN31" s="1">
        <v>30</v>
      </c>
      <c r="AO31" s="1">
        <v>1</v>
      </c>
      <c r="AP31"/>
      <c r="AQ31"/>
      <c r="AR31"/>
    </row>
    <row r="32" spans="1:44" s="1" customFormat="1" ht="14.4" x14ac:dyDescent="0.3">
      <c r="A32" s="6">
        <v>42578</v>
      </c>
      <c r="B32" s="73"/>
      <c r="C32" s="2">
        <v>19.5</v>
      </c>
      <c r="D32" s="2">
        <v>30.13</v>
      </c>
      <c r="E32" s="7" t="s">
        <v>248</v>
      </c>
      <c r="F32" s="7" t="s">
        <v>249</v>
      </c>
      <c r="G32" s="7">
        <v>1000</v>
      </c>
      <c r="H32" s="1">
        <v>14.17</v>
      </c>
      <c r="I32" s="1">
        <v>7805</v>
      </c>
      <c r="K32" s="1">
        <v>2.2599999999999998</v>
      </c>
      <c r="L32" s="1">
        <v>1</v>
      </c>
      <c r="M32" s="7"/>
      <c r="N32" s="2">
        <f t="shared" si="18"/>
        <v>19.5</v>
      </c>
      <c r="O32" s="8">
        <f t="shared" si="19"/>
        <v>0.93959373199999974</v>
      </c>
      <c r="P32" s="9">
        <f t="shared" si="20"/>
        <v>3.9130283745383668E-5</v>
      </c>
      <c r="Q32" s="9">
        <f t="shared" si="21"/>
        <v>3.9130283745383668E-5</v>
      </c>
      <c r="R32"/>
      <c r="S32"/>
      <c r="T32"/>
      <c r="U32"/>
      <c r="V32"/>
      <c r="W32"/>
      <c r="X32">
        <f t="shared" si="7"/>
        <v>1.2988299999999999E-3</v>
      </c>
      <c r="Y32" s="75">
        <f t="shared" si="8"/>
        <v>0.14661359999999998</v>
      </c>
      <c r="Z32" s="25">
        <f t="shared" si="3"/>
        <v>1.2988299999999999</v>
      </c>
      <c r="AA32" s="25">
        <f t="shared" si="4"/>
        <v>146.61359999999996</v>
      </c>
      <c r="AB32" s="13">
        <f t="shared" si="5"/>
        <v>2.7635043160249952</v>
      </c>
      <c r="AC32" s="27">
        <f t="shared" si="6"/>
        <v>311.94791957990054</v>
      </c>
      <c r="AD32" s="13"/>
      <c r="AE32" s="13"/>
      <c r="AJ32"/>
      <c r="AK32"/>
      <c r="AL32"/>
      <c r="AM32"/>
      <c r="AN32" s="1">
        <v>31</v>
      </c>
      <c r="AO32" s="1">
        <v>1</v>
      </c>
      <c r="AP32"/>
      <c r="AQ32"/>
      <c r="AR32"/>
    </row>
    <row r="33" spans="1:44" s="1" customFormat="1" ht="14.4" x14ac:dyDescent="0.3">
      <c r="A33" s="6">
        <v>42578</v>
      </c>
      <c r="B33" s="73"/>
      <c r="C33" s="2">
        <v>19.5</v>
      </c>
      <c r="D33" s="2">
        <v>30.13</v>
      </c>
      <c r="E33" s="7" t="s">
        <v>248</v>
      </c>
      <c r="F33" s="7" t="s">
        <v>250</v>
      </c>
      <c r="G33" s="7">
        <v>1000</v>
      </c>
      <c r="H33" s="1">
        <v>14.84</v>
      </c>
      <c r="I33" s="1">
        <v>7836</v>
      </c>
      <c r="K33" s="1">
        <v>3.33</v>
      </c>
      <c r="L33" s="1">
        <v>1</v>
      </c>
      <c r="M33" s="7"/>
      <c r="N33" s="2">
        <f t="shared" si="18"/>
        <v>19.5</v>
      </c>
      <c r="O33" s="8">
        <f t="shared" si="19"/>
        <v>0.93959373199999974</v>
      </c>
      <c r="P33" s="9">
        <f t="shared" si="20"/>
        <v>3.9130283745383668E-5</v>
      </c>
      <c r="Q33" s="9">
        <f t="shared" si="21"/>
        <v>3.9130283745383668E-5</v>
      </c>
      <c r="R33"/>
      <c r="S33"/>
      <c r="T33"/>
      <c r="U33"/>
      <c r="V33"/>
      <c r="W33"/>
      <c r="X33">
        <f t="shared" si="7"/>
        <v>1.36516E-3</v>
      </c>
      <c r="Y33" s="75">
        <f t="shared" si="8"/>
        <v>0.19518089999999999</v>
      </c>
      <c r="Z33" s="25">
        <f t="shared" si="3"/>
        <v>1.3651600000000002</v>
      </c>
      <c r="AA33" s="25">
        <f t="shared" si="4"/>
        <v>195.18090000000001</v>
      </c>
      <c r="AB33" s="13">
        <f t="shared" si="5"/>
        <v>2.9046338258776614</v>
      </c>
      <c r="AC33" s="27">
        <f t="shared" si="6"/>
        <v>415.28395521788303</v>
      </c>
      <c r="AD33" s="13"/>
      <c r="AE33" s="13"/>
      <c r="AJ33"/>
      <c r="AK33"/>
      <c r="AL33"/>
      <c r="AM33"/>
      <c r="AN33" s="1">
        <v>32</v>
      </c>
      <c r="AO33" s="1">
        <v>1</v>
      </c>
      <c r="AP33"/>
      <c r="AQ33"/>
      <c r="AR33"/>
    </row>
    <row r="34" spans="1:44" s="1" customFormat="1" ht="14.4" x14ac:dyDescent="0.3">
      <c r="A34" s="6">
        <v>42578</v>
      </c>
      <c r="B34" s="73"/>
      <c r="C34" s="2">
        <v>19.5</v>
      </c>
      <c r="D34" s="2">
        <v>30.13</v>
      </c>
      <c r="E34" s="7" t="s">
        <v>248</v>
      </c>
      <c r="F34" s="7" t="s">
        <v>251</v>
      </c>
      <c r="G34" s="7">
        <v>1000</v>
      </c>
      <c r="H34" s="1">
        <v>14.89</v>
      </c>
      <c r="I34" s="1">
        <v>7581</v>
      </c>
      <c r="K34" s="1">
        <v>4.29</v>
      </c>
      <c r="L34" s="1">
        <v>1</v>
      </c>
      <c r="M34" s="7"/>
      <c r="N34" s="2">
        <f t="shared" si="18"/>
        <v>19.5</v>
      </c>
      <c r="O34" s="8">
        <f t="shared" si="19"/>
        <v>0.93959373199999974</v>
      </c>
      <c r="P34" s="9">
        <f t="shared" si="20"/>
        <v>3.9130283745383668E-5</v>
      </c>
      <c r="Q34" s="9">
        <f t="shared" si="21"/>
        <v>3.9130283745383668E-5</v>
      </c>
      <c r="R34"/>
      <c r="S34"/>
      <c r="T34"/>
      <c r="U34"/>
      <c r="V34"/>
      <c r="W34"/>
      <c r="X34">
        <f t="shared" si="7"/>
        <v>1.3701100000000001E-3</v>
      </c>
      <c r="Y34" s="75">
        <f t="shared" si="8"/>
        <v>0.22121610000000003</v>
      </c>
      <c r="Z34" s="25">
        <f t="shared" si="3"/>
        <v>1.3701100000000002</v>
      </c>
      <c r="AA34" s="25">
        <f t="shared" si="4"/>
        <v>221.21610000000004</v>
      </c>
      <c r="AB34" s="13">
        <f t="shared" si="5"/>
        <v>2.9151658788517412</v>
      </c>
      <c r="AC34" s="27">
        <f t="shared" si="6"/>
        <v>470.67872402409637</v>
      </c>
      <c r="AD34" s="13"/>
      <c r="AE34" s="13"/>
      <c r="AJ34"/>
      <c r="AK34"/>
      <c r="AL34"/>
      <c r="AM34"/>
      <c r="AN34" s="1">
        <v>33</v>
      </c>
      <c r="AO34" s="1">
        <v>1</v>
      </c>
      <c r="AP34"/>
      <c r="AQ34"/>
      <c r="AR34"/>
    </row>
    <row r="35" spans="1:44" customFormat="1" ht="14.4" x14ac:dyDescent="0.3">
      <c r="A35" s="76">
        <v>42590</v>
      </c>
      <c r="B35" s="77"/>
      <c r="C35" s="26">
        <v>18</v>
      </c>
      <c r="D35" s="26">
        <v>30.15</v>
      </c>
      <c r="E35" s="44" t="s">
        <v>110</v>
      </c>
      <c r="F35" s="8" t="s">
        <v>252</v>
      </c>
      <c r="G35" s="19">
        <v>1000</v>
      </c>
      <c r="H35" s="19">
        <v>15.37</v>
      </c>
      <c r="I35" s="19">
        <v>7909</v>
      </c>
      <c r="J35" s="19"/>
      <c r="K35" s="19">
        <v>4.07</v>
      </c>
      <c r="L35" s="19">
        <v>1</v>
      </c>
      <c r="M35" s="44"/>
      <c r="N35" s="26">
        <f t="shared" si="18"/>
        <v>18</v>
      </c>
      <c r="O35" s="8">
        <f>0.001316*((D35*25.4)-(2.5*1663/100))</f>
        <v>0.95309325999999983</v>
      </c>
      <c r="P35" s="9">
        <f t="shared" si="20"/>
        <v>3.9896979585566199E-5</v>
      </c>
      <c r="Q35" s="78"/>
      <c r="R35" s="8"/>
      <c r="S35" s="8"/>
      <c r="T35" s="8"/>
      <c r="U35" s="8"/>
      <c r="V35" s="8"/>
      <c r="W35" s="8"/>
      <c r="X35">
        <f t="shared" si="7"/>
        <v>1.4176299999999998E-3</v>
      </c>
      <c r="Y35" s="75">
        <f t="shared" si="8"/>
        <v>0.21671489999999999</v>
      </c>
      <c r="Z35" s="25">
        <f t="shared" si="3"/>
        <v>1.4176299999999999</v>
      </c>
      <c r="AA35" s="25">
        <f t="shared" si="4"/>
        <v>216.7149</v>
      </c>
      <c r="AB35" s="13">
        <f t="shared" si="5"/>
        <v>2.9583101917690429</v>
      </c>
      <c r="AC35" s="27">
        <f t="shared" si="6"/>
        <v>452.24063922053642</v>
      </c>
      <c r="AD35" s="13"/>
      <c r="AE35" s="13"/>
      <c r="AF35" s="19"/>
      <c r="AG35" s="19"/>
      <c r="AH35" s="19"/>
      <c r="AI35" s="19"/>
      <c r="AJ35" s="19"/>
      <c r="AK35" s="19"/>
      <c r="AL35" s="19"/>
      <c r="AM35" s="19"/>
      <c r="AN35" s="1">
        <v>34</v>
      </c>
      <c r="AO35" s="1">
        <v>1</v>
      </c>
    </row>
    <row r="36" spans="1:44" customFormat="1" ht="14.4" x14ac:dyDescent="0.3">
      <c r="A36" s="76">
        <v>42590</v>
      </c>
      <c r="B36" s="77"/>
      <c r="C36" s="26">
        <v>18</v>
      </c>
      <c r="D36" s="26">
        <v>30.15</v>
      </c>
      <c r="E36" s="44" t="s">
        <v>110</v>
      </c>
      <c r="F36" s="8" t="s">
        <v>252</v>
      </c>
      <c r="G36" s="19">
        <v>1000</v>
      </c>
      <c r="H36" s="19">
        <v>13.86</v>
      </c>
      <c r="I36" s="19">
        <v>8010</v>
      </c>
      <c r="J36" s="19"/>
      <c r="K36" s="19">
        <v>2.37</v>
      </c>
      <c r="L36" s="19">
        <v>1</v>
      </c>
      <c r="M36" s="44"/>
      <c r="N36" s="26">
        <f t="shared" si="18"/>
        <v>18</v>
      </c>
      <c r="O36" s="8">
        <f t="shared" ref="O36:O37" si="22">0.001316*((D36*25.4)-(2.5*1663/100))</f>
        <v>0.95309325999999983</v>
      </c>
      <c r="P36" s="9">
        <f t="shared" si="20"/>
        <v>3.9896979585566199E-5</v>
      </c>
      <c r="Q36" s="78"/>
      <c r="R36" s="8"/>
      <c r="S36" s="8"/>
      <c r="T36" s="8"/>
      <c r="U36" s="8"/>
      <c r="V36" s="8"/>
      <c r="W36" s="8"/>
      <c r="X36">
        <f t="shared" si="7"/>
        <v>1.2681399999999998E-3</v>
      </c>
      <c r="Y36" s="75">
        <f t="shared" si="8"/>
        <v>0.1525569</v>
      </c>
      <c r="Z36" s="25">
        <f t="shared" si="3"/>
        <v>1.2681399999999998</v>
      </c>
      <c r="AA36" s="25">
        <f t="shared" si="4"/>
        <v>152.55689999999998</v>
      </c>
      <c r="AB36" s="13">
        <f t="shared" si="5"/>
        <v>2.6463544694948573</v>
      </c>
      <c r="AC36" s="27">
        <f t="shared" si="6"/>
        <v>318.35572899465365</v>
      </c>
      <c r="AD36" s="13"/>
      <c r="AE36" s="13"/>
      <c r="AF36" s="19"/>
      <c r="AG36" s="19"/>
      <c r="AH36" s="19"/>
      <c r="AI36" s="19"/>
      <c r="AJ36" s="19"/>
      <c r="AK36" s="19"/>
      <c r="AL36" s="19"/>
      <c r="AM36" s="19"/>
      <c r="AN36" s="1">
        <v>35</v>
      </c>
      <c r="AO36" s="1">
        <v>1</v>
      </c>
    </row>
    <row r="37" spans="1:44" customFormat="1" ht="14.4" x14ac:dyDescent="0.3">
      <c r="A37" s="76">
        <v>42590</v>
      </c>
      <c r="B37" s="77"/>
      <c r="C37" s="26">
        <v>18</v>
      </c>
      <c r="D37" s="26">
        <v>30.15</v>
      </c>
      <c r="E37" s="44" t="s">
        <v>110</v>
      </c>
      <c r="F37" s="8" t="s">
        <v>252</v>
      </c>
      <c r="G37" s="19">
        <v>1000</v>
      </c>
      <c r="H37" s="19">
        <v>14.94</v>
      </c>
      <c r="I37" s="19">
        <v>7955</v>
      </c>
      <c r="J37" s="19"/>
      <c r="K37" s="19">
        <v>4.5599999999999996</v>
      </c>
      <c r="L37" s="19">
        <v>1</v>
      </c>
      <c r="M37" s="44"/>
      <c r="N37" s="26">
        <f t="shared" si="18"/>
        <v>18</v>
      </c>
      <c r="O37" s="8">
        <f t="shared" si="22"/>
        <v>0.95309325999999983</v>
      </c>
      <c r="P37" s="9">
        <f t="shared" si="20"/>
        <v>3.9896979585566199E-5</v>
      </c>
      <c r="Q37" s="78"/>
      <c r="R37" s="8"/>
      <c r="S37" s="8"/>
      <c r="T37" s="8"/>
      <c r="U37" s="8"/>
      <c r="V37" s="8"/>
      <c r="W37" s="8"/>
      <c r="X37">
        <f t="shared" si="7"/>
        <v>1.37506E-3</v>
      </c>
      <c r="Y37" s="75">
        <f t="shared" si="8"/>
        <v>0.22554959999999999</v>
      </c>
      <c r="Z37" s="25">
        <f t="shared" si="3"/>
        <v>1.3750599999999999</v>
      </c>
      <c r="AA37" s="25">
        <f t="shared" si="4"/>
        <v>225.54959999999997</v>
      </c>
      <c r="AB37" s="13">
        <f t="shared" si="5"/>
        <v>2.8694751185386465</v>
      </c>
      <c r="AC37" s="27">
        <f t="shared" si="6"/>
        <v>470.67689060575117</v>
      </c>
      <c r="AD37" s="13"/>
      <c r="AE37" s="13"/>
      <c r="AF37" s="19"/>
      <c r="AG37" s="19"/>
      <c r="AH37" s="19"/>
      <c r="AI37" s="19"/>
      <c r="AJ37" s="19"/>
      <c r="AK37" s="19"/>
      <c r="AL37" s="19"/>
      <c r="AM37" s="19"/>
      <c r="AN37" s="1">
        <v>36</v>
      </c>
      <c r="AO37" s="1">
        <v>1</v>
      </c>
    </row>
    <row r="38" spans="1:44" s="1" customFormat="1" ht="14.4" x14ac:dyDescent="0.3">
      <c r="A38" s="6">
        <v>42591</v>
      </c>
      <c r="B38" s="73"/>
      <c r="C38" s="2">
        <v>18.8</v>
      </c>
      <c r="D38" s="2">
        <v>30.23</v>
      </c>
      <c r="E38" s="7" t="s">
        <v>248</v>
      </c>
      <c r="F38" t="s">
        <v>249</v>
      </c>
      <c r="G38">
        <v>1000</v>
      </c>
      <c r="H38" s="1">
        <v>14.58</v>
      </c>
      <c r="I38" s="1">
        <v>7964</v>
      </c>
      <c r="K38" s="1">
        <v>5.3</v>
      </c>
      <c r="L38" s="1">
        <v>1</v>
      </c>
      <c r="M38" s="7"/>
      <c r="N38" s="2">
        <f>C38</f>
        <v>18.8</v>
      </c>
      <c r="O38" s="8">
        <f>0.001316*((D38*25.4)-(2.5*2053/100))</f>
        <v>0.9429363719999998</v>
      </c>
      <c r="P38" s="9">
        <f t="shared" si="20"/>
        <v>3.9363646513561798E-5</v>
      </c>
      <c r="Q38" s="9"/>
      <c r="R38"/>
      <c r="S38"/>
      <c r="T38"/>
      <c r="U38"/>
      <c r="V38"/>
      <c r="W38"/>
      <c r="X38">
        <f t="shared" si="7"/>
        <v>1.33942E-3</v>
      </c>
      <c r="Y38" s="75">
        <f t="shared" si="8"/>
        <v>0.23069999999999996</v>
      </c>
      <c r="Z38" s="25">
        <f t="shared" si="3"/>
        <v>1.3394200000000001</v>
      </c>
      <c r="AA38" s="25">
        <f t="shared" si="4"/>
        <v>230.69999999999996</v>
      </c>
      <c r="AB38" s="13">
        <f t="shared" si="5"/>
        <v>2.8329720467809527</v>
      </c>
      <c r="AC38" s="27">
        <f t="shared" si="6"/>
        <v>487.94750802016216</v>
      </c>
      <c r="AD38" s="13"/>
      <c r="AE38" s="13"/>
      <c r="AN38" s="1">
        <v>37</v>
      </c>
      <c r="AO38" s="1">
        <v>1</v>
      </c>
    </row>
    <row r="39" spans="1:44" s="1" customFormat="1" ht="14.4" x14ac:dyDescent="0.3">
      <c r="A39" s="6">
        <v>42591</v>
      </c>
      <c r="B39" s="73"/>
      <c r="C39" s="2">
        <v>18.8</v>
      </c>
      <c r="D39" s="2">
        <v>30.23</v>
      </c>
      <c r="E39" s="7" t="s">
        <v>248</v>
      </c>
      <c r="F39" t="s">
        <v>249</v>
      </c>
      <c r="G39">
        <v>1000</v>
      </c>
      <c r="H39" s="1">
        <v>17.63</v>
      </c>
      <c r="I39" s="1">
        <v>7969</v>
      </c>
      <c r="K39" s="1">
        <v>6.67</v>
      </c>
      <c r="L39" s="1">
        <v>1</v>
      </c>
      <c r="M39" s="7"/>
      <c r="N39" s="2">
        <f t="shared" ref="N39:N43" si="23">C39</f>
        <v>18.8</v>
      </c>
      <c r="O39" s="8">
        <f t="shared" ref="O39:O43" si="24">0.001316*((D39*25.4)-(2.5*2053/100))</f>
        <v>0.9429363719999998</v>
      </c>
      <c r="P39" s="9">
        <f t="shared" si="20"/>
        <v>3.9363646513561798E-5</v>
      </c>
      <c r="Q39" s="9"/>
      <c r="R39"/>
      <c r="S39"/>
      <c r="T39"/>
      <c r="U39"/>
      <c r="V39"/>
      <c r="W39"/>
      <c r="X39">
        <f t="shared" si="7"/>
        <v>1.6413699999999999E-3</v>
      </c>
      <c r="Y39" s="75">
        <f t="shared" si="8"/>
        <v>0.21421889999999999</v>
      </c>
      <c r="Z39" s="25">
        <f t="shared" si="3"/>
        <v>1.64137</v>
      </c>
      <c r="AA39" s="25">
        <f t="shared" si="4"/>
        <v>214.21889999999999</v>
      </c>
      <c r="AB39" s="13">
        <f t="shared" si="5"/>
        <v>3.4716185576031804</v>
      </c>
      <c r="AC39" s="27">
        <f t="shared" si="6"/>
        <v>453.08876647516399</v>
      </c>
      <c r="AD39" s="13"/>
      <c r="AE39" s="13"/>
      <c r="AN39" s="1">
        <v>38</v>
      </c>
      <c r="AO39" s="1">
        <v>1</v>
      </c>
    </row>
    <row r="40" spans="1:44" s="1" customFormat="1" ht="14.4" x14ac:dyDescent="0.3">
      <c r="A40" s="6">
        <v>42591</v>
      </c>
      <c r="B40" s="73"/>
      <c r="C40" s="2">
        <v>18.8</v>
      </c>
      <c r="D40" s="2">
        <v>30.23</v>
      </c>
      <c r="E40" s="7" t="s">
        <v>248</v>
      </c>
      <c r="F40" t="s">
        <v>249</v>
      </c>
      <c r="G40">
        <v>1000</v>
      </c>
      <c r="H40" s="1">
        <v>15.37</v>
      </c>
      <c r="I40" s="1">
        <v>8080</v>
      </c>
      <c r="K40" s="1">
        <v>4.08</v>
      </c>
      <c r="L40" s="1">
        <v>1</v>
      </c>
      <c r="M40" s="7"/>
      <c r="N40" s="2">
        <f t="shared" si="23"/>
        <v>18.8</v>
      </c>
      <c r="O40" s="8">
        <f t="shared" si="24"/>
        <v>0.9429363719999998</v>
      </c>
      <c r="P40" s="9">
        <f t="shared" si="20"/>
        <v>3.9363646513561798E-5</v>
      </c>
      <c r="Q40" s="9"/>
      <c r="R40"/>
      <c r="S40"/>
      <c r="T40"/>
      <c r="U40"/>
      <c r="V40"/>
      <c r="W40"/>
      <c r="X40">
        <f t="shared" si="7"/>
        <v>1.4176299999999998E-3</v>
      </c>
      <c r="Y40" s="75">
        <f t="shared" si="8"/>
        <v>0.21693839999999998</v>
      </c>
      <c r="Z40" s="25">
        <f t="shared" si="3"/>
        <v>1.4176299999999999</v>
      </c>
      <c r="AA40" s="25">
        <f t="shared" si="4"/>
        <v>216.93839999999997</v>
      </c>
      <c r="AB40" s="13">
        <f t="shared" si="5"/>
        <v>2.9983919626988409</v>
      </c>
      <c r="AC40" s="27">
        <f t="shared" si="6"/>
        <v>458.84070946632494</v>
      </c>
      <c r="AD40" s="13"/>
      <c r="AE40" s="13"/>
      <c r="AN40" s="1">
        <v>39</v>
      </c>
      <c r="AO40" s="1">
        <v>1</v>
      </c>
    </row>
    <row r="41" spans="1:44" s="1" customFormat="1" ht="14.4" x14ac:dyDescent="0.3">
      <c r="A41" s="6">
        <v>42592</v>
      </c>
      <c r="B41" s="73"/>
      <c r="C41" s="2">
        <v>18.8</v>
      </c>
      <c r="D41" s="2">
        <v>30.31</v>
      </c>
      <c r="E41" s="7" t="s">
        <v>248</v>
      </c>
      <c r="F41" t="s">
        <v>249</v>
      </c>
      <c r="G41">
        <v>1000</v>
      </c>
      <c r="H41" s="1">
        <v>14.56</v>
      </c>
      <c r="I41" s="1">
        <v>7848</v>
      </c>
      <c r="K41" s="1">
        <v>3.64</v>
      </c>
      <c r="L41" s="1">
        <v>1</v>
      </c>
      <c r="M41" s="7"/>
      <c r="N41" s="2">
        <f t="shared" si="23"/>
        <v>18.8</v>
      </c>
      <c r="O41" s="8">
        <f t="shared" si="24"/>
        <v>0.9456104839999997</v>
      </c>
      <c r="P41" s="9">
        <f t="shared" si="20"/>
        <v>3.9475279496052872E-5</v>
      </c>
      <c r="Q41" s="9"/>
      <c r="R41"/>
      <c r="S41"/>
      <c r="T41"/>
      <c r="U41"/>
      <c r="V41"/>
      <c r="W41"/>
      <c r="X41">
        <f t="shared" si="7"/>
        <v>1.3374400000000001E-3</v>
      </c>
      <c r="Y41" s="75">
        <f t="shared" si="8"/>
        <v>0.20540159999999999</v>
      </c>
      <c r="Z41" s="25">
        <f t="shared" si="3"/>
        <v>1.33744</v>
      </c>
      <c r="AA41" s="25">
        <f t="shared" si="4"/>
        <v>205.40159999999997</v>
      </c>
      <c r="AB41" s="13">
        <f t="shared" si="5"/>
        <v>2.8207846218011507</v>
      </c>
      <c r="AC41" s="27">
        <f t="shared" si="6"/>
        <v>433.21096615425824</v>
      </c>
      <c r="AD41" s="13"/>
      <c r="AE41" s="13"/>
      <c r="AN41" s="1">
        <v>40</v>
      </c>
      <c r="AO41" s="1">
        <v>1</v>
      </c>
    </row>
    <row r="42" spans="1:44" s="1" customFormat="1" ht="14.4" x14ac:dyDescent="0.3">
      <c r="A42" s="6">
        <v>42592</v>
      </c>
      <c r="B42" s="73"/>
      <c r="C42" s="2">
        <v>18.8</v>
      </c>
      <c r="D42" s="2">
        <v>30.31</v>
      </c>
      <c r="E42" s="7" t="s">
        <v>248</v>
      </c>
      <c r="F42" t="s">
        <v>249</v>
      </c>
      <c r="G42">
        <v>1000</v>
      </c>
      <c r="H42" s="1">
        <v>14.37</v>
      </c>
      <c r="I42" s="1">
        <v>7799</v>
      </c>
      <c r="K42" s="1">
        <v>8.01</v>
      </c>
      <c r="L42" s="1">
        <v>1</v>
      </c>
      <c r="M42" s="7"/>
      <c r="N42" s="2">
        <f t="shared" si="23"/>
        <v>18.8</v>
      </c>
      <c r="O42" s="8">
        <f t="shared" si="24"/>
        <v>0.9456104839999997</v>
      </c>
      <c r="P42" s="9">
        <f t="shared" si="20"/>
        <v>3.9475279496052872E-5</v>
      </c>
      <c r="Q42" s="9"/>
      <c r="R42"/>
      <c r="S42"/>
      <c r="T42"/>
      <c r="U42"/>
      <c r="V42"/>
      <c r="W42"/>
      <c r="X42">
        <f t="shared" si="7"/>
        <v>1.3186299999999999E-3</v>
      </c>
      <c r="Y42" s="75">
        <f t="shared" si="8"/>
        <v>0.16541610000000001</v>
      </c>
      <c r="Z42" s="25">
        <f t="shared" si="3"/>
        <v>1.31863</v>
      </c>
      <c r="AA42" s="25">
        <f t="shared" si="4"/>
        <v>165.4161</v>
      </c>
      <c r="AB42" s="13">
        <f t="shared" si="5"/>
        <v>2.7811125925990332</v>
      </c>
      <c r="AC42" s="27">
        <f t="shared" si="6"/>
        <v>348.87784953218187</v>
      </c>
      <c r="AD42" s="13"/>
      <c r="AE42" s="13"/>
      <c r="AN42" s="1">
        <v>41</v>
      </c>
      <c r="AO42" s="1">
        <v>1</v>
      </c>
    </row>
    <row r="43" spans="1:44" s="1" customFormat="1" ht="14.4" x14ac:dyDescent="0.3">
      <c r="A43" s="6">
        <v>42592</v>
      </c>
      <c r="B43" s="73"/>
      <c r="C43" s="2">
        <v>18.8</v>
      </c>
      <c r="D43" s="2">
        <v>30.31</v>
      </c>
      <c r="E43" s="7" t="s">
        <v>248</v>
      </c>
      <c r="F43" t="s">
        <v>249</v>
      </c>
      <c r="G43">
        <v>1000</v>
      </c>
      <c r="H43" s="1">
        <v>14.45</v>
      </c>
      <c r="I43" s="1">
        <v>7706</v>
      </c>
      <c r="K43" s="1">
        <v>2.97</v>
      </c>
      <c r="L43" s="1">
        <v>1</v>
      </c>
      <c r="M43" s="7"/>
      <c r="N43" s="2">
        <f t="shared" si="23"/>
        <v>18.8</v>
      </c>
      <c r="O43" s="8">
        <f t="shared" si="24"/>
        <v>0.9456104839999997</v>
      </c>
      <c r="P43" s="9">
        <f t="shared" si="20"/>
        <v>3.9475279496052872E-5</v>
      </c>
      <c r="Q43" s="9"/>
      <c r="R43"/>
      <c r="S43"/>
      <c r="T43"/>
      <c r="U43"/>
      <c r="V43"/>
      <c r="W43"/>
      <c r="X43">
        <f t="shared" si="7"/>
        <v>1.3265499999999999E-3</v>
      </c>
      <c r="Y43" s="75">
        <f t="shared" si="8"/>
        <v>0.18114089999999999</v>
      </c>
      <c r="Z43" s="25">
        <f t="shared" si="3"/>
        <v>1.3265499999999999</v>
      </c>
      <c r="AA43" s="25">
        <f t="shared" si="4"/>
        <v>181.14089999999999</v>
      </c>
      <c r="AB43" s="13">
        <f t="shared" si="5"/>
        <v>2.7978166048946616</v>
      </c>
      <c r="AC43" s="27">
        <f t="shared" si="6"/>
        <v>382.04290667186569</v>
      </c>
      <c r="AD43" s="13"/>
      <c r="AE43" s="13"/>
      <c r="AN43" s="1">
        <v>42</v>
      </c>
      <c r="AO43" s="1">
        <v>1</v>
      </c>
    </row>
    <row r="44" spans="1:44" s="1" customFormat="1" ht="14.4" x14ac:dyDescent="0.3">
      <c r="A44" s="6">
        <v>42593</v>
      </c>
      <c r="B44" s="73"/>
      <c r="C44" s="2">
        <v>19</v>
      </c>
      <c r="D44" s="2">
        <v>30.29</v>
      </c>
      <c r="E44" s="7" t="s">
        <v>248</v>
      </c>
      <c r="F44" t="s">
        <v>249</v>
      </c>
      <c r="G44">
        <v>1000</v>
      </c>
      <c r="H44" s="1">
        <v>13.74</v>
      </c>
      <c r="I44" s="1">
        <v>7553</v>
      </c>
      <c r="K44" s="1">
        <v>3.52</v>
      </c>
      <c r="L44" s="1">
        <v>1</v>
      </c>
      <c r="M44" s="7"/>
      <c r="N44" s="2">
        <f>C44</f>
        <v>19</v>
      </c>
      <c r="O44" s="8">
        <f>0.001316*((D44*25.4)-(2.5*2053/100))</f>
        <v>0.94494195599999986</v>
      </c>
      <c r="P44" s="9">
        <f t="shared" si="20"/>
        <v>3.9420366375365639E-5</v>
      </c>
      <c r="Q44" s="9"/>
      <c r="R44"/>
      <c r="S44"/>
      <c r="T44"/>
      <c r="U44"/>
      <c r="V44"/>
      <c r="W44"/>
      <c r="X44">
        <f t="shared" si="7"/>
        <v>1.2562599999999999E-3</v>
      </c>
      <c r="Y44" s="75">
        <f t="shared" si="8"/>
        <v>0.20165040000000001</v>
      </c>
      <c r="Z44" s="25">
        <f t="shared" si="3"/>
        <v>1.2562599999999999</v>
      </c>
      <c r="AA44" s="25">
        <f t="shared" si="4"/>
        <v>201.65039999999999</v>
      </c>
      <c r="AB44" s="13">
        <f t="shared" si="5"/>
        <v>2.6532593816747574</v>
      </c>
      <c r="AC44" s="27">
        <f t="shared" si="6"/>
        <v>425.89178642834099</v>
      </c>
      <c r="AD44" s="13"/>
      <c r="AE44" s="13"/>
      <c r="AN44" s="1">
        <v>43</v>
      </c>
      <c r="AO44" s="1">
        <v>1</v>
      </c>
    </row>
    <row r="45" spans="1:44" s="1" customFormat="1" ht="14.4" x14ac:dyDescent="0.3">
      <c r="A45" s="6">
        <v>42593</v>
      </c>
      <c r="B45" s="73"/>
      <c r="C45" s="2">
        <v>19</v>
      </c>
      <c r="D45" s="2">
        <v>30.29</v>
      </c>
      <c r="E45" s="7" t="s">
        <v>248</v>
      </c>
      <c r="F45" t="s">
        <v>249</v>
      </c>
      <c r="G45">
        <v>1000</v>
      </c>
      <c r="H45" s="1">
        <v>15.9</v>
      </c>
      <c r="I45" s="1">
        <v>7985</v>
      </c>
      <c r="K45" s="1">
        <v>6.14</v>
      </c>
      <c r="L45" s="1">
        <v>1</v>
      </c>
      <c r="M45" s="7"/>
      <c r="N45" s="2">
        <f t="shared" ref="N45:N47" si="25">C45</f>
        <v>19</v>
      </c>
      <c r="O45" s="8">
        <f t="shared" ref="O45:O47" si="26">0.001316*((D45*25.4)-(2.5*2053/100))</f>
        <v>0.94494195599999986</v>
      </c>
      <c r="P45" s="9">
        <f t="shared" si="20"/>
        <v>3.9420366375365639E-5</v>
      </c>
      <c r="Q45" s="9"/>
      <c r="R45"/>
      <c r="S45"/>
      <c r="T45"/>
      <c r="U45"/>
      <c r="V45"/>
      <c r="W45"/>
      <c r="X45">
        <f t="shared" si="7"/>
        <v>1.4701E-3</v>
      </c>
      <c r="Y45" s="75">
        <f t="shared" si="8"/>
        <v>0.22460160000000001</v>
      </c>
      <c r="Z45" s="25">
        <f t="shared" si="3"/>
        <v>1.4701</v>
      </c>
      <c r="AA45" s="25">
        <f t="shared" si="4"/>
        <v>224.60160000000002</v>
      </c>
      <c r="AB45" s="13">
        <f t="shared" si="5"/>
        <v>3.1048959745594553</v>
      </c>
      <c r="AC45" s="27">
        <f t="shared" si="6"/>
        <v>474.36541984872662</v>
      </c>
      <c r="AD45" s="13"/>
      <c r="AE45" s="13"/>
      <c r="AN45" s="1">
        <v>44</v>
      </c>
      <c r="AO45" s="1">
        <v>1</v>
      </c>
    </row>
    <row r="46" spans="1:44" s="1" customFormat="1" ht="14.4" x14ac:dyDescent="0.3">
      <c r="A46" s="6">
        <v>42593</v>
      </c>
      <c r="B46" s="73"/>
      <c r="C46" s="2">
        <v>19</v>
      </c>
      <c r="D46" s="2">
        <v>30.29</v>
      </c>
      <c r="E46" s="7" t="s">
        <v>248</v>
      </c>
      <c r="F46" t="s">
        <v>249</v>
      </c>
      <c r="G46">
        <v>1000</v>
      </c>
      <c r="H46" s="1">
        <v>14.11</v>
      </c>
      <c r="I46" s="1">
        <v>8154</v>
      </c>
      <c r="K46" s="1">
        <v>4.74</v>
      </c>
      <c r="L46" s="1">
        <v>1</v>
      </c>
      <c r="M46" s="7"/>
      <c r="N46" s="2">
        <f t="shared" si="25"/>
        <v>19</v>
      </c>
      <c r="O46" s="8">
        <f t="shared" si="26"/>
        <v>0.94494195599999986</v>
      </c>
      <c r="P46" s="9">
        <f t="shared" si="20"/>
        <v>3.9420366375365639E-5</v>
      </c>
      <c r="Q46" s="9"/>
      <c r="R46"/>
      <c r="S46"/>
      <c r="T46"/>
      <c r="U46"/>
      <c r="V46"/>
      <c r="W46"/>
      <c r="X46">
        <f t="shared" si="7"/>
        <v>1.2928899999999999E-3</v>
      </c>
      <c r="Y46" s="75">
        <f t="shared" si="8"/>
        <v>0.22770960000000001</v>
      </c>
      <c r="Z46" s="25">
        <f t="shared" si="3"/>
        <v>1.2928899999999999</v>
      </c>
      <c r="AA46" s="25">
        <f t="shared" si="4"/>
        <v>227.70959999999999</v>
      </c>
      <c r="AB46" s="13">
        <f t="shared" si="5"/>
        <v>2.7306230573077848</v>
      </c>
      <c r="AC46" s="27">
        <f t="shared" si="6"/>
        <v>480.92961050849868</v>
      </c>
      <c r="AD46" s="13"/>
      <c r="AE46" s="13"/>
      <c r="AN46" s="1">
        <v>45</v>
      </c>
      <c r="AO46" s="1">
        <v>1</v>
      </c>
    </row>
    <row r="47" spans="1:44" s="1" customFormat="1" ht="14.4" x14ac:dyDescent="0.3">
      <c r="A47" s="6">
        <v>42593</v>
      </c>
      <c r="B47" s="73"/>
      <c r="C47" s="2">
        <v>19</v>
      </c>
      <c r="D47" s="2">
        <v>30.29</v>
      </c>
      <c r="E47" s="7" t="s">
        <v>248</v>
      </c>
      <c r="F47" t="s">
        <v>249</v>
      </c>
      <c r="G47">
        <v>1000</v>
      </c>
      <c r="H47" s="1">
        <v>16.21</v>
      </c>
      <c r="I47" s="1">
        <v>7934</v>
      </c>
      <c r="K47" s="1">
        <v>4.53</v>
      </c>
      <c r="L47" s="1">
        <v>1</v>
      </c>
      <c r="M47" s="7"/>
      <c r="N47" s="2">
        <f t="shared" si="25"/>
        <v>19</v>
      </c>
      <c r="O47" s="8">
        <f t="shared" si="26"/>
        <v>0.94494195599999986</v>
      </c>
      <c r="P47" s="9">
        <f t="shared" si="20"/>
        <v>3.9420366375365639E-5</v>
      </c>
      <c r="Q47" s="9"/>
      <c r="R47"/>
      <c r="S47"/>
      <c r="T47"/>
      <c r="U47"/>
      <c r="V47"/>
      <c r="W47"/>
      <c r="X47">
        <f t="shared" si="7"/>
        <v>1.5007900000000001E-3</v>
      </c>
      <c r="Y47" s="75">
        <f t="shared" si="8"/>
        <v>0.2251329</v>
      </c>
      <c r="Z47" s="25">
        <f t="shared" si="3"/>
        <v>1.5007900000000003</v>
      </c>
      <c r="AA47" s="25">
        <f t="shared" si="4"/>
        <v>225.13290000000001</v>
      </c>
      <c r="AB47" s="13">
        <f t="shared" si="5"/>
        <v>3.169714189279019</v>
      </c>
      <c r="AC47" s="27">
        <f t="shared" si="6"/>
        <v>475.48754163043088</v>
      </c>
      <c r="AD47" s="13"/>
      <c r="AE47" s="13"/>
      <c r="AN47" s="1">
        <v>46</v>
      </c>
      <c r="AO47" s="1">
        <v>1</v>
      </c>
    </row>
    <row r="48" spans="1:44" s="1" customFormat="1" ht="14.4" x14ac:dyDescent="0.3">
      <c r="A48" s="6">
        <v>42594</v>
      </c>
      <c r="B48" s="73"/>
      <c r="C48" s="2">
        <v>20.399999999999999</v>
      </c>
      <c r="D48" s="2">
        <v>30.13</v>
      </c>
      <c r="E48" s="7" t="s">
        <v>248</v>
      </c>
      <c r="F48" t="s">
        <v>249</v>
      </c>
      <c r="G48">
        <v>1000</v>
      </c>
      <c r="H48" s="1">
        <v>14.24</v>
      </c>
      <c r="I48" s="1">
        <v>7761</v>
      </c>
      <c r="K48" s="1">
        <v>3.64</v>
      </c>
      <c r="L48" s="1">
        <v>1</v>
      </c>
      <c r="M48" s="7"/>
      <c r="N48" s="2">
        <f>C48</f>
        <v>20.399999999999999</v>
      </c>
      <c r="O48" s="8">
        <f>0.001316*((D48*25.4)-(2.5*2053/100))</f>
        <v>0.93959373199999974</v>
      </c>
      <c r="P48" s="9">
        <f t="shared" si="20"/>
        <v>3.9010313534616016E-5</v>
      </c>
      <c r="Q48" s="9"/>
      <c r="R48"/>
      <c r="S48"/>
      <c r="T48"/>
      <c r="U48"/>
      <c r="V48"/>
      <c r="W48"/>
      <c r="X48">
        <f t="shared" si="7"/>
        <v>1.30576E-3</v>
      </c>
      <c r="Y48" s="75">
        <f t="shared" si="8"/>
        <v>0.20540159999999999</v>
      </c>
      <c r="Z48" s="25">
        <f t="shared" si="3"/>
        <v>1.30576</v>
      </c>
      <c r="AA48" s="25">
        <f t="shared" si="4"/>
        <v>205.40159999999997</v>
      </c>
      <c r="AB48" s="13">
        <f t="shared" si="5"/>
        <v>2.7867932676572518</v>
      </c>
      <c r="AC48" s="27">
        <f t="shared" si="6"/>
        <v>438.37443025213497</v>
      </c>
      <c r="AD48" s="13"/>
      <c r="AE48" s="13"/>
      <c r="AN48" s="1">
        <v>47</v>
      </c>
      <c r="AO48" s="1">
        <v>1</v>
      </c>
    </row>
    <row r="49" spans="1:41" s="1" customFormat="1" ht="14.4" x14ac:dyDescent="0.3">
      <c r="A49" s="6">
        <v>42594</v>
      </c>
      <c r="B49" s="73"/>
      <c r="C49" s="2">
        <v>20.399999999999999</v>
      </c>
      <c r="D49" s="2">
        <v>30.13</v>
      </c>
      <c r="E49" s="7" t="s">
        <v>248</v>
      </c>
      <c r="F49" t="s">
        <v>249</v>
      </c>
      <c r="G49">
        <v>1000</v>
      </c>
      <c r="H49" s="1">
        <v>12.99</v>
      </c>
      <c r="I49" s="1">
        <v>7803</v>
      </c>
      <c r="K49" s="1">
        <v>3.6</v>
      </c>
      <c r="L49" s="1">
        <v>1</v>
      </c>
      <c r="M49" s="7"/>
      <c r="N49" s="2">
        <f t="shared" ref="N49:N50" si="27">C49</f>
        <v>20.399999999999999</v>
      </c>
      <c r="O49" s="8">
        <f t="shared" ref="O49:O50" si="28">0.001316*((D49*25.4)-(2.5*2053/100))</f>
        <v>0.93959373199999974</v>
      </c>
      <c r="P49" s="9">
        <f t="shared" si="20"/>
        <v>3.9010313534616016E-5</v>
      </c>
      <c r="Q49" s="9"/>
      <c r="R49"/>
      <c r="S49"/>
      <c r="T49"/>
      <c r="U49"/>
      <c r="V49"/>
      <c r="W49"/>
      <c r="X49">
        <f t="shared" si="7"/>
        <v>1.18201E-3</v>
      </c>
      <c r="Y49" s="75">
        <f t="shared" si="8"/>
        <v>0.20418</v>
      </c>
      <c r="Z49" s="25">
        <f t="shared" si="3"/>
        <v>1.18201</v>
      </c>
      <c r="AA49" s="25">
        <f t="shared" si="4"/>
        <v>204.18</v>
      </c>
      <c r="AB49" s="13">
        <f t="shared" si="5"/>
        <v>2.5226822006368312</v>
      </c>
      <c r="AC49" s="27">
        <f t="shared" si="6"/>
        <v>435.76725385236017</v>
      </c>
      <c r="AD49" s="13"/>
      <c r="AE49" s="13"/>
      <c r="AN49" s="1">
        <v>48</v>
      </c>
      <c r="AO49" s="1">
        <v>1</v>
      </c>
    </row>
    <row r="50" spans="1:41" s="1" customFormat="1" ht="14.4" x14ac:dyDescent="0.3">
      <c r="A50" s="6">
        <v>42594</v>
      </c>
      <c r="B50" s="73"/>
      <c r="C50" s="2">
        <v>20.399999999999999</v>
      </c>
      <c r="D50" s="2">
        <v>30.13</v>
      </c>
      <c r="E50" s="7" t="s">
        <v>248</v>
      </c>
      <c r="F50" t="s">
        <v>249</v>
      </c>
      <c r="G50">
        <v>1000</v>
      </c>
      <c r="H50" s="1">
        <v>14.79</v>
      </c>
      <c r="I50" s="1">
        <v>7878</v>
      </c>
      <c r="K50" s="1">
        <v>5.81</v>
      </c>
      <c r="L50" s="1">
        <v>1</v>
      </c>
      <c r="M50" s="7"/>
      <c r="N50" s="2">
        <f t="shared" si="27"/>
        <v>20.399999999999999</v>
      </c>
      <c r="O50" s="8">
        <f t="shared" si="28"/>
        <v>0.93959373199999974</v>
      </c>
      <c r="P50" s="9">
        <f t="shared" si="20"/>
        <v>3.9010313534616016E-5</v>
      </c>
      <c r="Q50" s="9"/>
      <c r="R50"/>
      <c r="S50"/>
      <c r="T50"/>
      <c r="U50"/>
      <c r="V50"/>
      <c r="W50"/>
      <c r="X50">
        <f t="shared" si="7"/>
        <v>1.3602099999999999E-3</v>
      </c>
      <c r="Y50" s="75">
        <f t="shared" si="8"/>
        <v>0.22851209999999994</v>
      </c>
      <c r="Z50" s="25">
        <f t="shared" si="3"/>
        <v>1.3602100000000001</v>
      </c>
      <c r="AA50" s="25">
        <f t="shared" si="4"/>
        <v>228.51209999999995</v>
      </c>
      <c r="AB50" s="13">
        <f t="shared" si="5"/>
        <v>2.9030021371462373</v>
      </c>
      <c r="AC50" s="27">
        <f t="shared" si="6"/>
        <v>487.69757218648192</v>
      </c>
      <c r="AD50" s="13"/>
      <c r="AE50" s="13"/>
      <c r="AN50" s="1">
        <v>49</v>
      </c>
      <c r="AO50" s="1">
        <v>1</v>
      </c>
    </row>
    <row r="51" spans="1:41" s="1" customFormat="1" ht="14.4" x14ac:dyDescent="0.3">
      <c r="A51" s="6">
        <v>42598</v>
      </c>
      <c r="B51" s="73"/>
      <c r="C51" s="2">
        <v>20.6</v>
      </c>
      <c r="D51" s="2">
        <v>30.34</v>
      </c>
      <c r="E51" s="7" t="s">
        <v>248</v>
      </c>
      <c r="F51" t="s">
        <v>249</v>
      </c>
      <c r="G51">
        <v>1000</v>
      </c>
      <c r="H51" s="1">
        <v>15.86</v>
      </c>
      <c r="I51" s="1">
        <v>7751</v>
      </c>
      <c r="K51" s="1">
        <v>6.09</v>
      </c>
      <c r="L51" s="1">
        <v>1</v>
      </c>
      <c r="M51" s="7"/>
      <c r="N51" s="2">
        <f>C51</f>
        <v>20.6</v>
      </c>
      <c r="O51" s="8">
        <f>0.001316*((D51*25.4)-(2.5*2053/100))</f>
        <v>0.94661327599999978</v>
      </c>
      <c r="P51" s="9">
        <f t="shared" si="20"/>
        <v>3.9274994271785486E-5</v>
      </c>
      <c r="Q51" s="9"/>
      <c r="R51"/>
      <c r="S51"/>
      <c r="T51"/>
      <c r="U51"/>
      <c r="V51"/>
      <c r="W51"/>
      <c r="X51">
        <f t="shared" si="7"/>
        <v>1.4661399999999999E-3</v>
      </c>
      <c r="Y51" s="75">
        <f t="shared" si="8"/>
        <v>0.22532009999999997</v>
      </c>
      <c r="Z51" s="25">
        <f t="shared" si="3"/>
        <v>1.4661399999999998</v>
      </c>
      <c r="AA51" s="25">
        <f t="shared" si="4"/>
        <v>225.32009999999997</v>
      </c>
      <c r="AB51" s="13">
        <f t="shared" si="5"/>
        <v>3.1079938103309797</v>
      </c>
      <c r="AC51" s="27">
        <f t="shared" si="6"/>
        <v>477.64434238419068</v>
      </c>
      <c r="AD51" s="13"/>
      <c r="AE51" s="13"/>
      <c r="AN51" s="1">
        <v>50</v>
      </c>
      <c r="AO51" s="1">
        <v>1</v>
      </c>
    </row>
    <row r="52" spans="1:41" s="1" customFormat="1" ht="14.4" x14ac:dyDescent="0.3">
      <c r="A52" s="6">
        <v>42598</v>
      </c>
      <c r="B52" s="73"/>
      <c r="C52" s="2">
        <v>20.6</v>
      </c>
      <c r="D52" s="2">
        <v>30.34</v>
      </c>
      <c r="E52" s="7" t="s">
        <v>248</v>
      </c>
      <c r="F52" t="s">
        <v>249</v>
      </c>
      <c r="G52">
        <v>1000</v>
      </c>
      <c r="H52" s="1">
        <v>15.61</v>
      </c>
      <c r="I52" s="1">
        <v>8010</v>
      </c>
      <c r="K52" s="1">
        <v>4.68</v>
      </c>
      <c r="L52" s="1">
        <v>1</v>
      </c>
      <c r="M52" s="7"/>
      <c r="N52" s="2">
        <f t="shared" ref="N52:N53" si="29">C52</f>
        <v>20.6</v>
      </c>
      <c r="O52" s="8">
        <f t="shared" ref="O52:O53" si="30">0.001316*((D52*25.4)-(2.5*2053/100))</f>
        <v>0.94661327599999978</v>
      </c>
      <c r="P52" s="9">
        <f t="shared" si="20"/>
        <v>3.9274994271785486E-5</v>
      </c>
      <c r="Q52" s="9"/>
      <c r="R52"/>
      <c r="S52"/>
      <c r="T52"/>
      <c r="U52"/>
      <c r="V52"/>
      <c r="W52"/>
      <c r="X52">
        <f t="shared" si="7"/>
        <v>1.4413899999999999E-3</v>
      </c>
      <c r="Y52" s="75">
        <f t="shared" si="8"/>
        <v>0.22705439999999999</v>
      </c>
      <c r="Z52" s="25">
        <f t="shared" si="3"/>
        <v>1.4413899999999999</v>
      </c>
      <c r="AA52" s="25">
        <f t="shared" si="4"/>
        <v>227.05439999999999</v>
      </c>
      <c r="AB52" s="13">
        <f t="shared" si="5"/>
        <v>3.0555275746333708</v>
      </c>
      <c r="AC52" s="27">
        <f t="shared" si="6"/>
        <v>481.32079460925581</v>
      </c>
      <c r="AD52" s="13"/>
      <c r="AE52" s="13"/>
      <c r="AN52" s="1">
        <v>51</v>
      </c>
      <c r="AO52" s="1">
        <v>1</v>
      </c>
    </row>
    <row r="53" spans="1:41" s="1" customFormat="1" ht="14.4" x14ac:dyDescent="0.3">
      <c r="A53" s="6">
        <v>42598</v>
      </c>
      <c r="B53" s="73"/>
      <c r="C53" s="2">
        <v>20.6</v>
      </c>
      <c r="D53" s="2">
        <v>30.34</v>
      </c>
      <c r="E53" s="7" t="s">
        <v>248</v>
      </c>
      <c r="F53" t="s">
        <v>249</v>
      </c>
      <c r="G53">
        <v>1000</v>
      </c>
      <c r="H53" s="1">
        <v>18.329999999999998</v>
      </c>
      <c r="I53" s="1">
        <v>8009</v>
      </c>
      <c r="K53" s="1">
        <v>4.8499999999999996</v>
      </c>
      <c r="L53" s="1">
        <v>1</v>
      </c>
      <c r="M53" s="7"/>
      <c r="N53" s="2">
        <f t="shared" si="29"/>
        <v>20.6</v>
      </c>
      <c r="O53" s="8">
        <f t="shared" si="30"/>
        <v>0.94661327599999978</v>
      </c>
      <c r="P53" s="9">
        <f t="shared" si="20"/>
        <v>3.9274994271785486E-5</v>
      </c>
      <c r="Q53" s="9"/>
      <c r="R53"/>
      <c r="S53"/>
      <c r="T53"/>
      <c r="U53"/>
      <c r="V53"/>
      <c r="W53"/>
      <c r="X53">
        <f t="shared" si="7"/>
        <v>1.7106699999999999E-3</v>
      </c>
      <c r="Y53" s="75">
        <f t="shared" si="8"/>
        <v>0.22874249999999996</v>
      </c>
      <c r="Z53" s="25">
        <f t="shared" si="3"/>
        <v>1.7106699999999999</v>
      </c>
      <c r="AA53" s="25">
        <f t="shared" si="4"/>
        <v>228.74249999999998</v>
      </c>
      <c r="AB53" s="13">
        <f t="shared" si="5"/>
        <v>3.6263602190233515</v>
      </c>
      <c r="AC53" s="27">
        <f t="shared" si="6"/>
        <v>484.89930986101871</v>
      </c>
      <c r="AD53" s="13"/>
      <c r="AE53" s="13"/>
      <c r="AN53" s="1">
        <v>52</v>
      </c>
      <c r="AO53" s="1">
        <v>1</v>
      </c>
    </row>
    <row r="54" spans="1:41" s="1" customFormat="1" ht="14.4" x14ac:dyDescent="0.3">
      <c r="A54" s="6">
        <v>42601</v>
      </c>
      <c r="B54" s="73"/>
      <c r="C54" s="2">
        <v>19.2</v>
      </c>
      <c r="D54" s="2">
        <v>30.13</v>
      </c>
      <c r="E54" s="7" t="s">
        <v>248</v>
      </c>
      <c r="F54" t="s">
        <v>249</v>
      </c>
      <c r="G54">
        <v>1000</v>
      </c>
      <c r="H54" s="1">
        <v>14.65</v>
      </c>
      <c r="I54" s="1">
        <v>7611</v>
      </c>
      <c r="K54" s="1">
        <v>4.43</v>
      </c>
      <c r="L54" s="1">
        <v>1</v>
      </c>
      <c r="M54" s="7"/>
      <c r="N54" s="2">
        <f>C54</f>
        <v>19.2</v>
      </c>
      <c r="O54" s="8">
        <f>0.001316*((D54*25.4)-(2.5*2053/100))</f>
        <v>0.93959373199999974</v>
      </c>
      <c r="P54" s="9">
        <f t="shared" si="20"/>
        <v>3.9170437961643683E-5</v>
      </c>
      <c r="Q54" s="9"/>
      <c r="R54"/>
      <c r="S54"/>
      <c r="T54"/>
      <c r="U54"/>
      <c r="V54"/>
      <c r="W54"/>
      <c r="X54">
        <f t="shared" si="7"/>
        <v>1.3463500000000001E-3</v>
      </c>
      <c r="Y54" s="75">
        <f t="shared" si="8"/>
        <v>0.22362690000000002</v>
      </c>
      <c r="Z54" s="25">
        <f t="shared" si="3"/>
        <v>1.3463500000000002</v>
      </c>
      <c r="AA54" s="25">
        <f t="shared" si="4"/>
        <v>223.62690000000003</v>
      </c>
      <c r="AB54" s="13">
        <f t="shared" si="5"/>
        <v>2.8616754668882285</v>
      </c>
      <c r="AC54" s="27">
        <f t="shared" si="6"/>
        <v>475.3203947459927</v>
      </c>
      <c r="AD54" s="13"/>
      <c r="AE54" s="13"/>
      <c r="AN54" s="1">
        <v>53</v>
      </c>
      <c r="AO54" s="1">
        <v>1</v>
      </c>
    </row>
    <row r="55" spans="1:41" s="1" customFormat="1" ht="14.4" x14ac:dyDescent="0.3">
      <c r="A55" s="6">
        <v>42601</v>
      </c>
      <c r="B55" s="73"/>
      <c r="C55" s="2">
        <v>19.2</v>
      </c>
      <c r="D55" s="2">
        <v>30.13</v>
      </c>
      <c r="E55" s="7" t="s">
        <v>248</v>
      </c>
      <c r="F55" t="s">
        <v>249</v>
      </c>
      <c r="G55">
        <v>1000</v>
      </c>
      <c r="H55" s="1">
        <v>14.16</v>
      </c>
      <c r="I55" s="1">
        <v>7558</v>
      </c>
      <c r="K55" s="1">
        <v>4.7300000000000004</v>
      </c>
      <c r="L55" s="1">
        <v>1</v>
      </c>
      <c r="M55" s="7"/>
      <c r="N55" s="2">
        <f t="shared" ref="N55:N57" si="31">C55</f>
        <v>19.2</v>
      </c>
      <c r="O55" s="8">
        <f t="shared" ref="O55:O57" si="32">0.001316*((D55*25.4)-(2.5*2053/100))</f>
        <v>0.93959373199999974</v>
      </c>
      <c r="P55" s="9">
        <f t="shared" si="20"/>
        <v>3.9170437961643683E-5</v>
      </c>
      <c r="Q55" s="9"/>
      <c r="R55"/>
      <c r="S55"/>
      <c r="T55"/>
      <c r="U55"/>
      <c r="V55"/>
      <c r="W55"/>
      <c r="X55">
        <f t="shared" si="7"/>
        <v>1.29784E-3</v>
      </c>
      <c r="Y55" s="75">
        <f t="shared" si="8"/>
        <v>0.2276049</v>
      </c>
      <c r="Z55" s="25">
        <f t="shared" si="3"/>
        <v>1.2978399999999999</v>
      </c>
      <c r="AA55" s="25">
        <f t="shared" si="4"/>
        <v>227.60489999999999</v>
      </c>
      <c r="AB55" s="13">
        <f t="shared" si="5"/>
        <v>2.7585671541175909</v>
      </c>
      <c r="AC55" s="27">
        <f t="shared" si="6"/>
        <v>483.77565898432692</v>
      </c>
      <c r="AD55" s="13"/>
      <c r="AE55" s="13"/>
      <c r="AN55" s="1">
        <v>54</v>
      </c>
      <c r="AO55" s="1">
        <v>1</v>
      </c>
    </row>
    <row r="56" spans="1:41" s="1" customFormat="1" ht="14.4" x14ac:dyDescent="0.3">
      <c r="A56" s="6">
        <v>42601</v>
      </c>
      <c r="B56" s="73"/>
      <c r="C56" s="2">
        <v>19.2</v>
      </c>
      <c r="D56" s="2">
        <v>30.13</v>
      </c>
      <c r="E56" s="7" t="s">
        <v>248</v>
      </c>
      <c r="F56" t="s">
        <v>249</v>
      </c>
      <c r="G56">
        <v>1000</v>
      </c>
      <c r="H56" s="1">
        <v>13.69</v>
      </c>
      <c r="I56" s="1">
        <v>7938</v>
      </c>
      <c r="K56" s="1">
        <v>7.64</v>
      </c>
      <c r="L56" s="1">
        <v>1</v>
      </c>
      <c r="M56" s="7"/>
      <c r="N56" s="2">
        <f t="shared" si="31"/>
        <v>19.2</v>
      </c>
      <c r="O56" s="8">
        <f t="shared" si="32"/>
        <v>0.93959373199999974</v>
      </c>
      <c r="P56" s="9">
        <f t="shared" si="20"/>
        <v>3.9170437961643683E-5</v>
      </c>
      <c r="Q56" s="9"/>
      <c r="R56"/>
      <c r="S56"/>
      <c r="T56"/>
      <c r="U56"/>
      <c r="V56"/>
      <c r="W56"/>
      <c r="X56">
        <f t="shared" si="7"/>
        <v>1.2513099999999998E-3</v>
      </c>
      <c r="Y56" s="75">
        <f t="shared" si="8"/>
        <v>0.18212159999999994</v>
      </c>
      <c r="Z56" s="25">
        <f t="shared" si="3"/>
        <v>1.2513099999999999</v>
      </c>
      <c r="AA56" s="25">
        <f t="shared" si="4"/>
        <v>182.12159999999994</v>
      </c>
      <c r="AB56" s="13">
        <f t="shared" si="5"/>
        <v>2.6596673439090197</v>
      </c>
      <c r="AC56" s="27">
        <f t="shared" si="6"/>
        <v>387.10061626652134</v>
      </c>
      <c r="AD56" s="13"/>
      <c r="AE56" s="13"/>
      <c r="AN56" s="1">
        <v>55</v>
      </c>
      <c r="AO56" s="1">
        <v>1</v>
      </c>
    </row>
    <row r="57" spans="1:41" customFormat="1" ht="14.4" x14ac:dyDescent="0.3">
      <c r="A57" s="6">
        <v>42601</v>
      </c>
      <c r="B57" s="73"/>
      <c r="C57" s="2">
        <v>19.2</v>
      </c>
      <c r="D57" s="2">
        <v>30.13</v>
      </c>
      <c r="E57" s="7" t="s">
        <v>248</v>
      </c>
      <c r="F57" t="s">
        <v>249</v>
      </c>
      <c r="G57" s="7">
        <v>1000</v>
      </c>
      <c r="H57" s="1">
        <v>14.48</v>
      </c>
      <c r="I57" s="1">
        <v>7957</v>
      </c>
      <c r="J57" s="1"/>
      <c r="K57" s="1">
        <v>4.08</v>
      </c>
      <c r="L57" s="1">
        <v>1</v>
      </c>
      <c r="M57" s="7"/>
      <c r="N57" s="2">
        <f t="shared" si="31"/>
        <v>19.2</v>
      </c>
      <c r="O57" s="8">
        <f t="shared" si="32"/>
        <v>0.93959373199999974</v>
      </c>
      <c r="P57" s="9">
        <f t="shared" si="20"/>
        <v>3.9170437961643683E-5</v>
      </c>
      <c r="Q57" s="9"/>
      <c r="X57">
        <f t="shared" si="7"/>
        <v>1.3295200000000001E-3</v>
      </c>
      <c r="Y57" s="75">
        <f t="shared" si="8"/>
        <v>0.21693839999999998</v>
      </c>
      <c r="Z57" s="25">
        <f t="shared" si="3"/>
        <v>1.32952</v>
      </c>
      <c r="AA57" s="25">
        <f t="shared" si="4"/>
        <v>216.93839999999997</v>
      </c>
      <c r="AB57" s="13">
        <f t="shared" si="5"/>
        <v>2.8259031951106603</v>
      </c>
      <c r="AC57" s="27">
        <f t="shared" si="6"/>
        <v>461.10394556095014</v>
      </c>
      <c r="AD57" s="13"/>
      <c r="AE57" s="13"/>
      <c r="AF57" s="1"/>
      <c r="AG57" s="1"/>
      <c r="AH57" s="1"/>
      <c r="AI57" s="1"/>
      <c r="AN57" s="1">
        <v>56</v>
      </c>
      <c r="AO57" s="1">
        <v>1</v>
      </c>
    </row>
    <row r="58" spans="1:41" s="1" customFormat="1" ht="14.4" x14ac:dyDescent="0.3">
      <c r="A58" s="6">
        <v>42611</v>
      </c>
      <c r="B58" s="73"/>
      <c r="C58" s="2">
        <v>19</v>
      </c>
      <c r="D58" s="2">
        <v>30.3</v>
      </c>
      <c r="E58" s="7" t="s">
        <v>248</v>
      </c>
      <c r="F58" t="s">
        <v>249</v>
      </c>
      <c r="G58">
        <v>1000</v>
      </c>
      <c r="H58" s="1">
        <v>14.45</v>
      </c>
      <c r="I58" s="1">
        <v>7750</v>
      </c>
      <c r="K58" s="1">
        <v>4.28</v>
      </c>
      <c r="L58" s="1">
        <v>1</v>
      </c>
      <c r="M58" s="7"/>
      <c r="N58" s="2">
        <f>C58</f>
        <v>19</v>
      </c>
      <c r="O58" s="8">
        <f>0.001316*((D58*25.4)-(2.5*2053/100))</f>
        <v>0.94527621999999989</v>
      </c>
      <c r="P58" s="9">
        <f t="shared" si="20"/>
        <v>3.943431094546587E-5</v>
      </c>
      <c r="Q58" s="9"/>
      <c r="R58"/>
      <c r="S58"/>
      <c r="T58"/>
      <c r="U58"/>
      <c r="V58"/>
      <c r="W58"/>
      <c r="X58">
        <f t="shared" si="7"/>
        <v>1.3265499999999999E-3</v>
      </c>
      <c r="Y58" s="75">
        <f t="shared" si="8"/>
        <v>0.22103040000000002</v>
      </c>
      <c r="Z58" s="25">
        <f t="shared" si="3"/>
        <v>1.3265499999999999</v>
      </c>
      <c r="AA58" s="25">
        <f t="shared" si="4"/>
        <v>221.03040000000001</v>
      </c>
      <c r="AB58" s="13">
        <f t="shared" si="5"/>
        <v>2.8007232739440915</v>
      </c>
      <c r="AC58" s="27">
        <f t="shared" si="6"/>
        <v>466.65786101479193</v>
      </c>
      <c r="AD58" s="13"/>
      <c r="AE58" s="13"/>
      <c r="AN58" s="1">
        <v>57</v>
      </c>
      <c r="AO58" s="1">
        <v>1</v>
      </c>
    </row>
    <row r="59" spans="1:41" s="1" customFormat="1" ht="14.4" x14ac:dyDescent="0.3">
      <c r="A59" s="6">
        <v>42611</v>
      </c>
      <c r="B59" s="73"/>
      <c r="C59" s="2">
        <v>19</v>
      </c>
      <c r="D59" s="2">
        <v>30.3</v>
      </c>
      <c r="E59" s="7" t="s">
        <v>248</v>
      </c>
      <c r="F59" t="s">
        <v>249</v>
      </c>
      <c r="G59">
        <v>1000</v>
      </c>
      <c r="H59" s="1">
        <v>15.24</v>
      </c>
      <c r="I59" s="1">
        <v>7537</v>
      </c>
      <c r="K59" s="1">
        <v>4.32</v>
      </c>
      <c r="L59" s="1">
        <v>1</v>
      </c>
      <c r="M59" s="7"/>
      <c r="N59" s="2">
        <f t="shared" ref="N59:N61" si="33">C59</f>
        <v>19</v>
      </c>
      <c r="O59" s="8">
        <f t="shared" ref="O59:O61" si="34">0.001316*((D59*25.4)-(2.5*2053/100))</f>
        <v>0.94527621999999989</v>
      </c>
      <c r="P59" s="9">
        <f t="shared" si="20"/>
        <v>3.943431094546587E-5</v>
      </c>
      <c r="Q59" s="9"/>
      <c r="R59"/>
      <c r="S59"/>
      <c r="T59"/>
      <c r="U59"/>
      <c r="V59"/>
      <c r="W59"/>
      <c r="X59">
        <f t="shared" si="7"/>
        <v>1.4047599999999999E-3</v>
      </c>
      <c r="Y59" s="75">
        <f t="shared" si="8"/>
        <v>0.22176240000000003</v>
      </c>
      <c r="Z59" s="25">
        <f t="shared" si="3"/>
        <v>1.40476</v>
      </c>
      <c r="AA59" s="25">
        <f t="shared" si="4"/>
        <v>221.76240000000001</v>
      </c>
      <c r="AB59" s="13">
        <f t="shared" si="5"/>
        <v>2.9658467651469618</v>
      </c>
      <c r="AC59" s="27">
        <f t="shared" si="6"/>
        <v>468.20332061791817</v>
      </c>
      <c r="AD59" s="13"/>
      <c r="AE59" s="13"/>
      <c r="AN59" s="1">
        <v>58</v>
      </c>
      <c r="AO59" s="1">
        <v>1</v>
      </c>
    </row>
    <row r="60" spans="1:41" s="1" customFormat="1" ht="14.4" x14ac:dyDescent="0.3">
      <c r="A60" s="6">
        <v>42611</v>
      </c>
      <c r="B60" s="73"/>
      <c r="C60" s="2">
        <v>19</v>
      </c>
      <c r="D60" s="2">
        <v>30.3</v>
      </c>
      <c r="E60" s="7" t="s">
        <v>248</v>
      </c>
      <c r="F60" t="s">
        <v>249</v>
      </c>
      <c r="G60">
        <v>1000</v>
      </c>
      <c r="H60" s="1">
        <v>19.32</v>
      </c>
      <c r="I60" s="1">
        <v>7971</v>
      </c>
      <c r="K60" s="1">
        <v>3.81</v>
      </c>
      <c r="L60" s="1">
        <v>1</v>
      </c>
      <c r="M60" s="7"/>
      <c r="N60" s="2">
        <f t="shared" si="33"/>
        <v>19</v>
      </c>
      <c r="O60" s="8">
        <f t="shared" si="34"/>
        <v>0.94527621999999989</v>
      </c>
      <c r="P60" s="9">
        <f t="shared" si="20"/>
        <v>3.943431094546587E-5</v>
      </c>
      <c r="Q60" s="9"/>
      <c r="R60"/>
      <c r="S60"/>
      <c r="T60"/>
      <c r="U60"/>
      <c r="V60"/>
      <c r="W60"/>
      <c r="X60">
        <f t="shared" si="7"/>
        <v>1.80868E-3</v>
      </c>
      <c r="Y60" s="75">
        <f t="shared" si="8"/>
        <v>0.21027209999999999</v>
      </c>
      <c r="Z60" s="25">
        <f t="shared" si="3"/>
        <v>1.8086800000000001</v>
      </c>
      <c r="AA60" s="25">
        <f t="shared" si="4"/>
        <v>210.27209999999997</v>
      </c>
      <c r="AB60" s="13">
        <f t="shared" si="5"/>
        <v>3.818636441232671</v>
      </c>
      <c r="AC60" s="27">
        <f t="shared" si="6"/>
        <v>443.94403854441924</v>
      </c>
      <c r="AD60" s="13"/>
      <c r="AE60" s="13"/>
      <c r="AN60" s="1">
        <v>59</v>
      </c>
      <c r="AO60" s="1">
        <v>1</v>
      </c>
    </row>
    <row r="61" spans="1:41" customFormat="1" ht="14.4" x14ac:dyDescent="0.3">
      <c r="A61" s="6">
        <v>42611</v>
      </c>
      <c r="B61" s="73"/>
      <c r="C61" s="2">
        <v>19</v>
      </c>
      <c r="D61" s="2">
        <v>30.3</v>
      </c>
      <c r="E61" s="7" t="s">
        <v>248</v>
      </c>
      <c r="F61" t="s">
        <v>249</v>
      </c>
      <c r="G61" s="7">
        <v>1000</v>
      </c>
      <c r="H61" s="1">
        <v>15.55</v>
      </c>
      <c r="I61" s="1">
        <v>8065</v>
      </c>
      <c r="J61" s="1"/>
      <c r="K61" s="1">
        <v>4.75</v>
      </c>
      <c r="L61" s="1">
        <v>1</v>
      </c>
      <c r="M61" s="7"/>
      <c r="N61" s="2">
        <f t="shared" si="33"/>
        <v>19</v>
      </c>
      <c r="O61" s="8">
        <f t="shared" si="34"/>
        <v>0.94527621999999989</v>
      </c>
      <c r="P61" s="9">
        <f t="shared" si="20"/>
        <v>3.943431094546587E-5</v>
      </c>
      <c r="Q61" s="9"/>
      <c r="X61">
        <f t="shared" si="7"/>
        <v>1.43545E-3</v>
      </c>
      <c r="Y61" s="75">
        <f t="shared" si="8"/>
        <v>0.22781249999999997</v>
      </c>
      <c r="Z61" s="25">
        <f t="shared" si="3"/>
        <v>1.4354500000000001</v>
      </c>
      <c r="AA61" s="25">
        <f t="shared" si="4"/>
        <v>227.81249999999997</v>
      </c>
      <c r="AB61" s="13">
        <f t="shared" si="5"/>
        <v>3.0306420591632781</v>
      </c>
      <c r="AC61" s="27">
        <f t="shared" si="6"/>
        <v>480.97679759178948</v>
      </c>
      <c r="AD61" s="13"/>
      <c r="AE61" s="13"/>
      <c r="AF61" s="1"/>
      <c r="AG61" s="1"/>
      <c r="AH61" s="1"/>
      <c r="AI61" s="1"/>
      <c r="AN61" s="1">
        <v>60</v>
      </c>
      <c r="AO61" s="1">
        <v>1</v>
      </c>
    </row>
    <row r="62" spans="1:41" s="1" customFormat="1" ht="14.4" x14ac:dyDescent="0.3">
      <c r="A62" s="6">
        <v>42620</v>
      </c>
      <c r="B62" s="73"/>
      <c r="C62" s="2">
        <v>19.600000000000001</v>
      </c>
      <c r="D62" s="2">
        <v>30.28</v>
      </c>
      <c r="E62" s="7" t="s">
        <v>248</v>
      </c>
      <c r="F62" t="s">
        <v>249</v>
      </c>
      <c r="G62">
        <v>1000</v>
      </c>
      <c r="H62" s="1">
        <v>14.14</v>
      </c>
      <c r="I62" s="1">
        <v>8120</v>
      </c>
      <c r="K62" s="1">
        <v>3.74</v>
      </c>
      <c r="L62" s="1">
        <v>1</v>
      </c>
      <c r="M62" s="7"/>
      <c r="N62" s="2">
        <f>C62</f>
        <v>19.600000000000001</v>
      </c>
      <c r="O62" s="8">
        <f>0.001316*((D62*25.4)-(2.5*2053/100))</f>
        <v>0.94460769199999983</v>
      </c>
      <c r="P62" s="9">
        <f>(O62*(G62/1000000))/(0.08205*(N62+273.15))</f>
        <v>3.9325657149131634E-5</v>
      </c>
      <c r="Q62" s="9"/>
      <c r="R62"/>
      <c r="S62"/>
      <c r="T62"/>
      <c r="U62"/>
      <c r="V62"/>
      <c r="W62"/>
      <c r="X62">
        <f>IF(H62&lt;100,(0.000099*H62)-0.000104,(IF(H62&lt;15000,((0.000101*H62)+0.010653),((0.000118*H62)-0.170562))))</f>
        <v>1.29586E-3</v>
      </c>
      <c r="Y62" s="75">
        <f>IF(K62&lt;0.7,"BD",(IF(K62&lt;10,(-0.009*K62^2)+(0.0957*K62)-0.0237,(0.071971*K62)+0.591237)))</f>
        <v>0.2083296</v>
      </c>
      <c r="Z62" s="25">
        <f t="shared" si="3"/>
        <v>1.2958600000000002</v>
      </c>
      <c r="AA62" s="25">
        <f t="shared" si="4"/>
        <v>208.3296</v>
      </c>
      <c r="AB62" s="13">
        <f t="shared" si="5"/>
        <v>2.7434871406148789</v>
      </c>
      <c r="AC62" s="27">
        <f t="shared" si="6"/>
        <v>441.05812248965276</v>
      </c>
      <c r="AD62" s="13"/>
      <c r="AE62" s="13"/>
      <c r="AN62" s="1">
        <v>61</v>
      </c>
      <c r="AO62" s="1">
        <v>1</v>
      </c>
    </row>
    <row r="63" spans="1:41" s="1" customFormat="1" ht="14.4" x14ac:dyDescent="0.3">
      <c r="A63" s="6">
        <v>42620</v>
      </c>
      <c r="B63" s="73"/>
      <c r="C63" s="2">
        <v>19.600000000000001</v>
      </c>
      <c r="D63" s="2">
        <v>30.28</v>
      </c>
      <c r="E63" s="7" t="s">
        <v>248</v>
      </c>
      <c r="F63" t="s">
        <v>249</v>
      </c>
      <c r="G63">
        <v>1000</v>
      </c>
      <c r="H63" s="1">
        <v>15.49</v>
      </c>
      <c r="I63" s="1">
        <v>8029</v>
      </c>
      <c r="K63" s="1">
        <v>7.53</v>
      </c>
      <c r="L63" s="1">
        <v>1</v>
      </c>
      <c r="M63" s="7"/>
      <c r="N63" s="2">
        <f t="shared" ref="N63:N66" si="35">C63</f>
        <v>19.600000000000001</v>
      </c>
      <c r="O63" s="8">
        <f t="shared" ref="O63:O66" si="36">0.001316*((D63*25.4)-(2.5*2053/100))</f>
        <v>0.94460769199999983</v>
      </c>
      <c r="P63" s="9">
        <f t="shared" ref="P63:P66" si="37">(O63*(G63/1000000))/(0.08205*(N63+273.15))</f>
        <v>3.9325657149131634E-5</v>
      </c>
      <c r="Q63" s="9"/>
      <c r="R63"/>
      <c r="S63"/>
      <c r="T63"/>
      <c r="U63"/>
      <c r="V63"/>
      <c r="W63"/>
      <c r="X63">
        <f t="shared" ref="X63:X66" si="38">IF(H63&lt;100,(0.000099*H63)-0.000104,(IF(H63&lt;15000,((0.000101*H63)+0.010653),((0.000118*H63)-0.170562))))</f>
        <v>1.4295099999999999E-3</v>
      </c>
      <c r="Y63" s="75">
        <f>IF(K63&lt;0.7,"BD",(IF(K63&lt;10,(-0.009*K63^2)+(0.0957*K63)-0.0237,(0.071971*K63)+0.591237)))</f>
        <v>0.18661289999999991</v>
      </c>
      <c r="Z63" s="25">
        <f t="shared" si="3"/>
        <v>1.4295100000000001</v>
      </c>
      <c r="AA63" s="25">
        <f t="shared" si="4"/>
        <v>186.61289999999991</v>
      </c>
      <c r="AB63" s="13">
        <f t="shared" si="5"/>
        <v>3.0264398178664167</v>
      </c>
      <c r="AC63" s="27">
        <f t="shared" si="6"/>
        <v>395.08132932789812</v>
      </c>
      <c r="AD63" s="13"/>
      <c r="AE63" s="13"/>
      <c r="AN63" s="1">
        <v>62</v>
      </c>
      <c r="AO63" s="1">
        <v>1</v>
      </c>
    </row>
    <row r="64" spans="1:41" s="1" customFormat="1" ht="14.4" x14ac:dyDescent="0.3">
      <c r="A64" s="6">
        <v>42620</v>
      </c>
      <c r="B64" s="73"/>
      <c r="C64" s="2">
        <v>19.600000000000001</v>
      </c>
      <c r="D64" s="2">
        <v>30.28</v>
      </c>
      <c r="E64" s="7" t="s">
        <v>248</v>
      </c>
      <c r="F64" t="s">
        <v>249</v>
      </c>
      <c r="G64">
        <v>1000</v>
      </c>
      <c r="H64" s="1">
        <v>14.86</v>
      </c>
      <c r="I64" s="1">
        <v>8039</v>
      </c>
      <c r="K64" s="1">
        <v>4.6399999999999997</v>
      </c>
      <c r="L64" s="1">
        <v>1</v>
      </c>
      <c r="M64" s="7"/>
      <c r="N64" s="2">
        <f t="shared" si="35"/>
        <v>19.600000000000001</v>
      </c>
      <c r="O64" s="8">
        <f t="shared" si="36"/>
        <v>0.94460769199999983</v>
      </c>
      <c r="P64" s="9">
        <f t="shared" si="37"/>
        <v>3.9325657149131634E-5</v>
      </c>
      <c r="Q64" s="9"/>
      <c r="R64"/>
      <c r="S64"/>
      <c r="T64"/>
      <c r="U64"/>
      <c r="V64"/>
      <c r="W64"/>
      <c r="X64">
        <f t="shared" si="38"/>
        <v>1.36714E-3</v>
      </c>
      <c r="Y64" s="75">
        <f t="shared" ref="Y64:Y66" si="39">IF(K64&lt;0.7,"BD",(IF(K64&lt;10,(-0.009*K64^2)+(0.0957*K64)-0.0237,(0.071971*K64)+0.591237)))</f>
        <v>0.22658159999999999</v>
      </c>
      <c r="Z64" s="25">
        <f t="shared" si="3"/>
        <v>1.3671399999999998</v>
      </c>
      <c r="AA64" s="25">
        <f t="shared" si="4"/>
        <v>226.58160000000001</v>
      </c>
      <c r="AB64" s="13">
        <f t="shared" si="5"/>
        <v>2.8943952351490325</v>
      </c>
      <c r="AC64" s="27">
        <f t="shared" si="6"/>
        <v>479.69974063551945</v>
      </c>
      <c r="AD64" s="13"/>
      <c r="AE64" s="13"/>
      <c r="AN64" s="1">
        <v>63</v>
      </c>
      <c r="AO64" s="1">
        <v>1</v>
      </c>
    </row>
    <row r="65" spans="1:113" s="1" customFormat="1" ht="14.4" x14ac:dyDescent="0.3">
      <c r="A65" s="6">
        <v>42620</v>
      </c>
      <c r="B65" s="73"/>
      <c r="C65" s="2">
        <v>19.600000000000001</v>
      </c>
      <c r="D65" s="2">
        <v>30.28</v>
      </c>
      <c r="E65" s="7" t="s">
        <v>248</v>
      </c>
      <c r="F65" t="s">
        <v>249</v>
      </c>
      <c r="G65">
        <v>1000</v>
      </c>
      <c r="H65" s="1">
        <v>17.59</v>
      </c>
      <c r="I65" s="1">
        <v>8087</v>
      </c>
      <c r="K65" s="1">
        <v>3.82</v>
      </c>
      <c r="L65" s="1">
        <v>1</v>
      </c>
      <c r="M65" s="7"/>
      <c r="N65" s="2">
        <f t="shared" si="35"/>
        <v>19.600000000000001</v>
      </c>
      <c r="O65" s="8">
        <f t="shared" si="36"/>
        <v>0.94460769199999983</v>
      </c>
      <c r="P65" s="9">
        <f t="shared" si="37"/>
        <v>3.9325657149131634E-5</v>
      </c>
      <c r="Q65" s="9"/>
      <c r="R65"/>
      <c r="S65"/>
      <c r="T65"/>
      <c r="U65"/>
      <c r="V65"/>
      <c r="W65"/>
      <c r="X65">
        <f t="shared" si="38"/>
        <v>1.63741E-3</v>
      </c>
      <c r="Y65" s="75">
        <f t="shared" si="39"/>
        <v>0.21054239999999996</v>
      </c>
      <c r="Z65" s="25">
        <f t="shared" si="3"/>
        <v>1.6374099999999998</v>
      </c>
      <c r="AA65" s="25">
        <f t="shared" si="4"/>
        <v>210.54239999999996</v>
      </c>
      <c r="AB65" s="13">
        <f t="shared" si="5"/>
        <v>3.4665884269243659</v>
      </c>
      <c r="AC65" s="27">
        <f t="shared" si="6"/>
        <v>445.74287882502273</v>
      </c>
      <c r="AD65" s="13"/>
      <c r="AE65" s="13"/>
      <c r="AN65" s="1">
        <v>64</v>
      </c>
      <c r="AO65" s="1">
        <v>1</v>
      </c>
    </row>
    <row r="66" spans="1:113" customFormat="1" ht="14.4" x14ac:dyDescent="0.3">
      <c r="A66" s="6">
        <v>42620</v>
      </c>
      <c r="B66" s="73"/>
      <c r="C66" s="2">
        <v>19.600000000000001</v>
      </c>
      <c r="D66" s="2">
        <v>30.28</v>
      </c>
      <c r="E66" s="7" t="s">
        <v>248</v>
      </c>
      <c r="F66" t="s">
        <v>249</v>
      </c>
      <c r="G66" s="7">
        <v>1000</v>
      </c>
      <c r="H66" s="1">
        <v>15.58</v>
      </c>
      <c r="I66" s="1">
        <v>8252</v>
      </c>
      <c r="J66" s="1"/>
      <c r="K66" s="1">
        <v>4.59</v>
      </c>
      <c r="L66" s="1">
        <v>1</v>
      </c>
      <c r="M66" s="7"/>
      <c r="N66" s="2">
        <f t="shared" si="35"/>
        <v>19.600000000000001</v>
      </c>
      <c r="O66" s="8">
        <f t="shared" si="36"/>
        <v>0.94460769199999983</v>
      </c>
      <c r="P66" s="9">
        <f t="shared" si="37"/>
        <v>3.9325657149131634E-5</v>
      </c>
      <c r="Q66" s="9"/>
      <c r="X66">
        <f t="shared" si="38"/>
        <v>1.4384199999999999E-3</v>
      </c>
      <c r="Y66" s="75">
        <f t="shared" si="39"/>
        <v>0.22595009999999999</v>
      </c>
      <c r="Z66" s="25">
        <f t="shared" ref="Z66:Z70" si="40">X66*1000000/G66</f>
        <v>1.4384199999999998</v>
      </c>
      <c r="AA66" s="25">
        <f t="shared" ref="AA66:AA70" si="41">Y66*1000000/G66</f>
        <v>225.95009999999996</v>
      </c>
      <c r="AB66" s="13">
        <f t="shared" ref="AB66" si="42">(X66/12.011)/P66</f>
        <v>3.0453033296831862</v>
      </c>
      <c r="AC66" s="27">
        <f t="shared" ref="AC66" si="43">(Y66/12.011)/P66</f>
        <v>478.36278129631739</v>
      </c>
      <c r="AD66" s="13"/>
      <c r="AE66" s="13"/>
      <c r="AF66" s="1"/>
      <c r="AG66" s="1"/>
      <c r="AH66" s="1"/>
      <c r="AI66" s="1"/>
      <c r="AN66" s="1">
        <v>65</v>
      </c>
      <c r="AO66" s="1">
        <v>1</v>
      </c>
    </row>
    <row r="67" spans="1:113" s="7" customFormat="1" ht="14.4" x14ac:dyDescent="0.3">
      <c r="A67" s="41">
        <v>42625</v>
      </c>
      <c r="B67" s="79"/>
      <c r="C67" s="43">
        <v>19.7</v>
      </c>
      <c r="D67" s="43">
        <v>30.32</v>
      </c>
      <c r="E67" s="7" t="s">
        <v>248</v>
      </c>
      <c r="F67" s="7" t="s">
        <v>249</v>
      </c>
      <c r="G67" s="7">
        <v>1000</v>
      </c>
      <c r="H67" s="7">
        <v>14.73</v>
      </c>
      <c r="I67" s="7">
        <v>8006</v>
      </c>
      <c r="K67" s="7">
        <v>6.66</v>
      </c>
      <c r="L67" s="7">
        <v>1</v>
      </c>
      <c r="N67" s="43">
        <f>C67</f>
        <v>19.7</v>
      </c>
      <c r="O67" s="44">
        <f>0.001316*((D67*25.4)-(2.5*2053/100))</f>
        <v>0.94594474799999972</v>
      </c>
      <c r="P67" s="45">
        <f>(O67*(G67/1000000))/(0.08205*(N67+273.15))</f>
        <v>3.936787350188636E-5</v>
      </c>
      <c r="Q67" s="45"/>
      <c r="X67" s="7">
        <f>IF(H67&lt;100,(0.000099*H67)-0.000104,(IF(H67&lt;15000,((0.000101*H67)+0.010653),((0.000118*H67)-0.170562))))</f>
        <v>1.3542700000000001E-3</v>
      </c>
      <c r="Y67" s="80">
        <f>IF(K67&lt;0.7,"BD",(IF(K67&lt;10,(-0.009*K67^2)+(0.0957*K67)-0.0237,(0.071971*K67)+0.591237)))</f>
        <v>0.21446159999999997</v>
      </c>
      <c r="Z67" s="81">
        <f t="shared" si="40"/>
        <v>1.3542700000000001</v>
      </c>
      <c r="AA67" s="81">
        <f t="shared" si="41"/>
        <v>214.46159999999998</v>
      </c>
      <c r="AB67" s="43">
        <f>(X67/12.011)/P67</f>
        <v>2.8640733386520316</v>
      </c>
      <c r="AC67" s="79">
        <f>(Y67/12.011)/P67</f>
        <v>453.55339092253132</v>
      </c>
      <c r="AD67" s="43"/>
      <c r="AE67" s="43"/>
      <c r="AN67" s="1">
        <v>66</v>
      </c>
      <c r="AO67" s="1">
        <v>1</v>
      </c>
    </row>
    <row r="68" spans="1:113" s="1" customFormat="1" ht="14.4" x14ac:dyDescent="0.3">
      <c r="A68" s="41">
        <v>42625</v>
      </c>
      <c r="B68" s="79"/>
      <c r="C68" s="43">
        <v>19.7</v>
      </c>
      <c r="D68" s="43">
        <v>30.32</v>
      </c>
      <c r="E68" s="7" t="s">
        <v>248</v>
      </c>
      <c r="F68" t="s">
        <v>249</v>
      </c>
      <c r="G68">
        <v>1000</v>
      </c>
      <c r="H68" s="7">
        <v>18.46</v>
      </c>
      <c r="I68" s="7">
        <v>7816</v>
      </c>
      <c r="J68" s="7"/>
      <c r="K68" s="7">
        <v>5.25</v>
      </c>
      <c r="L68" s="7">
        <v>1</v>
      </c>
      <c r="M68" s="7"/>
      <c r="N68" s="2">
        <f t="shared" ref="N68:N70" si="44">C68</f>
        <v>19.7</v>
      </c>
      <c r="O68" s="8">
        <f t="shared" ref="O68:O70" si="45">0.001316*((D68*25.4)-(2.5*2053/100))</f>
        <v>0.94594474799999972</v>
      </c>
      <c r="P68" s="9">
        <f t="shared" ref="P68:P70" si="46">(O68*(G68/1000000))/(0.08205*(N68+273.15))</f>
        <v>3.936787350188636E-5</v>
      </c>
      <c r="Q68" s="9"/>
      <c r="R68"/>
      <c r="S68"/>
      <c r="T68"/>
      <c r="U68"/>
      <c r="V68"/>
      <c r="W68"/>
      <c r="X68">
        <f t="shared" ref="X68:X70" si="47">IF(H68&lt;100,(0.000099*H68)-0.000104,(IF(H68&lt;15000,((0.000101*H68)+0.010653),((0.000118*H68)-0.170562))))</f>
        <v>1.72354E-3</v>
      </c>
      <c r="Y68" s="75">
        <f>IF(K68&lt;0.7,"BD",(IF(K68&lt;10,(-0.009*K68^2)+(0.0957*K68)-0.0237,(0.071971*K68)+0.591237)))</f>
        <v>0.23066250000000005</v>
      </c>
      <c r="Z68" s="25">
        <f t="shared" si="40"/>
        <v>1.7235400000000001</v>
      </c>
      <c r="AA68" s="25">
        <f t="shared" si="41"/>
        <v>230.66250000000005</v>
      </c>
      <c r="AB68" s="13">
        <f t="shared" ref="AB68:AB70" si="48">(X68/12.011)/P68</f>
        <v>3.6450227518148686</v>
      </c>
      <c r="AC68" s="27">
        <f t="shared" ref="AC68:AC70" si="49">(Y68/12.011)/P68</f>
        <v>487.81580960726023</v>
      </c>
      <c r="AD68" s="13"/>
      <c r="AE68" s="13"/>
      <c r="AN68" s="1">
        <v>67</v>
      </c>
      <c r="AO68" s="1">
        <v>1</v>
      </c>
    </row>
    <row r="69" spans="1:113" s="1" customFormat="1" ht="14.4" x14ac:dyDescent="0.3">
      <c r="A69" s="41">
        <v>42625</v>
      </c>
      <c r="B69" s="79"/>
      <c r="C69" s="43">
        <v>19.7</v>
      </c>
      <c r="D69" s="43">
        <v>30.32</v>
      </c>
      <c r="E69" s="7" t="s">
        <v>248</v>
      </c>
      <c r="F69" t="s">
        <v>249</v>
      </c>
      <c r="G69">
        <v>1000</v>
      </c>
      <c r="H69" s="7">
        <v>17.850000000000001</v>
      </c>
      <c r="I69" s="7">
        <v>8131</v>
      </c>
      <c r="J69" s="7"/>
      <c r="K69" s="7">
        <v>6.64</v>
      </c>
      <c r="L69" s="7">
        <v>1</v>
      </c>
      <c r="M69" s="7"/>
      <c r="N69" s="2">
        <f t="shared" si="44"/>
        <v>19.7</v>
      </c>
      <c r="O69" s="8">
        <f t="shared" si="45"/>
        <v>0.94594474799999972</v>
      </c>
      <c r="P69" s="9">
        <f t="shared" si="46"/>
        <v>3.936787350188636E-5</v>
      </c>
      <c r="Q69" s="9"/>
      <c r="R69"/>
      <c r="S69"/>
      <c r="T69"/>
      <c r="U69"/>
      <c r="V69"/>
      <c r="W69"/>
      <c r="X69">
        <f t="shared" si="47"/>
        <v>1.6631500000000002E-3</v>
      </c>
      <c r="Y69" s="75">
        <f t="shared" ref="Y69:Y70" si="50">IF(K69&lt;0.7,"BD",(IF(K69&lt;10,(-0.009*K69^2)+(0.0957*K69)-0.0237,(0.071971*K69)+0.591237)))</f>
        <v>0.21494159999999995</v>
      </c>
      <c r="Z69" s="25">
        <f t="shared" si="40"/>
        <v>1.6631500000000001</v>
      </c>
      <c r="AA69" s="25">
        <f t="shared" si="41"/>
        <v>214.94159999999994</v>
      </c>
      <c r="AB69" s="13">
        <f t="shared" si="48"/>
        <v>3.5173071641394453</v>
      </c>
      <c r="AC69" s="27">
        <f t="shared" si="49"/>
        <v>454.56851730246507</v>
      </c>
      <c r="AD69" s="13"/>
      <c r="AE69" s="13"/>
      <c r="AN69" s="1">
        <v>68</v>
      </c>
      <c r="AO69" s="1">
        <v>1</v>
      </c>
    </row>
    <row r="70" spans="1:113" customFormat="1" ht="14.4" x14ac:dyDescent="0.3">
      <c r="A70" s="41">
        <v>42625</v>
      </c>
      <c r="B70" s="79"/>
      <c r="C70" s="43">
        <v>19.7</v>
      </c>
      <c r="D70" s="43">
        <v>30.32</v>
      </c>
      <c r="E70" s="7" t="s">
        <v>248</v>
      </c>
      <c r="F70" t="s">
        <v>249</v>
      </c>
      <c r="G70" s="7">
        <v>1000</v>
      </c>
      <c r="H70" s="7">
        <v>12.71</v>
      </c>
      <c r="I70" s="7">
        <v>8126</v>
      </c>
      <c r="J70" s="7"/>
      <c r="K70" s="7">
        <v>3.92</v>
      </c>
      <c r="L70" s="7">
        <v>1</v>
      </c>
      <c r="M70" s="7"/>
      <c r="N70" s="2">
        <f t="shared" si="44"/>
        <v>19.7</v>
      </c>
      <c r="O70" s="8">
        <f t="shared" si="45"/>
        <v>0.94594474799999972</v>
      </c>
      <c r="P70" s="9">
        <f t="shared" si="46"/>
        <v>3.936787350188636E-5</v>
      </c>
      <c r="Q70" s="9"/>
      <c r="X70">
        <f t="shared" si="47"/>
        <v>1.1542900000000001E-3</v>
      </c>
      <c r="Y70" s="75">
        <f t="shared" si="50"/>
        <v>0.21314640000000001</v>
      </c>
      <c r="Z70" s="25">
        <f t="shared" si="40"/>
        <v>1.1542900000000003</v>
      </c>
      <c r="AA70" s="25">
        <f t="shared" si="41"/>
        <v>213.14640000000003</v>
      </c>
      <c r="AB70" s="13">
        <f t="shared" si="48"/>
        <v>2.4411463106121034</v>
      </c>
      <c r="AC70" s="27">
        <f t="shared" si="49"/>
        <v>450.77194464151273</v>
      </c>
      <c r="AD70" s="13"/>
      <c r="AE70" s="13"/>
      <c r="AF70" s="1"/>
      <c r="AG70" s="1"/>
      <c r="AH70" s="1"/>
      <c r="AI70" s="1"/>
      <c r="AN70" s="1">
        <v>69</v>
      </c>
      <c r="AO70" s="1">
        <v>1</v>
      </c>
    </row>
    <row r="71" spans="1:113" s="1" customFormat="1" ht="14.4" x14ac:dyDescent="0.3">
      <c r="A71" s="41"/>
      <c r="B71" s="79"/>
      <c r="C71" s="43"/>
      <c r="D71" s="43"/>
      <c r="E71" s="7"/>
      <c r="F71"/>
      <c r="G71"/>
      <c r="H71" s="7"/>
      <c r="I71" s="7"/>
      <c r="J71" s="7"/>
      <c r="K71" s="7"/>
      <c r="L71" s="7"/>
      <c r="M71" s="7"/>
      <c r="N71" s="2"/>
      <c r="O71" s="8"/>
      <c r="P71" s="9"/>
      <c r="Q71" s="9"/>
      <c r="R71"/>
      <c r="S71"/>
      <c r="T71"/>
      <c r="U71"/>
      <c r="V71"/>
      <c r="W71"/>
      <c r="X71"/>
      <c r="Y71" s="75"/>
      <c r="Z71" s="25"/>
      <c r="AA71" s="25"/>
      <c r="AB71" s="13"/>
      <c r="AC71" s="27"/>
      <c r="AD71" s="13"/>
      <c r="AE71" s="13"/>
    </row>
    <row r="72" spans="1:113" s="1" customFormat="1" ht="14.4" x14ac:dyDescent="0.3">
      <c r="A72" s="41"/>
      <c r="B72" s="79"/>
      <c r="C72" s="43"/>
      <c r="D72" s="43"/>
      <c r="E72" s="7"/>
      <c r="F72"/>
      <c r="G72"/>
      <c r="H72" s="7"/>
      <c r="I72" s="7"/>
      <c r="J72" s="7"/>
      <c r="K72" s="7"/>
      <c r="L72" s="7"/>
      <c r="M72" s="7"/>
      <c r="N72" s="2"/>
      <c r="O72" s="8"/>
      <c r="P72" s="9"/>
      <c r="Q72" s="9"/>
      <c r="R72"/>
      <c r="S72"/>
      <c r="T72"/>
      <c r="U72"/>
      <c r="V72"/>
      <c r="W72"/>
      <c r="X72"/>
      <c r="Y72" s="75"/>
      <c r="Z72" s="25"/>
      <c r="AA72" s="25"/>
      <c r="AB72" s="13"/>
      <c r="AC72" s="27"/>
      <c r="AD72" s="13"/>
      <c r="AE72" s="13"/>
    </row>
    <row r="73" spans="1:113" s="1" customFormat="1" ht="14.4" x14ac:dyDescent="0.3">
      <c r="A73" s="6"/>
      <c r="B73" s="73"/>
      <c r="C73" s="2"/>
      <c r="D73" s="2"/>
      <c r="E73" s="7"/>
      <c r="F73"/>
      <c r="M73" s="7"/>
      <c r="N73" s="2"/>
      <c r="O73" s="8"/>
      <c r="P73" s="9"/>
      <c r="Q73" s="9"/>
      <c r="R73"/>
      <c r="S73"/>
      <c r="T73"/>
      <c r="U73"/>
      <c r="V73"/>
      <c r="W73"/>
      <c r="X73" s="82"/>
      <c r="Y73" s="31"/>
      <c r="Z73" s="24"/>
      <c r="AA73" s="83"/>
      <c r="AB73" s="13"/>
      <c r="AC73" s="13"/>
      <c r="AD73" s="13"/>
      <c r="AE73" s="13"/>
    </row>
    <row r="74" spans="1:113" s="36" customFormat="1" x14ac:dyDescent="0.25">
      <c r="A74" s="40"/>
      <c r="B74" s="84"/>
      <c r="C74" s="40"/>
      <c r="D74" s="39"/>
      <c r="E74" s="39"/>
      <c r="F74" s="40"/>
      <c r="G74" s="40"/>
      <c r="H74" s="40"/>
      <c r="I74" s="40"/>
      <c r="J74" s="40"/>
      <c r="K74" s="40"/>
      <c r="L74" s="40"/>
      <c r="M74" s="39"/>
      <c r="N74" s="39"/>
      <c r="O74" s="53"/>
      <c r="P74" s="34"/>
      <c r="Q74" s="34"/>
      <c r="S74" s="38"/>
      <c r="T74" s="38"/>
      <c r="U74" s="38"/>
      <c r="V74" s="54"/>
      <c r="W74" s="54"/>
      <c r="Y74" s="85"/>
      <c r="Z74" s="86"/>
      <c r="AA74" s="87"/>
      <c r="AN74" s="55"/>
      <c r="AO74" s="53"/>
      <c r="AP74" s="53"/>
      <c r="AQ74" s="53"/>
      <c r="AR74" s="53"/>
      <c r="AS74" s="53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</row>
    <row r="75" spans="1:113" s="36" customFormat="1" x14ac:dyDescent="0.25">
      <c r="A75" s="40"/>
      <c r="B75" s="84"/>
      <c r="C75" s="40"/>
      <c r="D75" s="39"/>
      <c r="E75" s="34"/>
      <c r="F75" s="35" t="s">
        <v>40</v>
      </c>
      <c r="H75" s="38">
        <f>AVERAGE(H2:H73)</f>
        <v>15.18347826086957</v>
      </c>
      <c r="I75" s="38"/>
      <c r="J75" s="38"/>
      <c r="K75" s="38">
        <f>AVERAGE(K2:K73)</f>
        <v>4.5282608695652167</v>
      </c>
      <c r="L75" s="54"/>
      <c r="M75" s="39"/>
      <c r="N75" s="39"/>
      <c r="O75" s="53"/>
      <c r="P75" s="34"/>
      <c r="Q75" s="35"/>
      <c r="S75" s="38"/>
      <c r="T75" s="38"/>
      <c r="U75" s="38"/>
      <c r="V75" s="54"/>
      <c r="W75" s="54" t="s">
        <v>119</v>
      </c>
      <c r="X75" s="57">
        <f t="shared" ref="X75:AC75" si="51">MIN(X2:X73)</f>
        <v>1.1275599999999999E-3</v>
      </c>
      <c r="Y75" s="70">
        <f t="shared" si="51"/>
        <v>0.14661359999999998</v>
      </c>
      <c r="Z75" s="70">
        <f t="shared" si="51"/>
        <v>1.1275599999999999</v>
      </c>
      <c r="AA75" s="57">
        <f t="shared" si="51"/>
        <v>146.61359999999996</v>
      </c>
      <c r="AB75" s="57">
        <f>MIN(AB2:AB74)</f>
        <v>2.4050335381450063</v>
      </c>
      <c r="AC75" s="86">
        <f t="shared" si="51"/>
        <v>311.94791957990054</v>
      </c>
      <c r="AD75" s="57"/>
      <c r="AE75" s="57"/>
      <c r="AF75" s="55"/>
      <c r="AN75" s="55">
        <f>MIN(AN2:AN73)</f>
        <v>1</v>
      </c>
      <c r="AO75" s="53" t="s">
        <v>119</v>
      </c>
      <c r="AP75" s="53"/>
      <c r="AQ75" s="53"/>
      <c r="AR75" s="53"/>
      <c r="AS75" s="53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</row>
    <row r="76" spans="1:113" s="36" customFormat="1" x14ac:dyDescent="0.25">
      <c r="A76" s="40"/>
      <c r="B76" s="84"/>
      <c r="C76" s="40"/>
      <c r="D76" s="39"/>
      <c r="E76" s="34"/>
      <c r="F76" s="35" t="s">
        <v>91</v>
      </c>
      <c r="H76" s="38">
        <f>STDEV(H2:H73)</f>
        <v>1.8563767889651381</v>
      </c>
      <c r="I76" s="38"/>
      <c r="J76" s="38"/>
      <c r="K76" s="38">
        <f>STDEV(K2:K73)</f>
        <v>1.27245704483346</v>
      </c>
      <c r="L76" s="54"/>
      <c r="M76" s="39"/>
      <c r="N76" s="39"/>
      <c r="O76" s="53"/>
      <c r="P76" s="34"/>
      <c r="Q76" s="35"/>
      <c r="S76" s="38"/>
      <c r="T76" s="38"/>
      <c r="U76" s="38"/>
      <c r="V76" s="54"/>
      <c r="W76" s="54" t="s">
        <v>120</v>
      </c>
      <c r="X76" s="57">
        <f t="shared" ref="X76:AC76" si="52">MAX(X2:X73)</f>
        <v>2.09479E-3</v>
      </c>
      <c r="Y76" s="70">
        <f t="shared" si="52"/>
        <v>0.23070240000000003</v>
      </c>
      <c r="Z76" s="70">
        <f t="shared" si="52"/>
        <v>2.0947900000000002</v>
      </c>
      <c r="AA76" s="57">
        <f t="shared" si="52"/>
        <v>296.38585714285711</v>
      </c>
      <c r="AB76" s="57">
        <f>MAX(AB2:AB74)</f>
        <v>4.4695106135671701</v>
      </c>
      <c r="AC76" s="86">
        <f t="shared" si="52"/>
        <v>633.01594675296906</v>
      </c>
      <c r="AD76" s="57"/>
      <c r="AE76" s="57"/>
      <c r="AF76" s="55"/>
      <c r="AN76" s="55">
        <f>MAX(AN2:AN73)</f>
        <v>69</v>
      </c>
      <c r="AO76" s="53" t="s">
        <v>120</v>
      </c>
      <c r="AP76" s="53"/>
      <c r="AQ76" s="53"/>
      <c r="AR76" s="53"/>
      <c r="AS76" s="53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</row>
    <row r="77" spans="1:113" s="36" customFormat="1" x14ac:dyDescent="0.25">
      <c r="A77" s="40"/>
      <c r="B77" s="84"/>
      <c r="C77" s="40"/>
      <c r="D77" s="39"/>
      <c r="E77" s="34" t="s">
        <v>93</v>
      </c>
      <c r="F77" s="35" t="s">
        <v>95</v>
      </c>
      <c r="H77" s="38">
        <f>H75+(2*H76)</f>
        <v>18.896231838799846</v>
      </c>
      <c r="I77" s="38"/>
      <c r="J77" s="38"/>
      <c r="K77" s="38">
        <f>K75+(2*K76)</f>
        <v>7.0731749592321371</v>
      </c>
      <c r="L77" s="38">
        <f>H75-(2*H76)</f>
        <v>11.470724682939295</v>
      </c>
      <c r="M77" s="38">
        <f>K75-(2*K76)</f>
        <v>1.9833467798982967</v>
      </c>
      <c r="N77" s="39"/>
      <c r="O77" s="53"/>
      <c r="P77" s="34"/>
      <c r="Q77" s="35"/>
      <c r="S77" s="38"/>
      <c r="T77" s="38"/>
      <c r="U77" s="38"/>
      <c r="V77" s="38"/>
      <c r="W77" s="36" t="s">
        <v>40</v>
      </c>
      <c r="X77" s="57">
        <f t="shared" ref="X77:AC77" si="53">AVERAGE(X2:X73)</f>
        <v>1.3991643478260872E-3</v>
      </c>
      <c r="Y77" s="70">
        <f t="shared" si="53"/>
        <v>0.21074711739130428</v>
      </c>
      <c r="Z77" s="70">
        <f t="shared" si="53"/>
        <v>1.407711242236025</v>
      </c>
      <c r="AA77" s="57">
        <f t="shared" si="53"/>
        <v>212.03575155279498</v>
      </c>
      <c r="AB77" s="57">
        <f>AVERAGE(AB2:AB74)</f>
        <v>2.9879643031040386</v>
      </c>
      <c r="AC77" s="86">
        <f t="shared" si="53"/>
        <v>450.11263551333394</v>
      </c>
      <c r="AD77" s="57"/>
      <c r="AE77" s="57"/>
      <c r="AN77" s="53"/>
      <c r="AO77" s="53" t="s">
        <v>28</v>
      </c>
      <c r="AP77" s="53"/>
      <c r="AQ77" s="53"/>
      <c r="AR77" s="53"/>
      <c r="AS77" s="53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</row>
    <row r="78" spans="1:113" s="36" customFormat="1" x14ac:dyDescent="0.25">
      <c r="A78" s="40"/>
      <c r="B78" s="84"/>
      <c r="C78" s="40"/>
      <c r="D78" s="39"/>
      <c r="E78" s="34" t="s">
        <v>96</v>
      </c>
      <c r="F78" s="35" t="s">
        <v>98</v>
      </c>
      <c r="H78" s="38">
        <f>H75+(3*H76)</f>
        <v>20.752608627764985</v>
      </c>
      <c r="I78" s="38"/>
      <c r="J78" s="38"/>
      <c r="K78" s="38">
        <f>K75+(3*K76)</f>
        <v>8.345632004065596</v>
      </c>
      <c r="L78" s="38">
        <f>H75-(3*H76)</f>
        <v>9.6143478939741556</v>
      </c>
      <c r="M78" s="38">
        <f>K75-(3*K76)</f>
        <v>0.71088973506483644</v>
      </c>
      <c r="N78" s="39"/>
      <c r="O78" s="53"/>
      <c r="P78" s="34"/>
      <c r="Q78" s="35"/>
      <c r="S78" s="38"/>
      <c r="T78" s="38"/>
      <c r="U78" s="38"/>
      <c r="V78" s="38"/>
      <c r="W78" s="36" t="s">
        <v>91</v>
      </c>
      <c r="X78" s="57">
        <f t="shared" ref="X78:AC78" si="54">STDEV(X2:X73)</f>
        <v>1.8378130210755346E-4</v>
      </c>
      <c r="Y78" s="70">
        <f t="shared" si="54"/>
        <v>1.9364099018240495E-2</v>
      </c>
      <c r="Z78" s="70">
        <f t="shared" si="54"/>
        <v>0.1959975857920426</v>
      </c>
      <c r="AA78" s="57">
        <f t="shared" si="54"/>
        <v>21.931216509102928</v>
      </c>
      <c r="AB78" s="57">
        <f>STDEV(AB2:AB74)</f>
        <v>0.41699249069567101</v>
      </c>
      <c r="AC78" s="86">
        <f t="shared" si="54"/>
        <v>46.968145946188429</v>
      </c>
      <c r="AD78" s="57"/>
      <c r="AE78" s="57"/>
      <c r="AN78" s="53"/>
      <c r="AO78" s="53" t="s">
        <v>253</v>
      </c>
      <c r="AP78" s="53"/>
      <c r="AQ78" s="53"/>
      <c r="AR78" s="53"/>
      <c r="AS78" s="53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</row>
    <row r="79" spans="1:113" s="36" customFormat="1" x14ac:dyDescent="0.25">
      <c r="A79" s="40"/>
      <c r="B79" s="84"/>
      <c r="C79" s="40"/>
      <c r="D79" s="39"/>
      <c r="E79" s="39"/>
      <c r="F79" s="40"/>
      <c r="G79" s="40"/>
      <c r="H79" s="40"/>
      <c r="I79" s="40"/>
      <c r="J79" s="40"/>
      <c r="K79" s="40"/>
      <c r="L79" s="39"/>
      <c r="M79" s="39"/>
      <c r="N79" s="53"/>
      <c r="O79" s="34"/>
      <c r="P79" s="35"/>
      <c r="R79" s="38"/>
      <c r="S79" s="38"/>
      <c r="T79" s="38"/>
      <c r="U79" s="54"/>
      <c r="V79" s="54"/>
      <c r="W79" s="38" t="s">
        <v>92</v>
      </c>
      <c r="X79" s="36">
        <f>100*X78/X77</f>
        <v>13.135076118334387</v>
      </c>
      <c r="Y79" s="36">
        <f t="shared" ref="Y79:AC79" si="55">100*Y78/Y77</f>
        <v>9.1883102639483525</v>
      </c>
      <c r="Z79" s="36">
        <f t="shared" si="55"/>
        <v>13.923138489731583</v>
      </c>
      <c r="AA79" s="36">
        <f t="shared" si="55"/>
        <v>10.343169181845381</v>
      </c>
      <c r="AB79" s="36">
        <f>100*AB78/AB77</f>
        <v>13.955738703520638</v>
      </c>
      <c r="AC79" s="90">
        <f t="shared" si="55"/>
        <v>10.434753935006357</v>
      </c>
      <c r="AG79" s="55"/>
      <c r="AH79" s="55"/>
      <c r="AI79" s="55"/>
      <c r="AJ79" s="55"/>
      <c r="AL79" s="55"/>
      <c r="AM79" s="55"/>
      <c r="AN79" s="53"/>
      <c r="AO79" s="53"/>
      <c r="AP79" s="53"/>
      <c r="AQ79" s="53"/>
      <c r="AR79" s="53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</row>
    <row r="80" spans="1:113" s="36" customFormat="1" x14ac:dyDescent="0.25">
      <c r="A80" s="40"/>
      <c r="B80" s="87"/>
      <c r="C80" s="40"/>
      <c r="D80" s="39"/>
      <c r="E80" s="39"/>
      <c r="F80" s="40"/>
      <c r="G80" s="40"/>
      <c r="H80" s="40"/>
      <c r="I80" s="40"/>
      <c r="J80" s="40"/>
      <c r="K80" s="40"/>
      <c r="L80" s="39"/>
      <c r="M80" s="39"/>
      <c r="N80" s="53"/>
      <c r="O80" s="34"/>
      <c r="P80" s="35"/>
      <c r="R80" s="38"/>
      <c r="S80" s="38"/>
      <c r="T80" s="38"/>
      <c r="U80" s="54"/>
      <c r="V80" s="54"/>
      <c r="W80" s="36" t="s">
        <v>99</v>
      </c>
      <c r="Y80" s="70"/>
      <c r="Z80" s="85"/>
      <c r="AB80" s="36">
        <f>COUNT(AB2:AB74)</f>
        <v>69</v>
      </c>
      <c r="AC80" s="36">
        <f>COUNT(AC2:AC74)</f>
        <v>69</v>
      </c>
      <c r="AG80" s="55"/>
      <c r="AH80" s="55"/>
      <c r="AI80" s="55"/>
      <c r="AJ80" s="55"/>
      <c r="AL80" s="55"/>
      <c r="AM80" s="55"/>
      <c r="AN80" s="53"/>
      <c r="AO80" s="53"/>
      <c r="AP80" s="53"/>
      <c r="AQ80" s="53"/>
      <c r="AR80" s="53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</row>
    <row r="81" spans="1:112" s="36" customFormat="1" x14ac:dyDescent="0.25">
      <c r="A81" s="40"/>
      <c r="B81" s="88"/>
      <c r="C81" s="40"/>
      <c r="D81" s="39"/>
      <c r="E81" s="39"/>
      <c r="F81" s="40"/>
      <c r="G81" s="40"/>
      <c r="H81" s="40"/>
      <c r="I81" s="40"/>
      <c r="J81" s="40"/>
      <c r="K81" s="40"/>
      <c r="L81" s="39"/>
      <c r="M81" s="39"/>
      <c r="N81" s="53"/>
      <c r="O81" s="34"/>
      <c r="P81" s="34"/>
      <c r="R81" s="38"/>
      <c r="S81" s="38"/>
      <c r="T81" s="38"/>
      <c r="U81" s="54"/>
      <c r="V81" s="54"/>
      <c r="W81" s="38" t="s">
        <v>43</v>
      </c>
      <c r="Y81" s="70"/>
      <c r="Z81" s="85"/>
      <c r="AB81" s="36">
        <f>TINV(0.02,(AB80-1))</f>
        <v>2.3824458031673097</v>
      </c>
      <c r="AC81" s="36">
        <f>TINV(0.02,(AC80-1))</f>
        <v>2.3824458031673097</v>
      </c>
      <c r="AK81" s="55"/>
      <c r="AL81" s="55"/>
      <c r="AM81" s="55"/>
      <c r="AN81" s="53"/>
      <c r="AO81" s="53"/>
      <c r="AP81" s="53"/>
      <c r="AQ81" s="53"/>
      <c r="AR81" s="53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</row>
    <row r="82" spans="1:112" s="36" customFormat="1" x14ac:dyDescent="0.25">
      <c r="A82" s="40"/>
      <c r="B82" s="84"/>
      <c r="C82" s="40"/>
      <c r="D82" s="39"/>
      <c r="E82" s="39"/>
      <c r="F82" s="40"/>
      <c r="G82" s="40"/>
      <c r="H82" s="40"/>
      <c r="I82" s="40"/>
      <c r="J82" s="40"/>
      <c r="K82" s="40"/>
      <c r="L82" s="39"/>
      <c r="M82" s="39"/>
      <c r="N82" s="53"/>
      <c r="O82" s="34"/>
      <c r="P82" s="34"/>
      <c r="R82" s="38"/>
      <c r="S82" s="38"/>
      <c r="T82" s="38"/>
      <c r="U82" s="54"/>
      <c r="V82" s="54"/>
      <c r="W82" s="36" t="s">
        <v>44</v>
      </c>
      <c r="Y82" s="70"/>
      <c r="Z82" s="85"/>
      <c r="AB82" s="36">
        <f>AB78*AB81</f>
        <v>0.99346200941018481</v>
      </c>
      <c r="AC82" s="36">
        <f>AC78*AC81</f>
        <v>111.89906219204632</v>
      </c>
      <c r="AK82" s="55"/>
      <c r="AL82" s="55"/>
      <c r="AM82" s="55"/>
      <c r="AN82" s="53"/>
      <c r="AO82" s="53"/>
      <c r="AP82" s="53"/>
      <c r="AQ82" s="53"/>
      <c r="AR82" s="53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</row>
    <row r="83" spans="1:112" s="36" customFormat="1" x14ac:dyDescent="0.25">
      <c r="A83" s="40"/>
      <c r="B83" s="84"/>
      <c r="C83" s="40"/>
      <c r="D83" s="39"/>
      <c r="E83" s="39"/>
      <c r="F83" s="40"/>
      <c r="G83" s="40"/>
      <c r="H83" s="40"/>
      <c r="I83" s="40"/>
      <c r="J83" s="40"/>
      <c r="K83" s="40"/>
      <c r="L83" s="39"/>
      <c r="M83" s="39"/>
      <c r="N83" s="53"/>
      <c r="O83" s="34"/>
      <c r="P83" s="34"/>
      <c r="R83" s="38"/>
      <c r="S83" s="38"/>
      <c r="T83" s="38"/>
      <c r="U83" s="54"/>
      <c r="V83" s="54"/>
      <c r="W83" s="36" t="s">
        <v>45</v>
      </c>
      <c r="Y83" s="70"/>
      <c r="Z83" s="85"/>
      <c r="AB83" s="36">
        <f>AB78*10</f>
        <v>4.1699249069567106</v>
      </c>
      <c r="AC83" s="36">
        <f>AC78*10</f>
        <v>469.68145946188429</v>
      </c>
      <c r="AK83" s="55"/>
      <c r="AL83" s="55"/>
      <c r="AM83" s="55"/>
      <c r="AN83" s="53"/>
      <c r="AO83" s="53"/>
      <c r="AP83" s="53"/>
      <c r="AQ83" s="53"/>
      <c r="AR83" s="53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</row>
    <row r="84" spans="1:112" s="36" customFormat="1" x14ac:dyDescent="0.25">
      <c r="A84" s="40"/>
      <c r="B84" s="84"/>
      <c r="C84" s="40"/>
      <c r="D84" s="39"/>
      <c r="E84" s="39"/>
      <c r="F84" s="40"/>
      <c r="G84" s="40"/>
      <c r="H84" s="40"/>
      <c r="I84" s="40"/>
      <c r="J84" s="40"/>
      <c r="K84" s="40"/>
      <c r="L84" s="39"/>
      <c r="M84" s="39"/>
      <c r="N84" s="53"/>
      <c r="O84" s="34"/>
      <c r="P84" s="34"/>
      <c r="R84" s="38"/>
      <c r="S84" s="38"/>
      <c r="T84" s="38"/>
      <c r="U84" s="54"/>
      <c r="V84" s="54"/>
      <c r="Y84" s="70"/>
      <c r="Z84" s="85"/>
      <c r="AK84" s="55"/>
      <c r="AL84" s="55"/>
      <c r="AM84" s="55"/>
      <c r="AN84" s="53"/>
      <c r="AO84" s="53"/>
      <c r="AP84" s="53"/>
      <c r="AQ84" s="53"/>
      <c r="AR84" s="53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</row>
    <row r="85" spans="1:112" s="36" customFormat="1" x14ac:dyDescent="0.25">
      <c r="A85" s="40"/>
      <c r="B85" s="84"/>
      <c r="C85" s="40"/>
      <c r="D85" s="39"/>
      <c r="E85" s="39"/>
      <c r="F85" s="40"/>
      <c r="G85" s="40"/>
      <c r="H85" s="40"/>
      <c r="I85" s="40"/>
      <c r="J85" s="40"/>
      <c r="K85" s="40"/>
      <c r="L85" s="39"/>
      <c r="M85" s="39"/>
      <c r="N85" s="53"/>
      <c r="O85" s="34"/>
      <c r="P85" s="34"/>
      <c r="R85" s="38"/>
      <c r="S85" s="38"/>
      <c r="T85" s="38"/>
      <c r="U85" s="54"/>
      <c r="V85" s="54"/>
      <c r="Y85" s="70"/>
      <c r="Z85" s="85"/>
      <c r="AK85" s="55"/>
      <c r="AL85" s="55"/>
      <c r="AM85" s="55"/>
      <c r="AN85" s="53"/>
      <c r="AO85" s="53"/>
      <c r="AP85" s="53"/>
      <c r="AQ85" s="53"/>
      <c r="AR85" s="53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</row>
    <row r="86" spans="1:112" s="36" customFormat="1" x14ac:dyDescent="0.25">
      <c r="A86" s="40"/>
      <c r="B86" s="84"/>
      <c r="C86" s="40"/>
      <c r="D86" s="39"/>
      <c r="E86" s="39"/>
      <c r="F86" s="40"/>
      <c r="G86" s="40"/>
      <c r="H86" s="40"/>
      <c r="I86" s="40"/>
      <c r="J86" s="40"/>
      <c r="K86" s="40"/>
      <c r="L86" s="39"/>
      <c r="M86" s="39"/>
      <c r="N86" s="53"/>
      <c r="O86" s="34"/>
      <c r="P86" s="34"/>
      <c r="R86" s="38"/>
      <c r="S86" s="38"/>
      <c r="T86" s="38"/>
      <c r="U86" s="54"/>
      <c r="V86" s="54"/>
      <c r="Y86" s="70"/>
      <c r="Z86" s="85"/>
      <c r="AK86" s="55"/>
      <c r="AL86" s="55"/>
      <c r="AM86" s="55"/>
      <c r="AN86" s="53"/>
      <c r="AO86" s="53"/>
      <c r="AP86" s="53"/>
      <c r="AQ86" s="53"/>
      <c r="AR86" s="53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</row>
    <row r="87" spans="1:112" s="36" customFormat="1" x14ac:dyDescent="0.25">
      <c r="A87" s="40"/>
      <c r="B87" s="84"/>
      <c r="C87" s="40"/>
      <c r="D87" s="39"/>
      <c r="E87" s="39"/>
      <c r="F87" s="40"/>
      <c r="G87" s="40"/>
      <c r="H87" s="40"/>
      <c r="I87" s="40"/>
      <c r="J87" s="40"/>
      <c r="K87" s="40"/>
      <c r="L87" s="39"/>
      <c r="M87" s="39"/>
      <c r="N87" s="53"/>
      <c r="O87" s="34"/>
      <c r="P87" s="34"/>
      <c r="R87" s="38"/>
      <c r="S87" s="38"/>
      <c r="T87" s="38"/>
      <c r="U87" s="54"/>
      <c r="V87" s="54"/>
      <c r="Y87" s="70"/>
      <c r="Z87" s="85"/>
      <c r="AK87" s="55"/>
      <c r="AL87" s="55"/>
      <c r="AM87" s="55"/>
      <c r="AN87" s="53"/>
      <c r="AO87" s="53"/>
      <c r="AP87" s="53"/>
      <c r="AQ87" s="53"/>
      <c r="AR87" s="53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</row>
    <row r="88" spans="1:112" s="36" customFormat="1" x14ac:dyDescent="0.25">
      <c r="A88" s="40"/>
      <c r="B88" s="84"/>
      <c r="C88" s="40"/>
      <c r="D88" s="39"/>
      <c r="E88" s="39"/>
      <c r="F88" s="40"/>
      <c r="G88" s="40"/>
      <c r="H88" s="40"/>
      <c r="I88" s="40"/>
      <c r="J88" s="40"/>
      <c r="K88" s="40"/>
      <c r="L88" s="39"/>
      <c r="M88" s="39"/>
      <c r="N88" s="53"/>
      <c r="O88" s="34"/>
      <c r="P88" s="34"/>
      <c r="R88" s="38"/>
      <c r="S88" s="38"/>
      <c r="T88" s="38"/>
      <c r="U88" s="54"/>
      <c r="V88" s="54"/>
      <c r="Y88" s="70"/>
      <c r="Z88" s="85"/>
      <c r="AK88" s="55"/>
      <c r="AL88" s="55"/>
      <c r="AM88" s="55"/>
      <c r="AN88" s="53"/>
      <c r="AO88" s="53"/>
      <c r="AP88" s="53"/>
      <c r="AQ88" s="53"/>
      <c r="AR88" s="53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</row>
    <row r="89" spans="1:112" s="36" customFormat="1" x14ac:dyDescent="0.25">
      <c r="A89" s="40"/>
      <c r="B89" s="84"/>
      <c r="C89" s="40"/>
      <c r="D89" s="39"/>
      <c r="E89" s="39"/>
      <c r="F89" s="40"/>
      <c r="G89" s="40"/>
      <c r="H89" s="40"/>
      <c r="I89" s="40"/>
      <c r="J89" s="40"/>
      <c r="K89" s="40"/>
      <c r="L89" s="39"/>
      <c r="M89" s="39"/>
      <c r="N89" s="53"/>
      <c r="O89" s="34"/>
      <c r="P89" s="34"/>
      <c r="R89" s="38"/>
      <c r="S89" s="38"/>
      <c r="T89" s="38"/>
      <c r="U89" s="54"/>
      <c r="V89" s="54"/>
      <c r="Y89" s="70"/>
      <c r="Z89" s="85"/>
      <c r="AK89" s="55"/>
      <c r="AL89" s="55"/>
      <c r="AM89" s="55"/>
      <c r="AN89" s="53"/>
      <c r="AO89" s="53"/>
      <c r="AP89" s="53"/>
      <c r="AQ89" s="53"/>
      <c r="AR89" s="53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</row>
    <row r="90" spans="1:112" s="36" customFormat="1" x14ac:dyDescent="0.25">
      <c r="A90" s="40"/>
      <c r="B90" s="84"/>
      <c r="C90" s="40"/>
      <c r="D90" s="39"/>
      <c r="E90" s="39"/>
      <c r="F90" s="40"/>
      <c r="G90" s="40"/>
      <c r="H90" s="40"/>
      <c r="I90" s="40"/>
      <c r="J90" s="40"/>
      <c r="K90" s="40"/>
      <c r="L90" s="39"/>
      <c r="M90" s="39"/>
      <c r="N90" s="53"/>
      <c r="O90" s="34"/>
      <c r="P90" s="34"/>
      <c r="R90" s="38"/>
      <c r="S90" s="38"/>
      <c r="T90" s="38"/>
      <c r="U90" s="54"/>
      <c r="V90" s="54"/>
      <c r="Y90" s="70"/>
      <c r="Z90" s="85"/>
      <c r="AK90" s="55"/>
      <c r="AL90" s="55"/>
      <c r="AM90" s="55"/>
      <c r="AN90" s="53"/>
      <c r="AO90" s="53"/>
      <c r="AP90" s="53"/>
      <c r="AQ90" s="53"/>
      <c r="AR90" s="53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</row>
    <row r="91" spans="1:112" s="36" customFormat="1" x14ac:dyDescent="0.25">
      <c r="A91" s="40"/>
      <c r="B91" s="84"/>
      <c r="C91" s="40"/>
      <c r="D91" s="39"/>
      <c r="E91" s="39"/>
      <c r="F91" s="40"/>
      <c r="G91" s="40"/>
      <c r="H91" s="40"/>
      <c r="I91" s="40"/>
      <c r="J91" s="40"/>
      <c r="K91" s="40"/>
      <c r="L91" s="39"/>
      <c r="M91" s="39"/>
      <c r="N91" s="53"/>
      <c r="O91" s="34"/>
      <c r="P91" s="34"/>
      <c r="R91" s="38"/>
      <c r="S91" s="38"/>
      <c r="T91" s="38"/>
      <c r="U91" s="54"/>
      <c r="V91" s="54"/>
      <c r="Y91" s="70"/>
      <c r="Z91" s="85"/>
      <c r="AK91" s="55"/>
      <c r="AL91" s="55"/>
      <c r="AM91" s="55"/>
      <c r="AN91" s="53"/>
      <c r="AO91" s="53"/>
      <c r="AP91" s="53"/>
      <c r="AQ91" s="53"/>
      <c r="AR91" s="53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</row>
    <row r="92" spans="1:112" s="36" customFormat="1" x14ac:dyDescent="0.25">
      <c r="A92" s="40"/>
      <c r="B92" s="84"/>
      <c r="C92" s="40"/>
      <c r="D92" s="39"/>
      <c r="E92" s="39"/>
      <c r="F92" s="40"/>
      <c r="G92" s="40"/>
      <c r="H92" s="40"/>
      <c r="I92" s="40"/>
      <c r="J92" s="40"/>
      <c r="K92" s="40"/>
      <c r="L92" s="39"/>
      <c r="M92" s="39"/>
      <c r="N92" s="53"/>
      <c r="O92" s="34"/>
      <c r="P92" s="34"/>
      <c r="R92" s="38"/>
      <c r="S92" s="38"/>
      <c r="T92" s="38"/>
      <c r="U92" s="54"/>
      <c r="V92" s="54"/>
      <c r="Y92" s="70"/>
      <c r="Z92" s="85"/>
      <c r="AK92" s="55"/>
      <c r="AL92" s="55"/>
      <c r="AM92" s="55"/>
      <c r="AN92" s="53"/>
      <c r="AO92" s="53"/>
      <c r="AP92" s="53"/>
      <c r="AQ92" s="53"/>
      <c r="AR92" s="53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</row>
    <row r="93" spans="1:112" s="36" customFormat="1" x14ac:dyDescent="0.25">
      <c r="A93" s="40"/>
      <c r="B93" s="84"/>
      <c r="C93" s="40"/>
      <c r="D93" s="39"/>
      <c r="E93" s="39"/>
      <c r="F93" s="40"/>
      <c r="G93" s="40"/>
      <c r="H93" s="40"/>
      <c r="I93" s="40"/>
      <c r="J93" s="40"/>
      <c r="K93" s="40"/>
      <c r="L93" s="39"/>
      <c r="M93" s="39"/>
      <c r="N93" s="53"/>
      <c r="O93" s="34"/>
      <c r="P93" s="34"/>
      <c r="R93" s="38"/>
      <c r="S93" s="38"/>
      <c r="T93" s="38"/>
      <c r="U93" s="54"/>
      <c r="V93" s="54"/>
      <c r="Y93" s="85"/>
      <c r="Z93" s="85"/>
      <c r="AK93" s="55"/>
      <c r="AL93" s="55"/>
      <c r="AM93" s="55"/>
      <c r="AN93" s="53"/>
      <c r="AO93" s="53"/>
      <c r="AP93" s="53"/>
      <c r="AQ93" s="53"/>
      <c r="AR93" s="53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</row>
    <row r="94" spans="1:112" s="36" customFormat="1" x14ac:dyDescent="0.25">
      <c r="A94" s="40"/>
      <c r="B94" s="84"/>
      <c r="C94" s="40"/>
      <c r="D94" s="39"/>
      <c r="E94" s="39"/>
      <c r="F94" s="40"/>
      <c r="G94" s="40"/>
      <c r="H94" s="40"/>
      <c r="I94" s="40"/>
      <c r="J94" s="40"/>
      <c r="K94" s="40"/>
      <c r="L94" s="39"/>
      <c r="M94" s="39"/>
      <c r="N94" s="53"/>
      <c r="O94" s="34"/>
      <c r="P94" s="34"/>
      <c r="R94" s="38"/>
      <c r="S94" s="38"/>
      <c r="T94" s="38"/>
      <c r="U94" s="54"/>
      <c r="V94" s="54"/>
      <c r="Y94" s="85"/>
      <c r="Z94" s="85"/>
      <c r="AK94" s="55"/>
      <c r="AL94" s="55"/>
      <c r="AM94" s="55"/>
      <c r="AN94" s="53"/>
      <c r="AO94" s="53"/>
      <c r="AP94" s="53"/>
      <c r="AQ94" s="53"/>
      <c r="AR94" s="53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</row>
    <row r="95" spans="1:112" s="36" customFormat="1" x14ac:dyDescent="0.25">
      <c r="A95" s="40"/>
      <c r="B95" s="84"/>
      <c r="C95" s="40"/>
      <c r="D95" s="39"/>
      <c r="E95" s="39"/>
      <c r="F95" s="40"/>
      <c r="G95" s="40"/>
      <c r="H95" s="40"/>
      <c r="I95" s="40"/>
      <c r="J95" s="40"/>
      <c r="K95" s="40"/>
      <c r="L95" s="39"/>
      <c r="M95" s="39"/>
      <c r="N95" s="53"/>
      <c r="O95" s="34"/>
      <c r="P95" s="34"/>
      <c r="R95" s="38"/>
      <c r="S95" s="38"/>
      <c r="T95" s="38"/>
      <c r="U95" s="54"/>
      <c r="V95" s="54"/>
      <c r="Y95" s="85"/>
      <c r="Z95" s="85"/>
      <c r="AK95" s="55"/>
      <c r="AL95" s="55"/>
      <c r="AM95" s="55"/>
      <c r="AN95" s="53"/>
      <c r="AO95" s="53"/>
      <c r="AP95" s="53"/>
      <c r="AQ95" s="53"/>
      <c r="AR95" s="53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</row>
    <row r="96" spans="1:112" s="36" customFormat="1" x14ac:dyDescent="0.25">
      <c r="A96" s="40"/>
      <c r="B96" s="84"/>
      <c r="C96" s="40"/>
      <c r="D96" s="39"/>
      <c r="E96" s="39"/>
      <c r="F96" s="40"/>
      <c r="G96" s="40"/>
      <c r="H96" s="40"/>
      <c r="I96" s="40"/>
      <c r="J96" s="40"/>
      <c r="K96" s="40"/>
      <c r="L96" s="39"/>
      <c r="M96" s="39"/>
      <c r="N96" s="53"/>
      <c r="O96" s="34"/>
      <c r="P96" s="34"/>
      <c r="R96" s="38"/>
      <c r="S96" s="38"/>
      <c r="T96" s="38"/>
      <c r="U96" s="54"/>
      <c r="V96" s="54"/>
      <c r="Y96" s="85"/>
      <c r="Z96" s="85"/>
      <c r="AK96" s="55"/>
      <c r="AL96" s="55"/>
      <c r="AM96" s="55"/>
      <c r="AN96" s="53"/>
      <c r="AO96" s="53"/>
      <c r="AP96" s="53"/>
      <c r="AQ96" s="53"/>
      <c r="AR96" s="53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M135"/>
  <sheetViews>
    <sheetView zoomScale="75" zoomScaleNormal="85" zoomScalePageLayoutView="85" workbookViewId="0">
      <selection activeCell="AA138" sqref="AA138"/>
    </sheetView>
  </sheetViews>
  <sheetFormatPr defaultColWidth="8.77734375" defaultRowHeight="15" x14ac:dyDescent="0.25"/>
  <cols>
    <col min="1" max="1" width="14.21875" style="53" customWidth="1"/>
    <col min="2" max="2" width="9.21875" style="53" customWidth="1"/>
    <col min="3" max="3" width="7.77734375" style="53" customWidth="1"/>
    <col min="4" max="4" width="8.77734375" style="53"/>
    <col min="5" max="5" width="21.21875" style="53" customWidth="1"/>
    <col min="6" max="6" width="6.44140625" style="53" customWidth="1"/>
    <col min="7" max="7" width="8.21875" style="53" customWidth="1"/>
    <col min="8" max="8" width="6.77734375" style="53" customWidth="1"/>
    <col min="9" max="9" width="11.77734375" style="53" customWidth="1"/>
    <col min="10" max="10" width="5" style="53" customWidth="1"/>
    <col min="11" max="11" width="8.77734375" style="53" customWidth="1"/>
    <col min="12" max="12" width="7.21875" style="58" customWidth="1"/>
    <col min="13" max="13" width="14.21875" style="58" bestFit="1" customWidth="1"/>
    <col min="14" max="14" width="7.44140625" style="53" customWidth="1"/>
    <col min="15" max="15" width="12" style="36" bestFit="1" customWidth="1"/>
    <col min="16" max="16" width="9.21875" style="36" bestFit="1" customWidth="1"/>
    <col min="17" max="17" width="7.21875" style="36" customWidth="1"/>
    <col min="18" max="20" width="9.21875" style="36" bestFit="1" customWidth="1"/>
    <col min="21" max="21" width="9.77734375" style="36" bestFit="1" customWidth="1"/>
    <col min="22" max="22" width="10.77734375" style="36" bestFit="1" customWidth="1"/>
    <col min="23" max="23" width="9.21875" style="36" bestFit="1" customWidth="1"/>
    <col min="24" max="24" width="11.21875" style="36" bestFit="1" customWidth="1"/>
    <col min="25" max="25" width="9.21875" style="36" bestFit="1" customWidth="1"/>
    <col min="26" max="26" width="8.77734375" style="36"/>
    <col min="27" max="27" width="11.44140625" style="36" customWidth="1"/>
    <col min="28" max="28" width="9.21875" style="36" customWidth="1"/>
    <col min="29" max="29" width="11" style="36" customWidth="1"/>
    <col min="30" max="30" width="9.21875" style="36" customWidth="1"/>
    <col min="31" max="31" width="11.77734375" style="36" customWidth="1"/>
    <col min="32" max="36" width="9.21875" style="36" customWidth="1"/>
    <col min="37" max="48" width="8.77734375" style="53"/>
    <col min="49" max="258" width="8.77734375" style="56"/>
    <col min="259" max="259" width="24.77734375" style="56" customWidth="1"/>
    <col min="260" max="260" width="13.44140625" style="56" customWidth="1"/>
    <col min="261" max="261" width="8.77734375" style="56"/>
    <col min="262" max="262" width="6.77734375" style="56" customWidth="1"/>
    <col min="263" max="263" width="6.44140625" style="56" customWidth="1"/>
    <col min="264" max="264" width="8.21875" style="56" customWidth="1"/>
    <col min="265" max="265" width="6.77734375" style="56" customWidth="1"/>
    <col min="266" max="266" width="4.77734375" style="56" customWidth="1"/>
    <col min="267" max="268" width="5" style="56" customWidth="1"/>
    <col min="269" max="269" width="8.77734375" style="56"/>
    <col min="270" max="270" width="10.44140625" style="56" customWidth="1"/>
    <col min="271" max="271" width="3.77734375" style="56" customWidth="1"/>
    <col min="272" max="273" width="8.77734375" style="56"/>
    <col min="274" max="274" width="3.77734375" style="56" customWidth="1"/>
    <col min="275" max="514" width="8.77734375" style="56"/>
    <col min="515" max="515" width="24.77734375" style="56" customWidth="1"/>
    <col min="516" max="516" width="13.44140625" style="56" customWidth="1"/>
    <col min="517" max="517" width="8.77734375" style="56"/>
    <col min="518" max="518" width="6.77734375" style="56" customWidth="1"/>
    <col min="519" max="519" width="6.44140625" style="56" customWidth="1"/>
    <col min="520" max="520" width="8.21875" style="56" customWidth="1"/>
    <col min="521" max="521" width="6.77734375" style="56" customWidth="1"/>
    <col min="522" max="522" width="4.77734375" style="56" customWidth="1"/>
    <col min="523" max="524" width="5" style="56" customWidth="1"/>
    <col min="525" max="525" width="8.77734375" style="56"/>
    <col min="526" max="526" width="10.44140625" style="56" customWidth="1"/>
    <col min="527" max="527" width="3.77734375" style="56" customWidth="1"/>
    <col min="528" max="529" width="8.77734375" style="56"/>
    <col min="530" max="530" width="3.77734375" style="56" customWidth="1"/>
    <col min="531" max="770" width="8.77734375" style="56"/>
    <col min="771" max="771" width="24.77734375" style="56" customWidth="1"/>
    <col min="772" max="772" width="13.44140625" style="56" customWidth="1"/>
    <col min="773" max="773" width="8.77734375" style="56"/>
    <col min="774" max="774" width="6.77734375" style="56" customWidth="1"/>
    <col min="775" max="775" width="6.44140625" style="56" customWidth="1"/>
    <col min="776" max="776" width="8.21875" style="56" customWidth="1"/>
    <col min="777" max="777" width="6.77734375" style="56" customWidth="1"/>
    <col min="778" max="778" width="4.77734375" style="56" customWidth="1"/>
    <col min="779" max="780" width="5" style="56" customWidth="1"/>
    <col min="781" max="781" width="8.77734375" style="56"/>
    <col min="782" max="782" width="10.44140625" style="56" customWidth="1"/>
    <col min="783" max="783" width="3.77734375" style="56" customWidth="1"/>
    <col min="784" max="785" width="8.77734375" style="56"/>
    <col min="786" max="786" width="3.77734375" style="56" customWidth="1"/>
    <col min="787" max="1026" width="8.77734375" style="56"/>
    <col min="1027" max="1027" width="24.77734375" style="56" customWidth="1"/>
    <col min="1028" max="1028" width="13.44140625" style="56" customWidth="1"/>
    <col min="1029" max="1029" width="8.77734375" style="56"/>
    <col min="1030" max="1030" width="6.77734375" style="56" customWidth="1"/>
    <col min="1031" max="1031" width="6.44140625" style="56" customWidth="1"/>
    <col min="1032" max="1032" width="8.21875" style="56" customWidth="1"/>
    <col min="1033" max="1033" width="6.77734375" style="56" customWidth="1"/>
    <col min="1034" max="1034" width="4.77734375" style="56" customWidth="1"/>
    <col min="1035" max="1036" width="5" style="56" customWidth="1"/>
    <col min="1037" max="1037" width="8.77734375" style="56"/>
    <col min="1038" max="1038" width="10.44140625" style="56" customWidth="1"/>
    <col min="1039" max="1039" width="3.77734375" style="56" customWidth="1"/>
    <col min="1040" max="1041" width="8.77734375" style="56"/>
    <col min="1042" max="1042" width="3.77734375" style="56" customWidth="1"/>
    <col min="1043" max="1282" width="8.77734375" style="56"/>
    <col min="1283" max="1283" width="24.77734375" style="56" customWidth="1"/>
    <col min="1284" max="1284" width="13.44140625" style="56" customWidth="1"/>
    <col min="1285" max="1285" width="8.77734375" style="56"/>
    <col min="1286" max="1286" width="6.77734375" style="56" customWidth="1"/>
    <col min="1287" max="1287" width="6.44140625" style="56" customWidth="1"/>
    <col min="1288" max="1288" width="8.21875" style="56" customWidth="1"/>
    <col min="1289" max="1289" width="6.77734375" style="56" customWidth="1"/>
    <col min="1290" max="1290" width="4.77734375" style="56" customWidth="1"/>
    <col min="1291" max="1292" width="5" style="56" customWidth="1"/>
    <col min="1293" max="1293" width="8.77734375" style="56"/>
    <col min="1294" max="1294" width="10.44140625" style="56" customWidth="1"/>
    <col min="1295" max="1295" width="3.77734375" style="56" customWidth="1"/>
    <col min="1296" max="1297" width="8.77734375" style="56"/>
    <col min="1298" max="1298" width="3.77734375" style="56" customWidth="1"/>
    <col min="1299" max="1538" width="8.77734375" style="56"/>
    <col min="1539" max="1539" width="24.77734375" style="56" customWidth="1"/>
    <col min="1540" max="1540" width="13.44140625" style="56" customWidth="1"/>
    <col min="1541" max="1541" width="8.77734375" style="56"/>
    <col min="1542" max="1542" width="6.77734375" style="56" customWidth="1"/>
    <col min="1543" max="1543" width="6.44140625" style="56" customWidth="1"/>
    <col min="1544" max="1544" width="8.21875" style="56" customWidth="1"/>
    <col min="1545" max="1545" width="6.77734375" style="56" customWidth="1"/>
    <col min="1546" max="1546" width="4.77734375" style="56" customWidth="1"/>
    <col min="1547" max="1548" width="5" style="56" customWidth="1"/>
    <col min="1549" max="1549" width="8.77734375" style="56"/>
    <col min="1550" max="1550" width="10.44140625" style="56" customWidth="1"/>
    <col min="1551" max="1551" width="3.77734375" style="56" customWidth="1"/>
    <col min="1552" max="1553" width="8.77734375" style="56"/>
    <col min="1554" max="1554" width="3.77734375" style="56" customWidth="1"/>
    <col min="1555" max="1794" width="8.77734375" style="56"/>
    <col min="1795" max="1795" width="24.77734375" style="56" customWidth="1"/>
    <col min="1796" max="1796" width="13.44140625" style="56" customWidth="1"/>
    <col min="1797" max="1797" width="8.77734375" style="56"/>
    <col min="1798" max="1798" width="6.77734375" style="56" customWidth="1"/>
    <col min="1799" max="1799" width="6.44140625" style="56" customWidth="1"/>
    <col min="1800" max="1800" width="8.21875" style="56" customWidth="1"/>
    <col min="1801" max="1801" width="6.77734375" style="56" customWidth="1"/>
    <col min="1802" max="1802" width="4.77734375" style="56" customWidth="1"/>
    <col min="1803" max="1804" width="5" style="56" customWidth="1"/>
    <col min="1805" max="1805" width="8.77734375" style="56"/>
    <col min="1806" max="1806" width="10.44140625" style="56" customWidth="1"/>
    <col min="1807" max="1807" width="3.77734375" style="56" customWidth="1"/>
    <col min="1808" max="1809" width="8.77734375" style="56"/>
    <col min="1810" max="1810" width="3.77734375" style="56" customWidth="1"/>
    <col min="1811" max="2050" width="8.77734375" style="56"/>
    <col min="2051" max="2051" width="24.77734375" style="56" customWidth="1"/>
    <col min="2052" max="2052" width="13.44140625" style="56" customWidth="1"/>
    <col min="2053" max="2053" width="8.77734375" style="56"/>
    <col min="2054" max="2054" width="6.77734375" style="56" customWidth="1"/>
    <col min="2055" max="2055" width="6.44140625" style="56" customWidth="1"/>
    <col min="2056" max="2056" width="8.21875" style="56" customWidth="1"/>
    <col min="2057" max="2057" width="6.77734375" style="56" customWidth="1"/>
    <col min="2058" max="2058" width="4.77734375" style="56" customWidth="1"/>
    <col min="2059" max="2060" width="5" style="56" customWidth="1"/>
    <col min="2061" max="2061" width="8.77734375" style="56"/>
    <col min="2062" max="2062" width="10.44140625" style="56" customWidth="1"/>
    <col min="2063" max="2063" width="3.77734375" style="56" customWidth="1"/>
    <col min="2064" max="2065" width="8.77734375" style="56"/>
    <col min="2066" max="2066" width="3.77734375" style="56" customWidth="1"/>
    <col min="2067" max="2306" width="8.77734375" style="56"/>
    <col min="2307" max="2307" width="24.77734375" style="56" customWidth="1"/>
    <col min="2308" max="2308" width="13.44140625" style="56" customWidth="1"/>
    <col min="2309" max="2309" width="8.77734375" style="56"/>
    <col min="2310" max="2310" width="6.77734375" style="56" customWidth="1"/>
    <col min="2311" max="2311" width="6.44140625" style="56" customWidth="1"/>
    <col min="2312" max="2312" width="8.21875" style="56" customWidth="1"/>
    <col min="2313" max="2313" width="6.77734375" style="56" customWidth="1"/>
    <col min="2314" max="2314" width="4.77734375" style="56" customWidth="1"/>
    <col min="2315" max="2316" width="5" style="56" customWidth="1"/>
    <col min="2317" max="2317" width="8.77734375" style="56"/>
    <col min="2318" max="2318" width="10.44140625" style="56" customWidth="1"/>
    <col min="2319" max="2319" width="3.77734375" style="56" customWidth="1"/>
    <col min="2320" max="2321" width="8.77734375" style="56"/>
    <col min="2322" max="2322" width="3.77734375" style="56" customWidth="1"/>
    <col min="2323" max="2562" width="8.77734375" style="56"/>
    <col min="2563" max="2563" width="24.77734375" style="56" customWidth="1"/>
    <col min="2564" max="2564" width="13.44140625" style="56" customWidth="1"/>
    <col min="2565" max="2565" width="8.77734375" style="56"/>
    <col min="2566" max="2566" width="6.77734375" style="56" customWidth="1"/>
    <col min="2567" max="2567" width="6.44140625" style="56" customWidth="1"/>
    <col min="2568" max="2568" width="8.21875" style="56" customWidth="1"/>
    <col min="2569" max="2569" width="6.77734375" style="56" customWidth="1"/>
    <col min="2570" max="2570" width="4.77734375" style="56" customWidth="1"/>
    <col min="2571" max="2572" width="5" style="56" customWidth="1"/>
    <col min="2573" max="2573" width="8.77734375" style="56"/>
    <col min="2574" max="2574" width="10.44140625" style="56" customWidth="1"/>
    <col min="2575" max="2575" width="3.77734375" style="56" customWidth="1"/>
    <col min="2576" max="2577" width="8.77734375" style="56"/>
    <col min="2578" max="2578" width="3.77734375" style="56" customWidth="1"/>
    <col min="2579" max="2818" width="8.77734375" style="56"/>
    <col min="2819" max="2819" width="24.77734375" style="56" customWidth="1"/>
    <col min="2820" max="2820" width="13.44140625" style="56" customWidth="1"/>
    <col min="2821" max="2821" width="8.77734375" style="56"/>
    <col min="2822" max="2822" width="6.77734375" style="56" customWidth="1"/>
    <col min="2823" max="2823" width="6.44140625" style="56" customWidth="1"/>
    <col min="2824" max="2824" width="8.21875" style="56" customWidth="1"/>
    <col min="2825" max="2825" width="6.77734375" style="56" customWidth="1"/>
    <col min="2826" max="2826" width="4.77734375" style="56" customWidth="1"/>
    <col min="2827" max="2828" width="5" style="56" customWidth="1"/>
    <col min="2829" max="2829" width="8.77734375" style="56"/>
    <col min="2830" max="2830" width="10.44140625" style="56" customWidth="1"/>
    <col min="2831" max="2831" width="3.77734375" style="56" customWidth="1"/>
    <col min="2832" max="2833" width="8.77734375" style="56"/>
    <col min="2834" max="2834" width="3.77734375" style="56" customWidth="1"/>
    <col min="2835" max="3074" width="8.77734375" style="56"/>
    <col min="3075" max="3075" width="24.77734375" style="56" customWidth="1"/>
    <col min="3076" max="3076" width="13.44140625" style="56" customWidth="1"/>
    <col min="3077" max="3077" width="8.77734375" style="56"/>
    <col min="3078" max="3078" width="6.77734375" style="56" customWidth="1"/>
    <col min="3079" max="3079" width="6.44140625" style="56" customWidth="1"/>
    <col min="3080" max="3080" width="8.21875" style="56" customWidth="1"/>
    <col min="3081" max="3081" width="6.77734375" style="56" customWidth="1"/>
    <col min="3082" max="3082" width="4.77734375" style="56" customWidth="1"/>
    <col min="3083" max="3084" width="5" style="56" customWidth="1"/>
    <col min="3085" max="3085" width="8.77734375" style="56"/>
    <col min="3086" max="3086" width="10.44140625" style="56" customWidth="1"/>
    <col min="3087" max="3087" width="3.77734375" style="56" customWidth="1"/>
    <col min="3088" max="3089" width="8.77734375" style="56"/>
    <col min="3090" max="3090" width="3.77734375" style="56" customWidth="1"/>
    <col min="3091" max="3330" width="8.77734375" style="56"/>
    <col min="3331" max="3331" width="24.77734375" style="56" customWidth="1"/>
    <col min="3332" max="3332" width="13.44140625" style="56" customWidth="1"/>
    <col min="3333" max="3333" width="8.77734375" style="56"/>
    <col min="3334" max="3334" width="6.77734375" style="56" customWidth="1"/>
    <col min="3335" max="3335" width="6.44140625" style="56" customWidth="1"/>
    <col min="3336" max="3336" width="8.21875" style="56" customWidth="1"/>
    <col min="3337" max="3337" width="6.77734375" style="56" customWidth="1"/>
    <col min="3338" max="3338" width="4.77734375" style="56" customWidth="1"/>
    <col min="3339" max="3340" width="5" style="56" customWidth="1"/>
    <col min="3341" max="3341" width="8.77734375" style="56"/>
    <col min="3342" max="3342" width="10.44140625" style="56" customWidth="1"/>
    <col min="3343" max="3343" width="3.77734375" style="56" customWidth="1"/>
    <col min="3344" max="3345" width="8.77734375" style="56"/>
    <col min="3346" max="3346" width="3.77734375" style="56" customWidth="1"/>
    <col min="3347" max="3586" width="8.77734375" style="56"/>
    <col min="3587" max="3587" width="24.77734375" style="56" customWidth="1"/>
    <col min="3588" max="3588" width="13.44140625" style="56" customWidth="1"/>
    <col min="3589" max="3589" width="8.77734375" style="56"/>
    <col min="3590" max="3590" width="6.77734375" style="56" customWidth="1"/>
    <col min="3591" max="3591" width="6.44140625" style="56" customWidth="1"/>
    <col min="3592" max="3592" width="8.21875" style="56" customWidth="1"/>
    <col min="3593" max="3593" width="6.77734375" style="56" customWidth="1"/>
    <col min="3594" max="3594" width="4.77734375" style="56" customWidth="1"/>
    <col min="3595" max="3596" width="5" style="56" customWidth="1"/>
    <col min="3597" max="3597" width="8.77734375" style="56"/>
    <col min="3598" max="3598" width="10.44140625" style="56" customWidth="1"/>
    <col min="3599" max="3599" width="3.77734375" style="56" customWidth="1"/>
    <col min="3600" max="3601" width="8.77734375" style="56"/>
    <col min="3602" max="3602" width="3.77734375" style="56" customWidth="1"/>
    <col min="3603" max="3842" width="8.77734375" style="56"/>
    <col min="3843" max="3843" width="24.77734375" style="56" customWidth="1"/>
    <col min="3844" max="3844" width="13.44140625" style="56" customWidth="1"/>
    <col min="3845" max="3845" width="8.77734375" style="56"/>
    <col min="3846" max="3846" width="6.77734375" style="56" customWidth="1"/>
    <col min="3847" max="3847" width="6.44140625" style="56" customWidth="1"/>
    <col min="3848" max="3848" width="8.21875" style="56" customWidth="1"/>
    <col min="3849" max="3849" width="6.77734375" style="56" customWidth="1"/>
    <col min="3850" max="3850" width="4.77734375" style="56" customWidth="1"/>
    <col min="3851" max="3852" width="5" style="56" customWidth="1"/>
    <col min="3853" max="3853" width="8.77734375" style="56"/>
    <col min="3854" max="3854" width="10.44140625" style="56" customWidth="1"/>
    <col min="3855" max="3855" width="3.77734375" style="56" customWidth="1"/>
    <col min="3856" max="3857" width="8.77734375" style="56"/>
    <col min="3858" max="3858" width="3.77734375" style="56" customWidth="1"/>
    <col min="3859" max="4098" width="8.77734375" style="56"/>
    <col min="4099" max="4099" width="24.77734375" style="56" customWidth="1"/>
    <col min="4100" max="4100" width="13.44140625" style="56" customWidth="1"/>
    <col min="4101" max="4101" width="8.77734375" style="56"/>
    <col min="4102" max="4102" width="6.77734375" style="56" customWidth="1"/>
    <col min="4103" max="4103" width="6.44140625" style="56" customWidth="1"/>
    <col min="4104" max="4104" width="8.21875" style="56" customWidth="1"/>
    <col min="4105" max="4105" width="6.77734375" style="56" customWidth="1"/>
    <col min="4106" max="4106" width="4.77734375" style="56" customWidth="1"/>
    <col min="4107" max="4108" width="5" style="56" customWidth="1"/>
    <col min="4109" max="4109" width="8.77734375" style="56"/>
    <col min="4110" max="4110" width="10.44140625" style="56" customWidth="1"/>
    <col min="4111" max="4111" width="3.77734375" style="56" customWidth="1"/>
    <col min="4112" max="4113" width="8.77734375" style="56"/>
    <col min="4114" max="4114" width="3.77734375" style="56" customWidth="1"/>
    <col min="4115" max="4354" width="8.77734375" style="56"/>
    <col min="4355" max="4355" width="24.77734375" style="56" customWidth="1"/>
    <col min="4356" max="4356" width="13.44140625" style="56" customWidth="1"/>
    <col min="4357" max="4357" width="8.77734375" style="56"/>
    <col min="4358" max="4358" width="6.77734375" style="56" customWidth="1"/>
    <col min="4359" max="4359" width="6.44140625" style="56" customWidth="1"/>
    <col min="4360" max="4360" width="8.21875" style="56" customWidth="1"/>
    <col min="4361" max="4361" width="6.77734375" style="56" customWidth="1"/>
    <col min="4362" max="4362" width="4.77734375" style="56" customWidth="1"/>
    <col min="4363" max="4364" width="5" style="56" customWidth="1"/>
    <col min="4365" max="4365" width="8.77734375" style="56"/>
    <col min="4366" max="4366" width="10.44140625" style="56" customWidth="1"/>
    <col min="4367" max="4367" width="3.77734375" style="56" customWidth="1"/>
    <col min="4368" max="4369" width="8.77734375" style="56"/>
    <col min="4370" max="4370" width="3.77734375" style="56" customWidth="1"/>
    <col min="4371" max="4610" width="8.77734375" style="56"/>
    <col min="4611" max="4611" width="24.77734375" style="56" customWidth="1"/>
    <col min="4612" max="4612" width="13.44140625" style="56" customWidth="1"/>
    <col min="4613" max="4613" width="8.77734375" style="56"/>
    <col min="4614" max="4614" width="6.77734375" style="56" customWidth="1"/>
    <col min="4615" max="4615" width="6.44140625" style="56" customWidth="1"/>
    <col min="4616" max="4616" width="8.21875" style="56" customWidth="1"/>
    <col min="4617" max="4617" width="6.77734375" style="56" customWidth="1"/>
    <col min="4618" max="4618" width="4.77734375" style="56" customWidth="1"/>
    <col min="4619" max="4620" width="5" style="56" customWidth="1"/>
    <col min="4621" max="4621" width="8.77734375" style="56"/>
    <col min="4622" max="4622" width="10.44140625" style="56" customWidth="1"/>
    <col min="4623" max="4623" width="3.77734375" style="56" customWidth="1"/>
    <col min="4624" max="4625" width="8.77734375" style="56"/>
    <col min="4626" max="4626" width="3.77734375" style="56" customWidth="1"/>
    <col min="4627" max="4866" width="8.77734375" style="56"/>
    <col min="4867" max="4867" width="24.77734375" style="56" customWidth="1"/>
    <col min="4868" max="4868" width="13.44140625" style="56" customWidth="1"/>
    <col min="4869" max="4869" width="8.77734375" style="56"/>
    <col min="4870" max="4870" width="6.77734375" style="56" customWidth="1"/>
    <col min="4871" max="4871" width="6.44140625" style="56" customWidth="1"/>
    <col min="4872" max="4872" width="8.21875" style="56" customWidth="1"/>
    <col min="4873" max="4873" width="6.77734375" style="56" customWidth="1"/>
    <col min="4874" max="4874" width="4.77734375" style="56" customWidth="1"/>
    <col min="4875" max="4876" width="5" style="56" customWidth="1"/>
    <col min="4877" max="4877" width="8.77734375" style="56"/>
    <col min="4878" max="4878" width="10.44140625" style="56" customWidth="1"/>
    <col min="4879" max="4879" width="3.77734375" style="56" customWidth="1"/>
    <col min="4880" max="4881" width="8.77734375" style="56"/>
    <col min="4882" max="4882" width="3.77734375" style="56" customWidth="1"/>
    <col min="4883" max="5122" width="8.77734375" style="56"/>
    <col min="5123" max="5123" width="24.77734375" style="56" customWidth="1"/>
    <col min="5124" max="5124" width="13.44140625" style="56" customWidth="1"/>
    <col min="5125" max="5125" width="8.77734375" style="56"/>
    <col min="5126" max="5126" width="6.77734375" style="56" customWidth="1"/>
    <col min="5127" max="5127" width="6.44140625" style="56" customWidth="1"/>
    <col min="5128" max="5128" width="8.21875" style="56" customWidth="1"/>
    <col min="5129" max="5129" width="6.77734375" style="56" customWidth="1"/>
    <col min="5130" max="5130" width="4.77734375" style="56" customWidth="1"/>
    <col min="5131" max="5132" width="5" style="56" customWidth="1"/>
    <col min="5133" max="5133" width="8.77734375" style="56"/>
    <col min="5134" max="5134" width="10.44140625" style="56" customWidth="1"/>
    <col min="5135" max="5135" width="3.77734375" style="56" customWidth="1"/>
    <col min="5136" max="5137" width="8.77734375" style="56"/>
    <col min="5138" max="5138" width="3.77734375" style="56" customWidth="1"/>
    <col min="5139" max="5378" width="8.77734375" style="56"/>
    <col min="5379" max="5379" width="24.77734375" style="56" customWidth="1"/>
    <col min="5380" max="5380" width="13.44140625" style="56" customWidth="1"/>
    <col min="5381" max="5381" width="8.77734375" style="56"/>
    <col min="5382" max="5382" width="6.77734375" style="56" customWidth="1"/>
    <col min="5383" max="5383" width="6.44140625" style="56" customWidth="1"/>
    <col min="5384" max="5384" width="8.21875" style="56" customWidth="1"/>
    <col min="5385" max="5385" width="6.77734375" style="56" customWidth="1"/>
    <col min="5386" max="5386" width="4.77734375" style="56" customWidth="1"/>
    <col min="5387" max="5388" width="5" style="56" customWidth="1"/>
    <col min="5389" max="5389" width="8.77734375" style="56"/>
    <col min="5390" max="5390" width="10.44140625" style="56" customWidth="1"/>
    <col min="5391" max="5391" width="3.77734375" style="56" customWidth="1"/>
    <col min="5392" max="5393" width="8.77734375" style="56"/>
    <col min="5394" max="5394" width="3.77734375" style="56" customWidth="1"/>
    <col min="5395" max="5634" width="8.77734375" style="56"/>
    <col min="5635" max="5635" width="24.77734375" style="56" customWidth="1"/>
    <col min="5636" max="5636" width="13.44140625" style="56" customWidth="1"/>
    <col min="5637" max="5637" width="8.77734375" style="56"/>
    <col min="5638" max="5638" width="6.77734375" style="56" customWidth="1"/>
    <col min="5639" max="5639" width="6.44140625" style="56" customWidth="1"/>
    <col min="5640" max="5640" width="8.21875" style="56" customWidth="1"/>
    <col min="5641" max="5641" width="6.77734375" style="56" customWidth="1"/>
    <col min="5642" max="5642" width="4.77734375" style="56" customWidth="1"/>
    <col min="5643" max="5644" width="5" style="56" customWidth="1"/>
    <col min="5645" max="5645" width="8.77734375" style="56"/>
    <col min="5646" max="5646" width="10.44140625" style="56" customWidth="1"/>
    <col min="5647" max="5647" width="3.77734375" style="56" customWidth="1"/>
    <col min="5648" max="5649" width="8.77734375" style="56"/>
    <col min="5650" max="5650" width="3.77734375" style="56" customWidth="1"/>
    <col min="5651" max="5890" width="8.77734375" style="56"/>
    <col min="5891" max="5891" width="24.77734375" style="56" customWidth="1"/>
    <col min="5892" max="5892" width="13.44140625" style="56" customWidth="1"/>
    <col min="5893" max="5893" width="8.77734375" style="56"/>
    <col min="5894" max="5894" width="6.77734375" style="56" customWidth="1"/>
    <col min="5895" max="5895" width="6.44140625" style="56" customWidth="1"/>
    <col min="5896" max="5896" width="8.21875" style="56" customWidth="1"/>
    <col min="5897" max="5897" width="6.77734375" style="56" customWidth="1"/>
    <col min="5898" max="5898" width="4.77734375" style="56" customWidth="1"/>
    <col min="5899" max="5900" width="5" style="56" customWidth="1"/>
    <col min="5901" max="5901" width="8.77734375" style="56"/>
    <col min="5902" max="5902" width="10.44140625" style="56" customWidth="1"/>
    <col min="5903" max="5903" width="3.77734375" style="56" customWidth="1"/>
    <col min="5904" max="5905" width="8.77734375" style="56"/>
    <col min="5906" max="5906" width="3.77734375" style="56" customWidth="1"/>
    <col min="5907" max="6146" width="8.77734375" style="56"/>
    <col min="6147" max="6147" width="24.77734375" style="56" customWidth="1"/>
    <col min="6148" max="6148" width="13.44140625" style="56" customWidth="1"/>
    <col min="6149" max="6149" width="8.77734375" style="56"/>
    <col min="6150" max="6150" width="6.77734375" style="56" customWidth="1"/>
    <col min="6151" max="6151" width="6.44140625" style="56" customWidth="1"/>
    <col min="6152" max="6152" width="8.21875" style="56" customWidth="1"/>
    <col min="6153" max="6153" width="6.77734375" style="56" customWidth="1"/>
    <col min="6154" max="6154" width="4.77734375" style="56" customWidth="1"/>
    <col min="6155" max="6156" width="5" style="56" customWidth="1"/>
    <col min="6157" max="6157" width="8.77734375" style="56"/>
    <col min="6158" max="6158" width="10.44140625" style="56" customWidth="1"/>
    <col min="6159" max="6159" width="3.77734375" style="56" customWidth="1"/>
    <col min="6160" max="6161" width="8.77734375" style="56"/>
    <col min="6162" max="6162" width="3.77734375" style="56" customWidth="1"/>
    <col min="6163" max="6402" width="8.77734375" style="56"/>
    <col min="6403" max="6403" width="24.77734375" style="56" customWidth="1"/>
    <col min="6404" max="6404" width="13.44140625" style="56" customWidth="1"/>
    <col min="6405" max="6405" width="8.77734375" style="56"/>
    <col min="6406" max="6406" width="6.77734375" style="56" customWidth="1"/>
    <col min="6407" max="6407" width="6.44140625" style="56" customWidth="1"/>
    <col min="6408" max="6408" width="8.21875" style="56" customWidth="1"/>
    <col min="6409" max="6409" width="6.77734375" style="56" customWidth="1"/>
    <col min="6410" max="6410" width="4.77734375" style="56" customWidth="1"/>
    <col min="6411" max="6412" width="5" style="56" customWidth="1"/>
    <col min="6413" max="6413" width="8.77734375" style="56"/>
    <col min="6414" max="6414" width="10.44140625" style="56" customWidth="1"/>
    <col min="6415" max="6415" width="3.77734375" style="56" customWidth="1"/>
    <col min="6416" max="6417" width="8.77734375" style="56"/>
    <col min="6418" max="6418" width="3.77734375" style="56" customWidth="1"/>
    <col min="6419" max="6658" width="8.77734375" style="56"/>
    <col min="6659" max="6659" width="24.77734375" style="56" customWidth="1"/>
    <col min="6660" max="6660" width="13.44140625" style="56" customWidth="1"/>
    <col min="6661" max="6661" width="8.77734375" style="56"/>
    <col min="6662" max="6662" width="6.77734375" style="56" customWidth="1"/>
    <col min="6663" max="6663" width="6.44140625" style="56" customWidth="1"/>
    <col min="6664" max="6664" width="8.21875" style="56" customWidth="1"/>
    <col min="6665" max="6665" width="6.77734375" style="56" customWidth="1"/>
    <col min="6666" max="6666" width="4.77734375" style="56" customWidth="1"/>
    <col min="6667" max="6668" width="5" style="56" customWidth="1"/>
    <col min="6669" max="6669" width="8.77734375" style="56"/>
    <col min="6670" max="6670" width="10.44140625" style="56" customWidth="1"/>
    <col min="6671" max="6671" width="3.77734375" style="56" customWidth="1"/>
    <col min="6672" max="6673" width="8.77734375" style="56"/>
    <col min="6674" max="6674" width="3.77734375" style="56" customWidth="1"/>
    <col min="6675" max="6914" width="8.77734375" style="56"/>
    <col min="6915" max="6915" width="24.77734375" style="56" customWidth="1"/>
    <col min="6916" max="6916" width="13.44140625" style="56" customWidth="1"/>
    <col min="6917" max="6917" width="8.77734375" style="56"/>
    <col min="6918" max="6918" width="6.77734375" style="56" customWidth="1"/>
    <col min="6919" max="6919" width="6.44140625" style="56" customWidth="1"/>
    <col min="6920" max="6920" width="8.21875" style="56" customWidth="1"/>
    <col min="6921" max="6921" width="6.77734375" style="56" customWidth="1"/>
    <col min="6922" max="6922" width="4.77734375" style="56" customWidth="1"/>
    <col min="6923" max="6924" width="5" style="56" customWidth="1"/>
    <col min="6925" max="6925" width="8.77734375" style="56"/>
    <col min="6926" max="6926" width="10.44140625" style="56" customWidth="1"/>
    <col min="6927" max="6927" width="3.77734375" style="56" customWidth="1"/>
    <col min="6928" max="6929" width="8.77734375" style="56"/>
    <col min="6930" max="6930" width="3.77734375" style="56" customWidth="1"/>
    <col min="6931" max="7170" width="8.77734375" style="56"/>
    <col min="7171" max="7171" width="24.77734375" style="56" customWidth="1"/>
    <col min="7172" max="7172" width="13.44140625" style="56" customWidth="1"/>
    <col min="7173" max="7173" width="8.77734375" style="56"/>
    <col min="7174" max="7174" width="6.77734375" style="56" customWidth="1"/>
    <col min="7175" max="7175" width="6.44140625" style="56" customWidth="1"/>
    <col min="7176" max="7176" width="8.21875" style="56" customWidth="1"/>
    <col min="7177" max="7177" width="6.77734375" style="56" customWidth="1"/>
    <col min="7178" max="7178" width="4.77734375" style="56" customWidth="1"/>
    <col min="7179" max="7180" width="5" style="56" customWidth="1"/>
    <col min="7181" max="7181" width="8.77734375" style="56"/>
    <col min="7182" max="7182" width="10.44140625" style="56" customWidth="1"/>
    <col min="7183" max="7183" width="3.77734375" style="56" customWidth="1"/>
    <col min="7184" max="7185" width="8.77734375" style="56"/>
    <col min="7186" max="7186" width="3.77734375" style="56" customWidth="1"/>
    <col min="7187" max="7426" width="8.77734375" style="56"/>
    <col min="7427" max="7427" width="24.77734375" style="56" customWidth="1"/>
    <col min="7428" max="7428" width="13.44140625" style="56" customWidth="1"/>
    <col min="7429" max="7429" width="8.77734375" style="56"/>
    <col min="7430" max="7430" width="6.77734375" style="56" customWidth="1"/>
    <col min="7431" max="7431" width="6.44140625" style="56" customWidth="1"/>
    <col min="7432" max="7432" width="8.21875" style="56" customWidth="1"/>
    <col min="7433" max="7433" width="6.77734375" style="56" customWidth="1"/>
    <col min="7434" max="7434" width="4.77734375" style="56" customWidth="1"/>
    <col min="7435" max="7436" width="5" style="56" customWidth="1"/>
    <col min="7437" max="7437" width="8.77734375" style="56"/>
    <col min="7438" max="7438" width="10.44140625" style="56" customWidth="1"/>
    <col min="7439" max="7439" width="3.77734375" style="56" customWidth="1"/>
    <col min="7440" max="7441" width="8.77734375" style="56"/>
    <col min="7442" max="7442" width="3.77734375" style="56" customWidth="1"/>
    <col min="7443" max="7682" width="8.77734375" style="56"/>
    <col min="7683" max="7683" width="24.77734375" style="56" customWidth="1"/>
    <col min="7684" max="7684" width="13.44140625" style="56" customWidth="1"/>
    <col min="7685" max="7685" width="8.77734375" style="56"/>
    <col min="7686" max="7686" width="6.77734375" style="56" customWidth="1"/>
    <col min="7687" max="7687" width="6.44140625" style="56" customWidth="1"/>
    <col min="7688" max="7688" width="8.21875" style="56" customWidth="1"/>
    <col min="7689" max="7689" width="6.77734375" style="56" customWidth="1"/>
    <col min="7690" max="7690" width="4.77734375" style="56" customWidth="1"/>
    <col min="7691" max="7692" width="5" style="56" customWidth="1"/>
    <col min="7693" max="7693" width="8.77734375" style="56"/>
    <col min="7694" max="7694" width="10.44140625" style="56" customWidth="1"/>
    <col min="7695" max="7695" width="3.77734375" style="56" customWidth="1"/>
    <col min="7696" max="7697" width="8.77734375" style="56"/>
    <col min="7698" max="7698" width="3.77734375" style="56" customWidth="1"/>
    <col min="7699" max="7938" width="8.77734375" style="56"/>
    <col min="7939" max="7939" width="24.77734375" style="56" customWidth="1"/>
    <col min="7940" max="7940" width="13.44140625" style="56" customWidth="1"/>
    <col min="7941" max="7941" width="8.77734375" style="56"/>
    <col min="7942" max="7942" width="6.77734375" style="56" customWidth="1"/>
    <col min="7943" max="7943" width="6.44140625" style="56" customWidth="1"/>
    <col min="7944" max="7944" width="8.21875" style="56" customWidth="1"/>
    <col min="7945" max="7945" width="6.77734375" style="56" customWidth="1"/>
    <col min="7946" max="7946" width="4.77734375" style="56" customWidth="1"/>
    <col min="7947" max="7948" width="5" style="56" customWidth="1"/>
    <col min="7949" max="7949" width="8.77734375" style="56"/>
    <col min="7950" max="7950" width="10.44140625" style="56" customWidth="1"/>
    <col min="7951" max="7951" width="3.77734375" style="56" customWidth="1"/>
    <col min="7952" max="7953" width="8.77734375" style="56"/>
    <col min="7954" max="7954" width="3.77734375" style="56" customWidth="1"/>
    <col min="7955" max="8194" width="8.77734375" style="56"/>
    <col min="8195" max="8195" width="24.77734375" style="56" customWidth="1"/>
    <col min="8196" max="8196" width="13.44140625" style="56" customWidth="1"/>
    <col min="8197" max="8197" width="8.77734375" style="56"/>
    <col min="8198" max="8198" width="6.77734375" style="56" customWidth="1"/>
    <col min="8199" max="8199" width="6.44140625" style="56" customWidth="1"/>
    <col min="8200" max="8200" width="8.21875" style="56" customWidth="1"/>
    <col min="8201" max="8201" width="6.77734375" style="56" customWidth="1"/>
    <col min="8202" max="8202" width="4.77734375" style="56" customWidth="1"/>
    <col min="8203" max="8204" width="5" style="56" customWidth="1"/>
    <col min="8205" max="8205" width="8.77734375" style="56"/>
    <col min="8206" max="8206" width="10.44140625" style="56" customWidth="1"/>
    <col min="8207" max="8207" width="3.77734375" style="56" customWidth="1"/>
    <col min="8208" max="8209" width="8.77734375" style="56"/>
    <col min="8210" max="8210" width="3.77734375" style="56" customWidth="1"/>
    <col min="8211" max="8450" width="8.77734375" style="56"/>
    <col min="8451" max="8451" width="24.77734375" style="56" customWidth="1"/>
    <col min="8452" max="8452" width="13.44140625" style="56" customWidth="1"/>
    <col min="8453" max="8453" width="8.77734375" style="56"/>
    <col min="8454" max="8454" width="6.77734375" style="56" customWidth="1"/>
    <col min="8455" max="8455" width="6.44140625" style="56" customWidth="1"/>
    <col min="8456" max="8456" width="8.21875" style="56" customWidth="1"/>
    <col min="8457" max="8457" width="6.77734375" style="56" customWidth="1"/>
    <col min="8458" max="8458" width="4.77734375" style="56" customWidth="1"/>
    <col min="8459" max="8460" width="5" style="56" customWidth="1"/>
    <col min="8461" max="8461" width="8.77734375" style="56"/>
    <col min="8462" max="8462" width="10.44140625" style="56" customWidth="1"/>
    <col min="8463" max="8463" width="3.77734375" style="56" customWidth="1"/>
    <col min="8464" max="8465" width="8.77734375" style="56"/>
    <col min="8466" max="8466" width="3.77734375" style="56" customWidth="1"/>
    <col min="8467" max="8706" width="8.77734375" style="56"/>
    <col min="8707" max="8707" width="24.77734375" style="56" customWidth="1"/>
    <col min="8708" max="8708" width="13.44140625" style="56" customWidth="1"/>
    <col min="8709" max="8709" width="8.77734375" style="56"/>
    <col min="8710" max="8710" width="6.77734375" style="56" customWidth="1"/>
    <col min="8711" max="8711" width="6.44140625" style="56" customWidth="1"/>
    <col min="8712" max="8712" width="8.21875" style="56" customWidth="1"/>
    <col min="8713" max="8713" width="6.77734375" style="56" customWidth="1"/>
    <col min="8714" max="8714" width="4.77734375" style="56" customWidth="1"/>
    <col min="8715" max="8716" width="5" style="56" customWidth="1"/>
    <col min="8717" max="8717" width="8.77734375" style="56"/>
    <col min="8718" max="8718" width="10.44140625" style="56" customWidth="1"/>
    <col min="8719" max="8719" width="3.77734375" style="56" customWidth="1"/>
    <col min="8720" max="8721" width="8.77734375" style="56"/>
    <col min="8722" max="8722" width="3.77734375" style="56" customWidth="1"/>
    <col min="8723" max="8962" width="8.77734375" style="56"/>
    <col min="8963" max="8963" width="24.77734375" style="56" customWidth="1"/>
    <col min="8964" max="8964" width="13.44140625" style="56" customWidth="1"/>
    <col min="8965" max="8965" width="8.77734375" style="56"/>
    <col min="8966" max="8966" width="6.77734375" style="56" customWidth="1"/>
    <col min="8967" max="8967" width="6.44140625" style="56" customWidth="1"/>
    <col min="8968" max="8968" width="8.21875" style="56" customWidth="1"/>
    <col min="8969" max="8969" width="6.77734375" style="56" customWidth="1"/>
    <col min="8970" max="8970" width="4.77734375" style="56" customWidth="1"/>
    <col min="8971" max="8972" width="5" style="56" customWidth="1"/>
    <col min="8973" max="8973" width="8.77734375" style="56"/>
    <col min="8974" max="8974" width="10.44140625" style="56" customWidth="1"/>
    <col min="8975" max="8975" width="3.77734375" style="56" customWidth="1"/>
    <col min="8976" max="8977" width="8.77734375" style="56"/>
    <col min="8978" max="8978" width="3.77734375" style="56" customWidth="1"/>
    <col min="8979" max="9218" width="8.77734375" style="56"/>
    <col min="9219" max="9219" width="24.77734375" style="56" customWidth="1"/>
    <col min="9220" max="9220" width="13.44140625" style="56" customWidth="1"/>
    <col min="9221" max="9221" width="8.77734375" style="56"/>
    <col min="9222" max="9222" width="6.77734375" style="56" customWidth="1"/>
    <col min="9223" max="9223" width="6.44140625" style="56" customWidth="1"/>
    <col min="9224" max="9224" width="8.21875" style="56" customWidth="1"/>
    <col min="9225" max="9225" width="6.77734375" style="56" customWidth="1"/>
    <col min="9226" max="9226" width="4.77734375" style="56" customWidth="1"/>
    <col min="9227" max="9228" width="5" style="56" customWidth="1"/>
    <col min="9229" max="9229" width="8.77734375" style="56"/>
    <col min="9230" max="9230" width="10.44140625" style="56" customWidth="1"/>
    <col min="9231" max="9231" width="3.77734375" style="56" customWidth="1"/>
    <col min="9232" max="9233" width="8.77734375" style="56"/>
    <col min="9234" max="9234" width="3.77734375" style="56" customWidth="1"/>
    <col min="9235" max="9474" width="8.77734375" style="56"/>
    <col min="9475" max="9475" width="24.77734375" style="56" customWidth="1"/>
    <col min="9476" max="9476" width="13.44140625" style="56" customWidth="1"/>
    <col min="9477" max="9477" width="8.77734375" style="56"/>
    <col min="9478" max="9478" width="6.77734375" style="56" customWidth="1"/>
    <col min="9479" max="9479" width="6.44140625" style="56" customWidth="1"/>
    <col min="9480" max="9480" width="8.21875" style="56" customWidth="1"/>
    <col min="9481" max="9481" width="6.77734375" style="56" customWidth="1"/>
    <col min="9482" max="9482" width="4.77734375" style="56" customWidth="1"/>
    <col min="9483" max="9484" width="5" style="56" customWidth="1"/>
    <col min="9485" max="9485" width="8.77734375" style="56"/>
    <col min="9486" max="9486" width="10.44140625" style="56" customWidth="1"/>
    <col min="9487" max="9487" width="3.77734375" style="56" customWidth="1"/>
    <col min="9488" max="9489" width="8.77734375" style="56"/>
    <col min="9490" max="9490" width="3.77734375" style="56" customWidth="1"/>
    <col min="9491" max="9730" width="8.77734375" style="56"/>
    <col min="9731" max="9731" width="24.77734375" style="56" customWidth="1"/>
    <col min="9732" max="9732" width="13.44140625" style="56" customWidth="1"/>
    <col min="9733" max="9733" width="8.77734375" style="56"/>
    <col min="9734" max="9734" width="6.77734375" style="56" customWidth="1"/>
    <col min="9735" max="9735" width="6.44140625" style="56" customWidth="1"/>
    <col min="9736" max="9736" width="8.21875" style="56" customWidth="1"/>
    <col min="9737" max="9737" width="6.77734375" style="56" customWidth="1"/>
    <col min="9738" max="9738" width="4.77734375" style="56" customWidth="1"/>
    <col min="9739" max="9740" width="5" style="56" customWidth="1"/>
    <col min="9741" max="9741" width="8.77734375" style="56"/>
    <col min="9742" max="9742" width="10.44140625" style="56" customWidth="1"/>
    <col min="9743" max="9743" width="3.77734375" style="56" customWidth="1"/>
    <col min="9744" max="9745" width="8.77734375" style="56"/>
    <col min="9746" max="9746" width="3.77734375" style="56" customWidth="1"/>
    <col min="9747" max="9986" width="8.77734375" style="56"/>
    <col min="9987" max="9987" width="24.77734375" style="56" customWidth="1"/>
    <col min="9988" max="9988" width="13.44140625" style="56" customWidth="1"/>
    <col min="9989" max="9989" width="8.77734375" style="56"/>
    <col min="9990" max="9990" width="6.77734375" style="56" customWidth="1"/>
    <col min="9991" max="9991" width="6.44140625" style="56" customWidth="1"/>
    <col min="9992" max="9992" width="8.21875" style="56" customWidth="1"/>
    <col min="9993" max="9993" width="6.77734375" style="56" customWidth="1"/>
    <col min="9994" max="9994" width="4.77734375" style="56" customWidth="1"/>
    <col min="9995" max="9996" width="5" style="56" customWidth="1"/>
    <col min="9997" max="9997" width="8.77734375" style="56"/>
    <col min="9998" max="9998" width="10.44140625" style="56" customWidth="1"/>
    <col min="9999" max="9999" width="3.77734375" style="56" customWidth="1"/>
    <col min="10000" max="10001" width="8.77734375" style="56"/>
    <col min="10002" max="10002" width="3.77734375" style="56" customWidth="1"/>
    <col min="10003" max="10242" width="8.77734375" style="56"/>
    <col min="10243" max="10243" width="24.77734375" style="56" customWidth="1"/>
    <col min="10244" max="10244" width="13.44140625" style="56" customWidth="1"/>
    <col min="10245" max="10245" width="8.77734375" style="56"/>
    <col min="10246" max="10246" width="6.77734375" style="56" customWidth="1"/>
    <col min="10247" max="10247" width="6.44140625" style="56" customWidth="1"/>
    <col min="10248" max="10248" width="8.21875" style="56" customWidth="1"/>
    <col min="10249" max="10249" width="6.77734375" style="56" customWidth="1"/>
    <col min="10250" max="10250" width="4.77734375" style="56" customWidth="1"/>
    <col min="10251" max="10252" width="5" style="56" customWidth="1"/>
    <col min="10253" max="10253" width="8.77734375" style="56"/>
    <col min="10254" max="10254" width="10.44140625" style="56" customWidth="1"/>
    <col min="10255" max="10255" width="3.77734375" style="56" customWidth="1"/>
    <col min="10256" max="10257" width="8.77734375" style="56"/>
    <col min="10258" max="10258" width="3.77734375" style="56" customWidth="1"/>
    <col min="10259" max="10498" width="8.77734375" style="56"/>
    <col min="10499" max="10499" width="24.77734375" style="56" customWidth="1"/>
    <col min="10500" max="10500" width="13.44140625" style="56" customWidth="1"/>
    <col min="10501" max="10501" width="8.77734375" style="56"/>
    <col min="10502" max="10502" width="6.77734375" style="56" customWidth="1"/>
    <col min="10503" max="10503" width="6.44140625" style="56" customWidth="1"/>
    <col min="10504" max="10504" width="8.21875" style="56" customWidth="1"/>
    <col min="10505" max="10505" width="6.77734375" style="56" customWidth="1"/>
    <col min="10506" max="10506" width="4.77734375" style="56" customWidth="1"/>
    <col min="10507" max="10508" width="5" style="56" customWidth="1"/>
    <col min="10509" max="10509" width="8.77734375" style="56"/>
    <col min="10510" max="10510" width="10.44140625" style="56" customWidth="1"/>
    <col min="10511" max="10511" width="3.77734375" style="56" customWidth="1"/>
    <col min="10512" max="10513" width="8.77734375" style="56"/>
    <col min="10514" max="10514" width="3.77734375" style="56" customWidth="1"/>
    <col min="10515" max="10754" width="8.77734375" style="56"/>
    <col min="10755" max="10755" width="24.77734375" style="56" customWidth="1"/>
    <col min="10756" max="10756" width="13.44140625" style="56" customWidth="1"/>
    <col min="10757" max="10757" width="8.77734375" style="56"/>
    <col min="10758" max="10758" width="6.77734375" style="56" customWidth="1"/>
    <col min="10759" max="10759" width="6.44140625" style="56" customWidth="1"/>
    <col min="10760" max="10760" width="8.21875" style="56" customWidth="1"/>
    <col min="10761" max="10761" width="6.77734375" style="56" customWidth="1"/>
    <col min="10762" max="10762" width="4.77734375" style="56" customWidth="1"/>
    <col min="10763" max="10764" width="5" style="56" customWidth="1"/>
    <col min="10765" max="10765" width="8.77734375" style="56"/>
    <col min="10766" max="10766" width="10.44140625" style="56" customWidth="1"/>
    <col min="10767" max="10767" width="3.77734375" style="56" customWidth="1"/>
    <col min="10768" max="10769" width="8.77734375" style="56"/>
    <col min="10770" max="10770" width="3.77734375" style="56" customWidth="1"/>
    <col min="10771" max="11010" width="8.77734375" style="56"/>
    <col min="11011" max="11011" width="24.77734375" style="56" customWidth="1"/>
    <col min="11012" max="11012" width="13.44140625" style="56" customWidth="1"/>
    <col min="11013" max="11013" width="8.77734375" style="56"/>
    <col min="11014" max="11014" width="6.77734375" style="56" customWidth="1"/>
    <col min="11015" max="11015" width="6.44140625" style="56" customWidth="1"/>
    <col min="11016" max="11016" width="8.21875" style="56" customWidth="1"/>
    <col min="11017" max="11017" width="6.77734375" style="56" customWidth="1"/>
    <col min="11018" max="11018" width="4.77734375" style="56" customWidth="1"/>
    <col min="11019" max="11020" width="5" style="56" customWidth="1"/>
    <col min="11021" max="11021" width="8.77734375" style="56"/>
    <col min="11022" max="11022" width="10.44140625" style="56" customWidth="1"/>
    <col min="11023" max="11023" width="3.77734375" style="56" customWidth="1"/>
    <col min="11024" max="11025" width="8.77734375" style="56"/>
    <col min="11026" max="11026" width="3.77734375" style="56" customWidth="1"/>
    <col min="11027" max="11266" width="8.77734375" style="56"/>
    <col min="11267" max="11267" width="24.77734375" style="56" customWidth="1"/>
    <col min="11268" max="11268" width="13.44140625" style="56" customWidth="1"/>
    <col min="11269" max="11269" width="8.77734375" style="56"/>
    <col min="11270" max="11270" width="6.77734375" style="56" customWidth="1"/>
    <col min="11271" max="11271" width="6.44140625" style="56" customWidth="1"/>
    <col min="11272" max="11272" width="8.21875" style="56" customWidth="1"/>
    <col min="11273" max="11273" width="6.77734375" style="56" customWidth="1"/>
    <col min="11274" max="11274" width="4.77734375" style="56" customWidth="1"/>
    <col min="11275" max="11276" width="5" style="56" customWidth="1"/>
    <col min="11277" max="11277" width="8.77734375" style="56"/>
    <col min="11278" max="11278" width="10.44140625" style="56" customWidth="1"/>
    <col min="11279" max="11279" width="3.77734375" style="56" customWidth="1"/>
    <col min="11280" max="11281" width="8.77734375" style="56"/>
    <col min="11282" max="11282" width="3.77734375" style="56" customWidth="1"/>
    <col min="11283" max="11522" width="8.77734375" style="56"/>
    <col min="11523" max="11523" width="24.77734375" style="56" customWidth="1"/>
    <col min="11524" max="11524" width="13.44140625" style="56" customWidth="1"/>
    <col min="11525" max="11525" width="8.77734375" style="56"/>
    <col min="11526" max="11526" width="6.77734375" style="56" customWidth="1"/>
    <col min="11527" max="11527" width="6.44140625" style="56" customWidth="1"/>
    <col min="11528" max="11528" width="8.21875" style="56" customWidth="1"/>
    <col min="11529" max="11529" width="6.77734375" style="56" customWidth="1"/>
    <col min="11530" max="11530" width="4.77734375" style="56" customWidth="1"/>
    <col min="11531" max="11532" width="5" style="56" customWidth="1"/>
    <col min="11533" max="11533" width="8.77734375" style="56"/>
    <col min="11534" max="11534" width="10.44140625" style="56" customWidth="1"/>
    <col min="11535" max="11535" width="3.77734375" style="56" customWidth="1"/>
    <col min="11536" max="11537" width="8.77734375" style="56"/>
    <col min="11538" max="11538" width="3.77734375" style="56" customWidth="1"/>
    <col min="11539" max="11778" width="8.77734375" style="56"/>
    <col min="11779" max="11779" width="24.77734375" style="56" customWidth="1"/>
    <col min="11780" max="11780" width="13.44140625" style="56" customWidth="1"/>
    <col min="11781" max="11781" width="8.77734375" style="56"/>
    <col min="11782" max="11782" width="6.77734375" style="56" customWidth="1"/>
    <col min="11783" max="11783" width="6.44140625" style="56" customWidth="1"/>
    <col min="11784" max="11784" width="8.21875" style="56" customWidth="1"/>
    <col min="11785" max="11785" width="6.77734375" style="56" customWidth="1"/>
    <col min="11786" max="11786" width="4.77734375" style="56" customWidth="1"/>
    <col min="11787" max="11788" width="5" style="56" customWidth="1"/>
    <col min="11789" max="11789" width="8.77734375" style="56"/>
    <col min="11790" max="11790" width="10.44140625" style="56" customWidth="1"/>
    <col min="11791" max="11791" width="3.77734375" style="56" customWidth="1"/>
    <col min="11792" max="11793" width="8.77734375" style="56"/>
    <col min="11794" max="11794" width="3.77734375" style="56" customWidth="1"/>
    <col min="11795" max="12034" width="8.77734375" style="56"/>
    <col min="12035" max="12035" width="24.77734375" style="56" customWidth="1"/>
    <col min="12036" max="12036" width="13.44140625" style="56" customWidth="1"/>
    <col min="12037" max="12037" width="8.77734375" style="56"/>
    <col min="12038" max="12038" width="6.77734375" style="56" customWidth="1"/>
    <col min="12039" max="12039" width="6.44140625" style="56" customWidth="1"/>
    <col min="12040" max="12040" width="8.21875" style="56" customWidth="1"/>
    <col min="12041" max="12041" width="6.77734375" style="56" customWidth="1"/>
    <col min="12042" max="12042" width="4.77734375" style="56" customWidth="1"/>
    <col min="12043" max="12044" width="5" style="56" customWidth="1"/>
    <col min="12045" max="12045" width="8.77734375" style="56"/>
    <col min="12046" max="12046" width="10.44140625" style="56" customWidth="1"/>
    <col min="12047" max="12047" width="3.77734375" style="56" customWidth="1"/>
    <col min="12048" max="12049" width="8.77734375" style="56"/>
    <col min="12050" max="12050" width="3.77734375" style="56" customWidth="1"/>
    <col min="12051" max="12290" width="8.77734375" style="56"/>
    <col min="12291" max="12291" width="24.77734375" style="56" customWidth="1"/>
    <col min="12292" max="12292" width="13.44140625" style="56" customWidth="1"/>
    <col min="12293" max="12293" width="8.77734375" style="56"/>
    <col min="12294" max="12294" width="6.77734375" style="56" customWidth="1"/>
    <col min="12295" max="12295" width="6.44140625" style="56" customWidth="1"/>
    <col min="12296" max="12296" width="8.21875" style="56" customWidth="1"/>
    <col min="12297" max="12297" width="6.77734375" style="56" customWidth="1"/>
    <col min="12298" max="12298" width="4.77734375" style="56" customWidth="1"/>
    <col min="12299" max="12300" width="5" style="56" customWidth="1"/>
    <col min="12301" max="12301" width="8.77734375" style="56"/>
    <col min="12302" max="12302" width="10.44140625" style="56" customWidth="1"/>
    <col min="12303" max="12303" width="3.77734375" style="56" customWidth="1"/>
    <col min="12304" max="12305" width="8.77734375" style="56"/>
    <col min="12306" max="12306" width="3.77734375" style="56" customWidth="1"/>
    <col min="12307" max="12546" width="8.77734375" style="56"/>
    <col min="12547" max="12547" width="24.77734375" style="56" customWidth="1"/>
    <col min="12548" max="12548" width="13.44140625" style="56" customWidth="1"/>
    <col min="12549" max="12549" width="8.77734375" style="56"/>
    <col min="12550" max="12550" width="6.77734375" style="56" customWidth="1"/>
    <col min="12551" max="12551" width="6.44140625" style="56" customWidth="1"/>
    <col min="12552" max="12552" width="8.21875" style="56" customWidth="1"/>
    <col min="12553" max="12553" width="6.77734375" style="56" customWidth="1"/>
    <col min="12554" max="12554" width="4.77734375" style="56" customWidth="1"/>
    <col min="12555" max="12556" width="5" style="56" customWidth="1"/>
    <col min="12557" max="12557" width="8.77734375" style="56"/>
    <col min="12558" max="12558" width="10.44140625" style="56" customWidth="1"/>
    <col min="12559" max="12559" width="3.77734375" style="56" customWidth="1"/>
    <col min="12560" max="12561" width="8.77734375" style="56"/>
    <col min="12562" max="12562" width="3.77734375" style="56" customWidth="1"/>
    <col min="12563" max="12802" width="8.77734375" style="56"/>
    <col min="12803" max="12803" width="24.77734375" style="56" customWidth="1"/>
    <col min="12804" max="12804" width="13.44140625" style="56" customWidth="1"/>
    <col min="12805" max="12805" width="8.77734375" style="56"/>
    <col min="12806" max="12806" width="6.77734375" style="56" customWidth="1"/>
    <col min="12807" max="12807" width="6.44140625" style="56" customWidth="1"/>
    <col min="12808" max="12808" width="8.21875" style="56" customWidth="1"/>
    <col min="12809" max="12809" width="6.77734375" style="56" customWidth="1"/>
    <col min="12810" max="12810" width="4.77734375" style="56" customWidth="1"/>
    <col min="12811" max="12812" width="5" style="56" customWidth="1"/>
    <col min="12813" max="12813" width="8.77734375" style="56"/>
    <col min="12814" max="12814" width="10.44140625" style="56" customWidth="1"/>
    <col min="12815" max="12815" width="3.77734375" style="56" customWidth="1"/>
    <col min="12816" max="12817" width="8.77734375" style="56"/>
    <col min="12818" max="12818" width="3.77734375" style="56" customWidth="1"/>
    <col min="12819" max="13058" width="8.77734375" style="56"/>
    <col min="13059" max="13059" width="24.77734375" style="56" customWidth="1"/>
    <col min="13060" max="13060" width="13.44140625" style="56" customWidth="1"/>
    <col min="13061" max="13061" width="8.77734375" style="56"/>
    <col min="13062" max="13062" width="6.77734375" style="56" customWidth="1"/>
    <col min="13063" max="13063" width="6.44140625" style="56" customWidth="1"/>
    <col min="13064" max="13064" width="8.21875" style="56" customWidth="1"/>
    <col min="13065" max="13065" width="6.77734375" style="56" customWidth="1"/>
    <col min="13066" max="13066" width="4.77734375" style="56" customWidth="1"/>
    <col min="13067" max="13068" width="5" style="56" customWidth="1"/>
    <col min="13069" max="13069" width="8.77734375" style="56"/>
    <col min="13070" max="13070" width="10.44140625" style="56" customWidth="1"/>
    <col min="13071" max="13071" width="3.77734375" style="56" customWidth="1"/>
    <col min="13072" max="13073" width="8.77734375" style="56"/>
    <col min="13074" max="13074" width="3.77734375" style="56" customWidth="1"/>
    <col min="13075" max="13314" width="8.77734375" style="56"/>
    <col min="13315" max="13315" width="24.77734375" style="56" customWidth="1"/>
    <col min="13316" max="13316" width="13.44140625" style="56" customWidth="1"/>
    <col min="13317" max="13317" width="8.77734375" style="56"/>
    <col min="13318" max="13318" width="6.77734375" style="56" customWidth="1"/>
    <col min="13319" max="13319" width="6.44140625" style="56" customWidth="1"/>
    <col min="13320" max="13320" width="8.21875" style="56" customWidth="1"/>
    <col min="13321" max="13321" width="6.77734375" style="56" customWidth="1"/>
    <col min="13322" max="13322" width="4.77734375" style="56" customWidth="1"/>
    <col min="13323" max="13324" width="5" style="56" customWidth="1"/>
    <col min="13325" max="13325" width="8.77734375" style="56"/>
    <col min="13326" max="13326" width="10.44140625" style="56" customWidth="1"/>
    <col min="13327" max="13327" width="3.77734375" style="56" customWidth="1"/>
    <col min="13328" max="13329" width="8.77734375" style="56"/>
    <col min="13330" max="13330" width="3.77734375" style="56" customWidth="1"/>
    <col min="13331" max="13570" width="8.77734375" style="56"/>
    <col min="13571" max="13571" width="24.77734375" style="56" customWidth="1"/>
    <col min="13572" max="13572" width="13.44140625" style="56" customWidth="1"/>
    <col min="13573" max="13573" width="8.77734375" style="56"/>
    <col min="13574" max="13574" width="6.77734375" style="56" customWidth="1"/>
    <col min="13575" max="13575" width="6.44140625" style="56" customWidth="1"/>
    <col min="13576" max="13576" width="8.21875" style="56" customWidth="1"/>
    <col min="13577" max="13577" width="6.77734375" style="56" customWidth="1"/>
    <col min="13578" max="13578" width="4.77734375" style="56" customWidth="1"/>
    <col min="13579" max="13580" width="5" style="56" customWidth="1"/>
    <col min="13581" max="13581" width="8.77734375" style="56"/>
    <col min="13582" max="13582" width="10.44140625" style="56" customWidth="1"/>
    <col min="13583" max="13583" width="3.77734375" style="56" customWidth="1"/>
    <col min="13584" max="13585" width="8.77734375" style="56"/>
    <col min="13586" max="13586" width="3.77734375" style="56" customWidth="1"/>
    <col min="13587" max="13826" width="8.77734375" style="56"/>
    <col min="13827" max="13827" width="24.77734375" style="56" customWidth="1"/>
    <col min="13828" max="13828" width="13.44140625" style="56" customWidth="1"/>
    <col min="13829" max="13829" width="8.77734375" style="56"/>
    <col min="13830" max="13830" width="6.77734375" style="56" customWidth="1"/>
    <col min="13831" max="13831" width="6.44140625" style="56" customWidth="1"/>
    <col min="13832" max="13832" width="8.21875" style="56" customWidth="1"/>
    <col min="13833" max="13833" width="6.77734375" style="56" customWidth="1"/>
    <col min="13834" max="13834" width="4.77734375" style="56" customWidth="1"/>
    <col min="13835" max="13836" width="5" style="56" customWidth="1"/>
    <col min="13837" max="13837" width="8.77734375" style="56"/>
    <col min="13838" max="13838" width="10.44140625" style="56" customWidth="1"/>
    <col min="13839" max="13839" width="3.77734375" style="56" customWidth="1"/>
    <col min="13840" max="13841" width="8.77734375" style="56"/>
    <col min="13842" max="13842" width="3.77734375" style="56" customWidth="1"/>
    <col min="13843" max="14082" width="8.77734375" style="56"/>
    <col min="14083" max="14083" width="24.77734375" style="56" customWidth="1"/>
    <col min="14084" max="14084" width="13.44140625" style="56" customWidth="1"/>
    <col min="14085" max="14085" width="8.77734375" style="56"/>
    <col min="14086" max="14086" width="6.77734375" style="56" customWidth="1"/>
    <col min="14087" max="14087" width="6.44140625" style="56" customWidth="1"/>
    <col min="14088" max="14088" width="8.21875" style="56" customWidth="1"/>
    <col min="14089" max="14089" width="6.77734375" style="56" customWidth="1"/>
    <col min="14090" max="14090" width="4.77734375" style="56" customWidth="1"/>
    <col min="14091" max="14092" width="5" style="56" customWidth="1"/>
    <col min="14093" max="14093" width="8.77734375" style="56"/>
    <col min="14094" max="14094" width="10.44140625" style="56" customWidth="1"/>
    <col min="14095" max="14095" width="3.77734375" style="56" customWidth="1"/>
    <col min="14096" max="14097" width="8.77734375" style="56"/>
    <col min="14098" max="14098" width="3.77734375" style="56" customWidth="1"/>
    <col min="14099" max="14338" width="8.77734375" style="56"/>
    <col min="14339" max="14339" width="24.77734375" style="56" customWidth="1"/>
    <col min="14340" max="14340" width="13.44140625" style="56" customWidth="1"/>
    <col min="14341" max="14341" width="8.77734375" style="56"/>
    <col min="14342" max="14342" width="6.77734375" style="56" customWidth="1"/>
    <col min="14343" max="14343" width="6.44140625" style="56" customWidth="1"/>
    <col min="14344" max="14344" width="8.21875" style="56" customWidth="1"/>
    <col min="14345" max="14345" width="6.77734375" style="56" customWidth="1"/>
    <col min="14346" max="14346" width="4.77734375" style="56" customWidth="1"/>
    <col min="14347" max="14348" width="5" style="56" customWidth="1"/>
    <col min="14349" max="14349" width="8.77734375" style="56"/>
    <col min="14350" max="14350" width="10.44140625" style="56" customWidth="1"/>
    <col min="14351" max="14351" width="3.77734375" style="56" customWidth="1"/>
    <col min="14352" max="14353" width="8.77734375" style="56"/>
    <col min="14354" max="14354" width="3.77734375" style="56" customWidth="1"/>
    <col min="14355" max="14594" width="8.77734375" style="56"/>
    <col min="14595" max="14595" width="24.77734375" style="56" customWidth="1"/>
    <col min="14596" max="14596" width="13.44140625" style="56" customWidth="1"/>
    <col min="14597" max="14597" width="8.77734375" style="56"/>
    <col min="14598" max="14598" width="6.77734375" style="56" customWidth="1"/>
    <col min="14599" max="14599" width="6.44140625" style="56" customWidth="1"/>
    <col min="14600" max="14600" width="8.21875" style="56" customWidth="1"/>
    <col min="14601" max="14601" width="6.77734375" style="56" customWidth="1"/>
    <col min="14602" max="14602" width="4.77734375" style="56" customWidth="1"/>
    <col min="14603" max="14604" width="5" style="56" customWidth="1"/>
    <col min="14605" max="14605" width="8.77734375" style="56"/>
    <col min="14606" max="14606" width="10.44140625" style="56" customWidth="1"/>
    <col min="14607" max="14607" width="3.77734375" style="56" customWidth="1"/>
    <col min="14608" max="14609" width="8.77734375" style="56"/>
    <col min="14610" max="14610" width="3.77734375" style="56" customWidth="1"/>
    <col min="14611" max="14850" width="8.77734375" style="56"/>
    <col min="14851" max="14851" width="24.77734375" style="56" customWidth="1"/>
    <col min="14852" max="14852" width="13.44140625" style="56" customWidth="1"/>
    <col min="14853" max="14853" width="8.77734375" style="56"/>
    <col min="14854" max="14854" width="6.77734375" style="56" customWidth="1"/>
    <col min="14855" max="14855" width="6.44140625" style="56" customWidth="1"/>
    <col min="14856" max="14856" width="8.21875" style="56" customWidth="1"/>
    <col min="14857" max="14857" width="6.77734375" style="56" customWidth="1"/>
    <col min="14858" max="14858" width="4.77734375" style="56" customWidth="1"/>
    <col min="14859" max="14860" width="5" style="56" customWidth="1"/>
    <col min="14861" max="14861" width="8.77734375" style="56"/>
    <col min="14862" max="14862" width="10.44140625" style="56" customWidth="1"/>
    <col min="14863" max="14863" width="3.77734375" style="56" customWidth="1"/>
    <col min="14864" max="14865" width="8.77734375" style="56"/>
    <col min="14866" max="14866" width="3.77734375" style="56" customWidth="1"/>
    <col min="14867" max="15106" width="8.77734375" style="56"/>
    <col min="15107" max="15107" width="24.77734375" style="56" customWidth="1"/>
    <col min="15108" max="15108" width="13.44140625" style="56" customWidth="1"/>
    <col min="15109" max="15109" width="8.77734375" style="56"/>
    <col min="15110" max="15110" width="6.77734375" style="56" customWidth="1"/>
    <col min="15111" max="15111" width="6.44140625" style="56" customWidth="1"/>
    <col min="15112" max="15112" width="8.21875" style="56" customWidth="1"/>
    <col min="15113" max="15113" width="6.77734375" style="56" customWidth="1"/>
    <col min="15114" max="15114" width="4.77734375" style="56" customWidth="1"/>
    <col min="15115" max="15116" width="5" style="56" customWidth="1"/>
    <col min="15117" max="15117" width="8.77734375" style="56"/>
    <col min="15118" max="15118" width="10.44140625" style="56" customWidth="1"/>
    <col min="15119" max="15119" width="3.77734375" style="56" customWidth="1"/>
    <col min="15120" max="15121" width="8.77734375" style="56"/>
    <col min="15122" max="15122" width="3.77734375" style="56" customWidth="1"/>
    <col min="15123" max="15362" width="8.77734375" style="56"/>
    <col min="15363" max="15363" width="24.77734375" style="56" customWidth="1"/>
    <col min="15364" max="15364" width="13.44140625" style="56" customWidth="1"/>
    <col min="15365" max="15365" width="8.77734375" style="56"/>
    <col min="15366" max="15366" width="6.77734375" style="56" customWidth="1"/>
    <col min="15367" max="15367" width="6.44140625" style="56" customWidth="1"/>
    <col min="15368" max="15368" width="8.21875" style="56" customWidth="1"/>
    <col min="15369" max="15369" width="6.77734375" style="56" customWidth="1"/>
    <col min="15370" max="15370" width="4.77734375" style="56" customWidth="1"/>
    <col min="15371" max="15372" width="5" style="56" customWidth="1"/>
    <col min="15373" max="15373" width="8.77734375" style="56"/>
    <col min="15374" max="15374" width="10.44140625" style="56" customWidth="1"/>
    <col min="15375" max="15375" width="3.77734375" style="56" customWidth="1"/>
    <col min="15376" max="15377" width="8.77734375" style="56"/>
    <col min="15378" max="15378" width="3.77734375" style="56" customWidth="1"/>
    <col min="15379" max="15618" width="8.77734375" style="56"/>
    <col min="15619" max="15619" width="24.77734375" style="56" customWidth="1"/>
    <col min="15620" max="15620" width="13.44140625" style="56" customWidth="1"/>
    <col min="15621" max="15621" width="8.77734375" style="56"/>
    <col min="15622" max="15622" width="6.77734375" style="56" customWidth="1"/>
    <col min="15623" max="15623" width="6.44140625" style="56" customWidth="1"/>
    <col min="15624" max="15624" width="8.21875" style="56" customWidth="1"/>
    <col min="15625" max="15625" width="6.77734375" style="56" customWidth="1"/>
    <col min="15626" max="15626" width="4.77734375" style="56" customWidth="1"/>
    <col min="15627" max="15628" width="5" style="56" customWidth="1"/>
    <col min="15629" max="15629" width="8.77734375" style="56"/>
    <col min="15630" max="15630" width="10.44140625" style="56" customWidth="1"/>
    <col min="15631" max="15631" width="3.77734375" style="56" customWidth="1"/>
    <col min="15632" max="15633" width="8.77734375" style="56"/>
    <col min="15634" max="15634" width="3.77734375" style="56" customWidth="1"/>
    <col min="15635" max="15874" width="8.77734375" style="56"/>
    <col min="15875" max="15875" width="24.77734375" style="56" customWidth="1"/>
    <col min="15876" max="15876" width="13.44140625" style="56" customWidth="1"/>
    <col min="15877" max="15877" width="8.77734375" style="56"/>
    <col min="15878" max="15878" width="6.77734375" style="56" customWidth="1"/>
    <col min="15879" max="15879" width="6.44140625" style="56" customWidth="1"/>
    <col min="15880" max="15880" width="8.21875" style="56" customWidth="1"/>
    <col min="15881" max="15881" width="6.77734375" style="56" customWidth="1"/>
    <col min="15882" max="15882" width="4.77734375" style="56" customWidth="1"/>
    <col min="15883" max="15884" width="5" style="56" customWidth="1"/>
    <col min="15885" max="15885" width="8.77734375" style="56"/>
    <col min="15886" max="15886" width="10.44140625" style="56" customWidth="1"/>
    <col min="15887" max="15887" width="3.77734375" style="56" customWidth="1"/>
    <col min="15888" max="15889" width="8.77734375" style="56"/>
    <col min="15890" max="15890" width="3.77734375" style="56" customWidth="1"/>
    <col min="15891" max="16130" width="8.77734375" style="56"/>
    <col min="16131" max="16131" width="24.77734375" style="56" customWidth="1"/>
    <col min="16132" max="16132" width="13.44140625" style="56" customWidth="1"/>
    <col min="16133" max="16133" width="8.77734375" style="56"/>
    <col min="16134" max="16134" width="6.77734375" style="56" customWidth="1"/>
    <col min="16135" max="16135" width="6.44140625" style="56" customWidth="1"/>
    <col min="16136" max="16136" width="8.21875" style="56" customWidth="1"/>
    <col min="16137" max="16137" width="6.77734375" style="56" customWidth="1"/>
    <col min="16138" max="16138" width="4.77734375" style="56" customWidth="1"/>
    <col min="16139" max="16140" width="5" style="56" customWidth="1"/>
    <col min="16141" max="16141" width="8.77734375" style="56"/>
    <col min="16142" max="16142" width="10.44140625" style="56" customWidth="1"/>
    <col min="16143" max="16143" width="3.77734375" style="56" customWidth="1"/>
    <col min="16144" max="16145" width="8.77734375" style="56"/>
    <col min="16146" max="16146" width="3.77734375" style="56" customWidth="1"/>
    <col min="16147" max="16384" width="8.77734375" style="56"/>
  </cols>
  <sheetData>
    <row r="1" spans="1:45" s="1" customFormat="1" ht="144" x14ac:dyDescent="0.3">
      <c r="A1" s="1" t="s">
        <v>0</v>
      </c>
      <c r="B1" s="1" t="s">
        <v>62</v>
      </c>
      <c r="C1" s="2" t="s">
        <v>1</v>
      </c>
      <c r="D1" s="2" t="s">
        <v>63</v>
      </c>
      <c r="E1" s="7" t="s">
        <v>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7" t="s">
        <v>71</v>
      </c>
      <c r="N1" s="1" t="s">
        <v>3</v>
      </c>
      <c r="O1" s="1" t="s">
        <v>72</v>
      </c>
      <c r="P1" s="3" t="s">
        <v>4</v>
      </c>
      <c r="Q1" s="3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4" t="s">
        <v>80</v>
      </c>
      <c r="Y1" s="4" t="s">
        <v>81</v>
      </c>
      <c r="Z1" s="5" t="s">
        <v>82</v>
      </c>
      <c r="AA1" s="5" t="s">
        <v>83</v>
      </c>
      <c r="AB1" s="1" t="s">
        <v>84</v>
      </c>
      <c r="AC1" s="1" t="s">
        <v>85</v>
      </c>
      <c r="AD1" s="1" t="s">
        <v>100</v>
      </c>
      <c r="AE1" s="2" t="s">
        <v>87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</row>
    <row r="2" spans="1:45" s="7" customFormat="1" ht="14.4" x14ac:dyDescent="0.3">
      <c r="A2" s="41">
        <v>42739</v>
      </c>
      <c r="B2" s="42"/>
      <c r="C2" s="43">
        <v>22</v>
      </c>
      <c r="D2" s="43">
        <v>29.79</v>
      </c>
      <c r="E2" s="7" t="s">
        <v>89</v>
      </c>
      <c r="F2" s="7" t="s">
        <v>90</v>
      </c>
      <c r="G2" s="7">
        <v>1000</v>
      </c>
      <c r="H2" s="7">
        <v>4.01</v>
      </c>
      <c r="I2" s="15">
        <v>12390</v>
      </c>
      <c r="J2" s="15"/>
      <c r="N2" s="43">
        <v>24.6</v>
      </c>
      <c r="O2" s="44">
        <f>0.001316*((D2*25.4)-(2.5*2053/100))</f>
        <v>0.92822875599999977</v>
      </c>
      <c r="P2" s="45">
        <f>(O2*(G2/1000000))/(0.08205*(N2+273.15))</f>
        <v>3.7994843757594916E-5</v>
      </c>
      <c r="Q2" s="45"/>
      <c r="X2" s="7">
        <f>IF(H2&lt;30,((0.0002*H2)-0.0003),(IF(H2&lt;5000,((0.0002*H2)+0.0048),((0.0002*H2)+0.0667))))</f>
        <v>5.0200000000000006E-4</v>
      </c>
      <c r="Y2" s="46">
        <f>IF(K2&lt;15,((0.039*K2)-0.0153),((0.0364*K2)+0.5802))</f>
        <v>-1.5299999999999999E-2</v>
      </c>
      <c r="Z2" s="47">
        <f>X2*1000000/G2</f>
        <v>0.502</v>
      </c>
      <c r="AA2" s="47">
        <f>Y2*1000000/G2</f>
        <v>-15.3</v>
      </c>
      <c r="AB2" s="7">
        <f>IF(H2&lt;30,((0.4045*H2)-0.6933),(IF(H2&lt;5000,((0.3645*H2)+10.283),((0.5183*H2)+143.13))))</f>
        <v>0.92874499999999993</v>
      </c>
      <c r="AC2" s="48">
        <f>IF(K2&lt;15,((83.603*K2)-32.732),((78.096*K2)+1244.7))</f>
        <v>-32.731999999999999</v>
      </c>
      <c r="AD2" s="43">
        <f>(IF(H2&lt;601, ((-0.00003*H2^2)+(0.2671*H2)+0.4766), (IF(H2&lt;19001,((0.1503*H2)+59.75),((0.000005*H2^2)-(0.0565*H2)+2184)))))*(1000/G2)</f>
        <v>1.5471885969999999</v>
      </c>
      <c r="AE2" s="43">
        <f>((0.0518*K2^2)+(27.217*K2)+116.22)*(1000/G2)</f>
        <v>116.22</v>
      </c>
      <c r="AN2" s="7">
        <v>1</v>
      </c>
      <c r="AR2" s="49"/>
      <c r="AS2" s="15"/>
    </row>
    <row r="3" spans="1:45" s="7" customFormat="1" ht="14.4" x14ac:dyDescent="0.3">
      <c r="A3" s="41">
        <v>42739</v>
      </c>
      <c r="B3" s="42"/>
      <c r="C3" s="43">
        <v>22</v>
      </c>
      <c r="D3" s="43">
        <v>29.79</v>
      </c>
      <c r="E3" s="7" t="s">
        <v>89</v>
      </c>
      <c r="F3" s="7" t="s">
        <v>90</v>
      </c>
      <c r="G3" s="7">
        <v>1000</v>
      </c>
      <c r="I3" s="15">
        <v>12588</v>
      </c>
      <c r="J3" s="15"/>
      <c r="K3" s="7">
        <v>4.91</v>
      </c>
      <c r="N3" s="43">
        <v>24.6</v>
      </c>
      <c r="O3" s="7">
        <v>0.93959373199999974</v>
      </c>
      <c r="P3" s="45">
        <f>(O3*(G3/1000000))/(0.08205*(N3+273.15))</f>
        <v>3.8460042109442589E-5</v>
      </c>
      <c r="Q3" s="45"/>
      <c r="X3" s="7">
        <f t="shared" ref="X3:X77" si="0">IF(H3&lt;30,((0.0002*H3)-0.0003),(IF(H3&lt;5000,((0.0002*H3)+0.0048),((0.0002*H3)+0.0667))))</f>
        <v>-2.9999999999999997E-4</v>
      </c>
      <c r="Y3" s="46">
        <f t="shared" ref="Y3:Y77" si="1">IF(K3&lt;15,((0.039*K3)-0.0153),((0.0364*K3)+0.5802))</f>
        <v>0.17618999999999999</v>
      </c>
      <c r="Z3" s="47">
        <f t="shared" ref="Z3:Z77" si="2">X3*1000000/G3</f>
        <v>-0.3</v>
      </c>
      <c r="AA3" s="47">
        <f t="shared" ref="AA3:AA77" si="3">Y3*1000000/G3</f>
        <v>176.19</v>
      </c>
      <c r="AB3" s="7">
        <f t="shared" ref="AB3:AB77" si="4">IF(H3&lt;30,((0.4045*H3)-0.6933),(IF(H3&lt;5000,((0.3645*H3)+10.283),((0.5183*H3)+143.13))))</f>
        <v>-0.69330000000000003</v>
      </c>
      <c r="AC3" s="48">
        <f t="shared" ref="AC3:AC77" si="5">IF(K3&lt;15,((83.603*K3)-32.732),((78.096*K3)+1244.7))</f>
        <v>377.75873000000001</v>
      </c>
      <c r="AD3" s="43">
        <f t="shared" ref="AD3:AD77" si="6">(IF(H3&lt;601, ((-0.00003*H3^2)+(0.2671*H3)+0.4766), (IF(H3&lt;19001,((0.1503*H3)+59.75),((0.000005*H3^2)-(0.0565*H3)+2184)))))*(1000/G3)</f>
        <v>0.47660000000000002</v>
      </c>
      <c r="AE3" s="43">
        <f t="shared" ref="AE3:AE77" si="7">((0.0518*K3^2)+(27.217*K3)+116.22)*(1000/G3)</f>
        <v>251.10426957999999</v>
      </c>
      <c r="AN3" s="7">
        <v>2</v>
      </c>
      <c r="AR3" s="49"/>
      <c r="AS3" s="15"/>
    </row>
    <row r="4" spans="1:45" s="7" customFormat="1" ht="14.4" x14ac:dyDescent="0.3">
      <c r="A4" s="41">
        <v>42739</v>
      </c>
      <c r="B4" s="42"/>
      <c r="C4" s="43">
        <v>22</v>
      </c>
      <c r="D4" s="43">
        <v>29.79</v>
      </c>
      <c r="E4" s="7" t="s">
        <v>89</v>
      </c>
      <c r="F4" s="7" t="s">
        <v>90</v>
      </c>
      <c r="G4" s="7">
        <v>1000</v>
      </c>
      <c r="H4" s="7">
        <v>4.5999999999999996</v>
      </c>
      <c r="I4" s="15">
        <v>12184</v>
      </c>
      <c r="J4" s="15"/>
      <c r="K4" s="7">
        <v>4.1100000000000003</v>
      </c>
      <c r="N4" s="43">
        <v>24.6</v>
      </c>
      <c r="O4" s="7">
        <v>0.93959373199999974</v>
      </c>
      <c r="P4" s="45">
        <f>(O4*(G4/1000000))/(0.08205*(N4+273.15))</f>
        <v>3.8460042109442589E-5</v>
      </c>
      <c r="Q4" s="45"/>
      <c r="X4" s="7">
        <f t="shared" si="0"/>
        <v>6.1999999999999989E-4</v>
      </c>
      <c r="Y4" s="46">
        <f t="shared" si="1"/>
        <v>0.14499000000000001</v>
      </c>
      <c r="Z4" s="47">
        <f t="shared" si="2"/>
        <v>0.61999999999999988</v>
      </c>
      <c r="AA4" s="47">
        <f t="shared" si="3"/>
        <v>144.99</v>
      </c>
      <c r="AB4" s="7">
        <f t="shared" si="4"/>
        <v>1.1674</v>
      </c>
      <c r="AC4" s="48">
        <f t="shared" si="5"/>
        <v>310.87633000000005</v>
      </c>
      <c r="AD4" s="43">
        <f t="shared" si="6"/>
        <v>1.7046251999999997</v>
      </c>
      <c r="AE4" s="43">
        <f t="shared" si="7"/>
        <v>228.95688078000001</v>
      </c>
      <c r="AN4" s="7">
        <v>3</v>
      </c>
      <c r="AR4" s="49"/>
      <c r="AS4" s="15"/>
    </row>
    <row r="5" spans="1:45" s="7" customFormat="1" ht="14.4" x14ac:dyDescent="0.3">
      <c r="A5" s="41">
        <v>42739</v>
      </c>
      <c r="B5" s="42"/>
      <c r="C5" s="43">
        <v>22</v>
      </c>
      <c r="D5" s="43">
        <v>29.79</v>
      </c>
      <c r="E5" s="7" t="s">
        <v>89</v>
      </c>
      <c r="F5" s="7" t="s">
        <v>90</v>
      </c>
      <c r="G5" s="7">
        <v>1000</v>
      </c>
      <c r="H5" s="49">
        <v>4.6900000000000004</v>
      </c>
      <c r="I5" s="15">
        <v>11349</v>
      </c>
      <c r="J5" s="15"/>
      <c r="K5" s="49">
        <v>3.8</v>
      </c>
      <c r="L5" s="49"/>
      <c r="M5" s="49"/>
      <c r="N5" s="43">
        <v>24.2</v>
      </c>
      <c r="O5" s="7">
        <v>0.94193357999999971</v>
      </c>
      <c r="P5" s="45">
        <f t="shared" ref="P5:P77" si="8">(O5*(G5/1000000))/(0.08205*(N5+273.15))</f>
        <v>3.8607684147200322E-5</v>
      </c>
      <c r="Q5" s="45"/>
      <c r="X5" s="7">
        <f t="shared" si="0"/>
        <v>6.3800000000000011E-4</v>
      </c>
      <c r="Y5" s="46">
        <f t="shared" si="1"/>
        <v>0.13289999999999999</v>
      </c>
      <c r="Z5" s="47">
        <f t="shared" si="2"/>
        <v>0.63800000000000012</v>
      </c>
      <c r="AA5" s="47">
        <f t="shared" si="3"/>
        <v>132.9</v>
      </c>
      <c r="AB5" s="7">
        <f t="shared" si="4"/>
        <v>1.2038050000000002</v>
      </c>
      <c r="AC5" s="48">
        <f t="shared" si="5"/>
        <v>284.95939999999996</v>
      </c>
      <c r="AD5" s="43">
        <f t="shared" si="6"/>
        <v>1.7286391170000002</v>
      </c>
      <c r="AE5" s="43">
        <f t="shared" si="7"/>
        <v>220.39259199999998</v>
      </c>
      <c r="AN5" s="7">
        <v>4</v>
      </c>
      <c r="AR5" s="49"/>
      <c r="AS5" s="15"/>
    </row>
    <row r="6" spans="1:45" s="7" customFormat="1" ht="14.4" x14ac:dyDescent="0.3">
      <c r="A6" s="41">
        <v>42739</v>
      </c>
      <c r="B6" s="42"/>
      <c r="C6" s="43">
        <v>22</v>
      </c>
      <c r="D6" s="43">
        <v>29.79</v>
      </c>
      <c r="E6" s="7" t="s">
        <v>89</v>
      </c>
      <c r="F6" s="7" t="s">
        <v>90</v>
      </c>
      <c r="G6" s="7">
        <v>1000</v>
      </c>
      <c r="H6" s="49">
        <v>3.78</v>
      </c>
      <c r="I6" s="15">
        <v>11922</v>
      </c>
      <c r="J6" s="15"/>
      <c r="K6" s="49">
        <v>3.69</v>
      </c>
      <c r="L6" s="49"/>
      <c r="M6" s="49"/>
      <c r="N6" s="43">
        <v>24.2</v>
      </c>
      <c r="O6" s="7">
        <v>0.94193357999999971</v>
      </c>
      <c r="P6" s="45">
        <f t="shared" si="8"/>
        <v>3.8607684147200322E-5</v>
      </c>
      <c r="Q6" s="45"/>
      <c r="X6" s="7">
        <f t="shared" si="0"/>
        <v>4.5599999999999997E-4</v>
      </c>
      <c r="Y6" s="46">
        <f t="shared" si="1"/>
        <v>0.12861</v>
      </c>
      <c r="Z6" s="47">
        <f t="shared" si="2"/>
        <v>0.45599999999999996</v>
      </c>
      <c r="AA6" s="47">
        <f t="shared" si="3"/>
        <v>128.61000000000001</v>
      </c>
      <c r="AB6" s="7">
        <f t="shared" si="4"/>
        <v>0.83570999999999995</v>
      </c>
      <c r="AC6" s="48">
        <f t="shared" si="5"/>
        <v>275.76306999999997</v>
      </c>
      <c r="AD6" s="43">
        <f t="shared" si="6"/>
        <v>1.4858093480000001</v>
      </c>
      <c r="AE6" s="43">
        <f t="shared" si="7"/>
        <v>217.35604397999998</v>
      </c>
      <c r="AN6" s="7">
        <v>5</v>
      </c>
      <c r="AR6" s="49"/>
      <c r="AS6" s="15"/>
    </row>
    <row r="7" spans="1:45" s="7" customFormat="1" ht="14.4" x14ac:dyDescent="0.3">
      <c r="A7" s="41">
        <v>42739</v>
      </c>
      <c r="B7" s="42"/>
      <c r="C7" s="43">
        <v>22</v>
      </c>
      <c r="D7" s="43">
        <v>29.79</v>
      </c>
      <c r="E7" s="7" t="s">
        <v>89</v>
      </c>
      <c r="F7" s="7" t="s">
        <v>90</v>
      </c>
      <c r="G7" s="7">
        <v>1000</v>
      </c>
      <c r="H7" s="49">
        <v>5.87</v>
      </c>
      <c r="I7" s="15">
        <v>12237</v>
      </c>
      <c r="J7" s="15"/>
      <c r="K7" s="49">
        <v>4.28</v>
      </c>
      <c r="L7" s="49"/>
      <c r="M7" s="49"/>
      <c r="N7" s="43">
        <v>24.2</v>
      </c>
      <c r="O7" s="7">
        <v>0.94193357999999971</v>
      </c>
      <c r="P7" s="45">
        <f t="shared" si="8"/>
        <v>3.8607684147200322E-5</v>
      </c>
      <c r="Q7" s="45"/>
      <c r="X7" s="7">
        <f t="shared" si="0"/>
        <v>8.7400000000000021E-4</v>
      </c>
      <c r="Y7" s="46">
        <f t="shared" si="1"/>
        <v>0.15162</v>
      </c>
      <c r="Z7" s="47">
        <f t="shared" si="2"/>
        <v>0.87400000000000022</v>
      </c>
      <c r="AA7" s="47">
        <f t="shared" si="3"/>
        <v>151.62</v>
      </c>
      <c r="AB7" s="7">
        <f t="shared" si="4"/>
        <v>1.6811150000000004</v>
      </c>
      <c r="AC7" s="48">
        <f t="shared" si="5"/>
        <v>325.08884</v>
      </c>
      <c r="AD7" s="43">
        <f t="shared" si="6"/>
        <v>2.0434432930000002</v>
      </c>
      <c r="AE7" s="43">
        <f t="shared" si="7"/>
        <v>233.65765311999999</v>
      </c>
      <c r="AN7" s="7">
        <v>6</v>
      </c>
      <c r="AR7" s="49"/>
      <c r="AS7" s="15"/>
    </row>
    <row r="8" spans="1:45" s="7" customFormat="1" ht="14.4" x14ac:dyDescent="0.3">
      <c r="A8" s="41">
        <v>42739</v>
      </c>
      <c r="B8" s="42"/>
      <c r="C8" s="43">
        <v>22</v>
      </c>
      <c r="D8" s="43">
        <v>29.79</v>
      </c>
      <c r="E8" s="7" t="s">
        <v>110</v>
      </c>
      <c r="F8" s="7" t="s">
        <v>90</v>
      </c>
      <c r="G8" s="7">
        <v>1000</v>
      </c>
      <c r="H8" s="49">
        <v>4.83</v>
      </c>
      <c r="I8" s="15">
        <v>12157</v>
      </c>
      <c r="J8" s="15"/>
      <c r="K8" s="49">
        <v>3.9</v>
      </c>
      <c r="L8" s="49"/>
      <c r="M8" s="49"/>
      <c r="N8" s="7">
        <v>24.2</v>
      </c>
      <c r="O8" s="7">
        <v>0.93500000000000005</v>
      </c>
      <c r="P8" s="45">
        <f t="shared" si="8"/>
        <v>3.8323492700655515E-5</v>
      </c>
      <c r="Q8" s="45"/>
      <c r="X8" s="7">
        <f t="shared" si="0"/>
        <v>6.6600000000000014E-4</v>
      </c>
      <c r="Y8" s="46">
        <f t="shared" si="1"/>
        <v>0.13679999999999998</v>
      </c>
      <c r="Z8" s="47">
        <f t="shared" si="2"/>
        <v>0.66600000000000015</v>
      </c>
      <c r="AA8" s="47">
        <f t="shared" si="3"/>
        <v>136.79999999999998</v>
      </c>
      <c r="AB8" s="7">
        <f t="shared" si="4"/>
        <v>1.2604350000000002</v>
      </c>
      <c r="AC8" s="48">
        <f t="shared" si="5"/>
        <v>293.31970000000001</v>
      </c>
      <c r="AD8" s="43">
        <f t="shared" si="6"/>
        <v>1.7659931329999998</v>
      </c>
      <c r="AE8" s="43">
        <f t="shared" si="7"/>
        <v>223.154178</v>
      </c>
      <c r="AN8" s="7">
        <v>7</v>
      </c>
      <c r="AQ8" s="46"/>
      <c r="AR8" s="49"/>
      <c r="AS8" s="15"/>
    </row>
    <row r="9" spans="1:45" s="7" customFormat="1" ht="14.4" x14ac:dyDescent="0.3">
      <c r="A9" s="41">
        <v>42739</v>
      </c>
      <c r="B9" s="42"/>
      <c r="C9" s="43">
        <v>22</v>
      </c>
      <c r="D9" s="43">
        <v>29.79</v>
      </c>
      <c r="E9" s="7" t="s">
        <v>110</v>
      </c>
      <c r="F9" s="7" t="s">
        <v>90</v>
      </c>
      <c r="G9" s="7">
        <v>1000</v>
      </c>
      <c r="H9" s="49">
        <v>4.95</v>
      </c>
      <c r="I9" s="15">
        <v>12749.54</v>
      </c>
      <c r="J9" s="15"/>
      <c r="K9" s="49">
        <v>3.95</v>
      </c>
      <c r="L9" s="49"/>
      <c r="M9" s="49"/>
      <c r="N9" s="7">
        <v>24.2</v>
      </c>
      <c r="O9" s="7">
        <v>0.93500000000000005</v>
      </c>
      <c r="P9" s="45">
        <f t="shared" si="8"/>
        <v>3.8323492700655515E-5</v>
      </c>
      <c r="Q9" s="45"/>
      <c r="X9" s="7">
        <f t="shared" si="0"/>
        <v>6.9000000000000008E-4</v>
      </c>
      <c r="Y9" s="46">
        <f t="shared" si="1"/>
        <v>0.13875000000000001</v>
      </c>
      <c r="Z9" s="47">
        <f t="shared" si="2"/>
        <v>0.69000000000000017</v>
      </c>
      <c r="AA9" s="47">
        <f t="shared" si="3"/>
        <v>138.75</v>
      </c>
      <c r="AB9" s="7">
        <f t="shared" si="4"/>
        <v>1.308975</v>
      </c>
      <c r="AC9" s="48">
        <f t="shared" si="5"/>
        <v>297.49985000000004</v>
      </c>
      <c r="AD9" s="43">
        <f t="shared" si="6"/>
        <v>1.7980099250000001</v>
      </c>
      <c r="AE9" s="43">
        <f t="shared" si="7"/>
        <v>224.5353595</v>
      </c>
      <c r="AN9" s="7">
        <v>8</v>
      </c>
      <c r="AQ9" s="46"/>
      <c r="AR9" s="49"/>
      <c r="AS9" s="15"/>
    </row>
    <row r="10" spans="1:45" s="7" customFormat="1" ht="14.4" x14ac:dyDescent="0.3">
      <c r="A10" s="41">
        <v>42740</v>
      </c>
      <c r="B10" s="42"/>
      <c r="C10" s="43">
        <v>22.8</v>
      </c>
      <c r="D10" s="43">
        <v>29.9</v>
      </c>
      <c r="E10" s="7" t="s">
        <v>110</v>
      </c>
      <c r="F10" s="7" t="s">
        <v>90</v>
      </c>
      <c r="G10" s="7">
        <v>1000</v>
      </c>
      <c r="H10" s="49">
        <v>4.9000000000000004</v>
      </c>
      <c r="I10" s="15">
        <v>12286</v>
      </c>
      <c r="J10" s="15"/>
      <c r="K10" s="49">
        <v>5.74</v>
      </c>
      <c r="L10" s="49"/>
      <c r="M10" s="49"/>
      <c r="N10" s="7">
        <v>24.2</v>
      </c>
      <c r="O10" s="7">
        <v>0.93500000000000005</v>
      </c>
      <c r="P10" s="45">
        <f t="shared" si="8"/>
        <v>3.8323492700655515E-5</v>
      </c>
      <c r="Q10" s="45"/>
      <c r="X10" s="7">
        <f t="shared" si="0"/>
        <v>6.8000000000000027E-4</v>
      </c>
      <c r="Y10" s="46">
        <f t="shared" si="1"/>
        <v>0.20856</v>
      </c>
      <c r="Z10" s="47">
        <f t="shared" si="2"/>
        <v>0.68000000000000027</v>
      </c>
      <c r="AA10" s="47">
        <f t="shared" si="3"/>
        <v>208.56</v>
      </c>
      <c r="AB10" s="7">
        <f t="shared" si="4"/>
        <v>1.2887500000000003</v>
      </c>
      <c r="AC10" s="48">
        <f t="shared" si="5"/>
        <v>447.14922000000001</v>
      </c>
      <c r="AD10" s="43">
        <f t="shared" si="6"/>
        <v>1.7846697000000002</v>
      </c>
      <c r="AE10" s="43">
        <f t="shared" si="7"/>
        <v>274.15226568000003</v>
      </c>
      <c r="AN10" s="7">
        <v>9</v>
      </c>
      <c r="AQ10" s="46"/>
      <c r="AR10" s="49"/>
      <c r="AS10" s="15"/>
    </row>
    <row r="11" spans="1:45" s="7" customFormat="1" ht="14.4" x14ac:dyDescent="0.3">
      <c r="A11" s="41">
        <v>42740</v>
      </c>
      <c r="B11" s="42"/>
      <c r="C11" s="43">
        <v>22.8</v>
      </c>
      <c r="D11" s="43">
        <v>29.9</v>
      </c>
      <c r="E11" s="7" t="s">
        <v>110</v>
      </c>
      <c r="F11" s="7" t="s">
        <v>90</v>
      </c>
      <c r="G11" s="7">
        <v>1000</v>
      </c>
      <c r="H11" s="49">
        <v>4.09</v>
      </c>
      <c r="I11" s="15">
        <v>11993</v>
      </c>
      <c r="J11" s="15"/>
      <c r="K11" s="49">
        <v>2.67</v>
      </c>
      <c r="L11" s="49"/>
      <c r="M11" s="49"/>
      <c r="N11" s="7">
        <v>24.2</v>
      </c>
      <c r="O11" s="7">
        <v>0.93500000000000005</v>
      </c>
      <c r="P11" s="45">
        <f t="shared" si="8"/>
        <v>3.8323492700655515E-5</v>
      </c>
      <c r="Q11" s="45"/>
      <c r="X11" s="7">
        <f t="shared" si="0"/>
        <v>5.1800000000000001E-4</v>
      </c>
      <c r="Y11" s="46">
        <f t="shared" si="1"/>
        <v>8.8830000000000006E-2</v>
      </c>
      <c r="Z11" s="47">
        <f t="shared" si="2"/>
        <v>0.51800000000000002</v>
      </c>
      <c r="AA11" s="47">
        <f t="shared" si="3"/>
        <v>88.83</v>
      </c>
      <c r="AB11" s="7">
        <f t="shared" si="4"/>
        <v>0.9611050000000001</v>
      </c>
      <c r="AC11" s="48">
        <f t="shared" si="5"/>
        <v>190.48800999999997</v>
      </c>
      <c r="AD11" s="43">
        <f t="shared" si="6"/>
        <v>1.5685371570000002</v>
      </c>
      <c r="AE11" s="43">
        <f t="shared" si="7"/>
        <v>189.25866701999999</v>
      </c>
      <c r="AN11" s="7">
        <v>10</v>
      </c>
      <c r="AQ11" s="46"/>
      <c r="AR11" s="49"/>
      <c r="AS11" s="15"/>
    </row>
    <row r="12" spans="1:45" s="7" customFormat="1" ht="14.4" x14ac:dyDescent="0.3">
      <c r="A12" s="41">
        <v>42740</v>
      </c>
      <c r="B12" s="42"/>
      <c r="C12" s="43">
        <v>22.8</v>
      </c>
      <c r="D12" s="43">
        <v>29.9</v>
      </c>
      <c r="E12" s="7" t="s">
        <v>110</v>
      </c>
      <c r="F12" s="7" t="s">
        <v>90</v>
      </c>
      <c r="G12" s="7">
        <v>1000</v>
      </c>
      <c r="H12" s="49">
        <v>6.84</v>
      </c>
      <c r="I12" s="15">
        <v>12409</v>
      </c>
      <c r="J12" s="15"/>
      <c r="K12" s="49">
        <v>5.0599999999999996</v>
      </c>
      <c r="L12" s="49"/>
      <c r="M12" s="49"/>
      <c r="N12" s="7">
        <v>24.2</v>
      </c>
      <c r="O12" s="7">
        <v>0.93500000000000005</v>
      </c>
      <c r="P12" s="45">
        <f t="shared" si="8"/>
        <v>3.8323492700655515E-5</v>
      </c>
      <c r="Q12" s="45"/>
      <c r="X12" s="7">
        <f t="shared" si="0"/>
        <v>1.0680000000000002E-3</v>
      </c>
      <c r="Y12" s="46">
        <f t="shared" si="1"/>
        <v>0.18203999999999998</v>
      </c>
      <c r="Z12" s="47">
        <f t="shared" si="2"/>
        <v>1.0680000000000003</v>
      </c>
      <c r="AA12" s="47">
        <f t="shared" si="3"/>
        <v>182.03999999999996</v>
      </c>
      <c r="AB12" s="7">
        <f t="shared" si="4"/>
        <v>2.07348</v>
      </c>
      <c r="AC12" s="48">
        <f t="shared" si="5"/>
        <v>390.29917999999998</v>
      </c>
      <c r="AD12" s="43">
        <f t="shared" si="6"/>
        <v>2.302160432</v>
      </c>
      <c r="AE12" s="43">
        <f t="shared" si="7"/>
        <v>255.26428647999998</v>
      </c>
      <c r="AN12" s="7">
        <v>11</v>
      </c>
      <c r="AQ12" s="46"/>
      <c r="AR12" s="49"/>
      <c r="AS12" s="15"/>
    </row>
    <row r="13" spans="1:45" s="7" customFormat="1" ht="14.4" x14ac:dyDescent="0.3">
      <c r="A13" s="41">
        <v>42741</v>
      </c>
      <c r="B13" s="42"/>
      <c r="C13" s="43">
        <v>22</v>
      </c>
      <c r="D13" s="43">
        <v>30.06</v>
      </c>
      <c r="E13" s="7" t="s">
        <v>110</v>
      </c>
      <c r="F13" s="7" t="s">
        <v>90</v>
      </c>
      <c r="G13" s="7">
        <v>1000</v>
      </c>
      <c r="H13" s="49">
        <v>6.76</v>
      </c>
      <c r="I13" s="15">
        <v>12963</v>
      </c>
      <c r="J13" s="15"/>
      <c r="K13" s="49">
        <v>8.16</v>
      </c>
      <c r="L13" s="49"/>
      <c r="M13" s="49"/>
      <c r="N13" s="7">
        <v>24.2</v>
      </c>
      <c r="O13" s="7">
        <v>0.93500000000000005</v>
      </c>
      <c r="P13" s="45">
        <f t="shared" si="8"/>
        <v>3.8323492700655515E-5</v>
      </c>
      <c r="Q13" s="45"/>
      <c r="X13" s="7">
        <f t="shared" si="0"/>
        <v>1.0520000000000002E-3</v>
      </c>
      <c r="Y13" s="46">
        <f t="shared" si="1"/>
        <v>0.30294000000000004</v>
      </c>
      <c r="Z13" s="47">
        <f t="shared" si="2"/>
        <v>1.0520000000000003</v>
      </c>
      <c r="AA13" s="47">
        <f t="shared" si="3"/>
        <v>302.94000000000005</v>
      </c>
      <c r="AB13" s="7">
        <f t="shared" si="4"/>
        <v>2.0411200000000003</v>
      </c>
      <c r="AC13" s="48">
        <f t="shared" si="5"/>
        <v>649.46848</v>
      </c>
      <c r="AD13" s="43">
        <f t="shared" si="6"/>
        <v>2.2808250719999998</v>
      </c>
      <c r="AE13" s="43">
        <f t="shared" si="7"/>
        <v>341.75985407999997</v>
      </c>
      <c r="AN13" s="7">
        <v>12</v>
      </c>
      <c r="AQ13" s="46"/>
      <c r="AR13" s="49"/>
      <c r="AS13" s="15"/>
    </row>
    <row r="14" spans="1:45" s="7" customFormat="1" ht="14.4" x14ac:dyDescent="0.3">
      <c r="A14" s="41">
        <v>42745</v>
      </c>
      <c r="B14" s="42"/>
      <c r="C14" s="43">
        <v>22.9</v>
      </c>
      <c r="D14" s="43">
        <v>30.32</v>
      </c>
      <c r="E14" s="7" t="s">
        <v>110</v>
      </c>
      <c r="F14" s="7" t="s">
        <v>90</v>
      </c>
      <c r="G14" s="7">
        <v>1000</v>
      </c>
      <c r="H14" s="49">
        <v>4.55</v>
      </c>
      <c r="I14" s="15">
        <v>13040</v>
      </c>
      <c r="J14" s="15"/>
      <c r="K14" s="49">
        <v>10.14</v>
      </c>
      <c r="L14" s="49"/>
      <c r="M14" s="49"/>
      <c r="N14" s="7">
        <v>24.2</v>
      </c>
      <c r="O14" s="7">
        <v>0.93500000000000005</v>
      </c>
      <c r="P14" s="45">
        <f t="shared" si="8"/>
        <v>3.8323492700655515E-5</v>
      </c>
      <c r="Q14" s="45"/>
      <c r="X14" s="7">
        <f t="shared" si="0"/>
        <v>6.1000000000000008E-4</v>
      </c>
      <c r="Y14" s="46">
        <f t="shared" si="1"/>
        <v>0.38016000000000005</v>
      </c>
      <c r="Z14" s="47">
        <f t="shared" si="2"/>
        <v>0.6100000000000001</v>
      </c>
      <c r="AA14" s="47">
        <f t="shared" si="3"/>
        <v>380.16000000000008</v>
      </c>
      <c r="AB14" s="7">
        <f t="shared" si="4"/>
        <v>1.1471750000000001</v>
      </c>
      <c r="AC14" s="48">
        <f t="shared" si="5"/>
        <v>815.00242000000003</v>
      </c>
      <c r="AD14" s="43">
        <f t="shared" si="6"/>
        <v>1.691283925</v>
      </c>
      <c r="AE14" s="43">
        <f t="shared" si="7"/>
        <v>397.52643527999999</v>
      </c>
      <c r="AN14" s="7">
        <v>13</v>
      </c>
      <c r="AQ14" s="46"/>
      <c r="AR14" s="49"/>
      <c r="AS14" s="15"/>
    </row>
    <row r="15" spans="1:45" s="7" customFormat="1" ht="14.4" x14ac:dyDescent="0.3">
      <c r="A15" s="41">
        <v>42745</v>
      </c>
      <c r="B15" s="42"/>
      <c r="C15" s="43">
        <v>22.9</v>
      </c>
      <c r="D15" s="43">
        <v>30.32</v>
      </c>
      <c r="E15" s="7" t="s">
        <v>110</v>
      </c>
      <c r="F15" s="7" t="s">
        <v>90</v>
      </c>
      <c r="G15" s="7">
        <v>1000</v>
      </c>
      <c r="H15" s="49">
        <v>4.57</v>
      </c>
      <c r="I15" s="15">
        <v>13123</v>
      </c>
      <c r="J15" s="15"/>
      <c r="K15" s="49">
        <v>3.07</v>
      </c>
      <c r="L15" s="49"/>
      <c r="M15" s="49"/>
      <c r="N15" s="7">
        <v>24.2</v>
      </c>
      <c r="O15" s="7">
        <v>0.93500000000000005</v>
      </c>
      <c r="P15" s="45">
        <f t="shared" si="8"/>
        <v>3.8323492700655515E-5</v>
      </c>
      <c r="Q15" s="45"/>
      <c r="X15" s="7">
        <f t="shared" si="0"/>
        <v>6.1400000000000018E-4</v>
      </c>
      <c r="Y15" s="46">
        <f t="shared" si="1"/>
        <v>0.10443</v>
      </c>
      <c r="Z15" s="47">
        <f t="shared" si="2"/>
        <v>0.61400000000000021</v>
      </c>
      <c r="AA15" s="47">
        <f t="shared" si="3"/>
        <v>104.43</v>
      </c>
      <c r="AB15" s="7">
        <f t="shared" si="4"/>
        <v>1.1552650000000002</v>
      </c>
      <c r="AC15" s="48">
        <f t="shared" si="5"/>
        <v>223.92920999999998</v>
      </c>
      <c r="AD15" s="43">
        <f t="shared" si="6"/>
        <v>1.696620453</v>
      </c>
      <c r="AE15" s="43">
        <f t="shared" si="7"/>
        <v>200.26439981999999</v>
      </c>
      <c r="AN15" s="7">
        <v>14</v>
      </c>
      <c r="AQ15" s="46"/>
      <c r="AR15" s="49"/>
      <c r="AS15" s="15"/>
    </row>
    <row r="16" spans="1:45" s="7" customFormat="1" ht="14.4" x14ac:dyDescent="0.3">
      <c r="A16" s="41">
        <v>42745</v>
      </c>
      <c r="B16" s="42"/>
      <c r="C16" s="43">
        <v>22.9</v>
      </c>
      <c r="D16" s="43">
        <v>30.32</v>
      </c>
      <c r="E16" s="7" t="s">
        <v>89</v>
      </c>
      <c r="F16" s="7" t="s">
        <v>90</v>
      </c>
      <c r="G16" s="7">
        <v>1000</v>
      </c>
      <c r="H16" s="7">
        <v>5.47</v>
      </c>
      <c r="I16" s="7">
        <v>13015</v>
      </c>
      <c r="K16" s="7">
        <v>13.04</v>
      </c>
      <c r="N16" s="43">
        <v>24.2</v>
      </c>
      <c r="O16" s="44">
        <v>0.92956581199999977</v>
      </c>
      <c r="P16" s="45">
        <f t="shared" si="8"/>
        <v>3.8100757872685457E-5</v>
      </c>
      <c r="Q16" s="45"/>
      <c r="X16" s="7">
        <f t="shared" si="0"/>
        <v>7.94E-4</v>
      </c>
      <c r="Y16" s="46">
        <f t="shared" si="1"/>
        <v>0.49326000000000003</v>
      </c>
      <c r="Z16" s="47">
        <f t="shared" si="2"/>
        <v>0.79400000000000004</v>
      </c>
      <c r="AA16" s="47">
        <f t="shared" si="3"/>
        <v>493.26000000000005</v>
      </c>
      <c r="AB16" s="7">
        <f t="shared" si="4"/>
        <v>1.519315</v>
      </c>
      <c r="AC16" s="48">
        <f t="shared" si="5"/>
        <v>1057.4511199999999</v>
      </c>
      <c r="AD16" s="43">
        <f t="shared" si="6"/>
        <v>1.936739373</v>
      </c>
      <c r="AE16" s="43">
        <f t="shared" si="7"/>
        <v>479.93783487999997</v>
      </c>
      <c r="AN16" s="7">
        <v>15</v>
      </c>
      <c r="AQ16" s="46"/>
      <c r="AR16" s="49"/>
      <c r="AS16" s="15"/>
    </row>
    <row r="17" spans="1:117" s="7" customFormat="1" ht="14.4" x14ac:dyDescent="0.3">
      <c r="A17" s="41">
        <v>42773</v>
      </c>
      <c r="B17" s="42"/>
      <c r="C17" s="43">
        <v>22.6</v>
      </c>
      <c r="D17" s="43">
        <v>29.79</v>
      </c>
      <c r="E17" s="7" t="s">
        <v>89</v>
      </c>
      <c r="F17" s="7" t="s">
        <v>90</v>
      </c>
      <c r="G17" s="7">
        <v>1000</v>
      </c>
      <c r="H17" s="7">
        <v>4.3099999999999996</v>
      </c>
      <c r="I17" s="15">
        <v>14730</v>
      </c>
      <c r="J17" s="15"/>
      <c r="K17" s="7">
        <v>24.37</v>
      </c>
      <c r="L17" s="7">
        <v>2</v>
      </c>
      <c r="M17" s="7" t="s">
        <v>111</v>
      </c>
      <c r="N17" s="43">
        <v>24.6</v>
      </c>
      <c r="O17" s="44">
        <f t="shared" ref="O17:O80" si="9">0.001316*((D17*25.4)-(2.5*2053/100))</f>
        <v>0.92822875599999977</v>
      </c>
      <c r="P17" s="45">
        <f t="shared" si="8"/>
        <v>3.7994843757594916E-5</v>
      </c>
      <c r="Q17" s="45"/>
      <c r="X17" s="7">
        <f t="shared" si="0"/>
        <v>5.62E-4</v>
      </c>
      <c r="Y17" s="46">
        <f t="shared" si="1"/>
        <v>1.4672680000000002</v>
      </c>
      <c r="Z17" s="47">
        <f t="shared" si="2"/>
        <v>0.56200000000000006</v>
      </c>
      <c r="AA17" s="47">
        <f t="shared" si="3"/>
        <v>1467.2680000000003</v>
      </c>
      <c r="AB17" s="7">
        <f t="shared" si="4"/>
        <v>1.050095</v>
      </c>
      <c r="AC17" s="48">
        <f t="shared" si="5"/>
        <v>3147.8995199999999</v>
      </c>
      <c r="AD17" s="43">
        <f t="shared" si="6"/>
        <v>1.6272437169999998</v>
      </c>
      <c r="AE17" s="43">
        <f t="shared" si="7"/>
        <v>810.26214942000001</v>
      </c>
      <c r="AN17" s="7">
        <v>16</v>
      </c>
    </row>
    <row r="18" spans="1:117" s="7" customFormat="1" ht="14.4" x14ac:dyDescent="0.3">
      <c r="A18" s="41">
        <v>42773</v>
      </c>
      <c r="C18" s="7">
        <v>23.2</v>
      </c>
      <c r="D18" s="43">
        <v>29.79</v>
      </c>
      <c r="E18" s="7" t="s">
        <v>89</v>
      </c>
      <c r="F18" s="7" t="s">
        <v>90</v>
      </c>
      <c r="G18" s="7">
        <v>1000</v>
      </c>
      <c r="H18" s="7">
        <v>4.3</v>
      </c>
      <c r="I18" s="7">
        <v>14779</v>
      </c>
      <c r="K18" s="7">
        <v>7.15</v>
      </c>
      <c r="L18" s="7">
        <v>1</v>
      </c>
      <c r="N18" s="43">
        <v>24.6</v>
      </c>
      <c r="O18" s="44">
        <f t="shared" si="9"/>
        <v>0.92822875599999977</v>
      </c>
      <c r="P18" s="45">
        <f t="shared" si="8"/>
        <v>3.7994843757594916E-5</v>
      </c>
      <c r="Q18" s="45"/>
      <c r="X18" s="7">
        <f t="shared" si="0"/>
        <v>5.5999999999999995E-4</v>
      </c>
      <c r="Y18" s="46">
        <f t="shared" si="1"/>
        <v>0.26355000000000001</v>
      </c>
      <c r="Z18" s="47">
        <f t="shared" si="2"/>
        <v>0.56000000000000005</v>
      </c>
      <c r="AA18" s="47">
        <f t="shared" si="3"/>
        <v>263.55</v>
      </c>
      <c r="AB18" s="7">
        <f t="shared" si="4"/>
        <v>1.0460499999999999</v>
      </c>
      <c r="AC18" s="48">
        <f t="shared" si="5"/>
        <v>565.02945</v>
      </c>
      <c r="AD18" s="43">
        <f t="shared" si="6"/>
        <v>1.6245753000000001</v>
      </c>
      <c r="AE18" s="43">
        <f t="shared" si="7"/>
        <v>313.4696955</v>
      </c>
      <c r="AN18" s="7">
        <v>17</v>
      </c>
    </row>
    <row r="19" spans="1:117" s="7" customFormat="1" ht="14.4" x14ac:dyDescent="0.3">
      <c r="A19" s="41">
        <v>42773</v>
      </c>
      <c r="C19" s="7">
        <v>23.8</v>
      </c>
      <c r="D19" s="43">
        <v>29.79</v>
      </c>
      <c r="E19" s="7" t="s">
        <v>89</v>
      </c>
      <c r="F19" s="7" t="s">
        <v>90</v>
      </c>
      <c r="G19" s="7">
        <v>1000</v>
      </c>
      <c r="H19" s="7">
        <v>3.97</v>
      </c>
      <c r="I19" s="7">
        <v>14700</v>
      </c>
      <c r="K19" s="7">
        <v>6.8</v>
      </c>
      <c r="L19" s="7">
        <v>1</v>
      </c>
      <c r="N19" s="43">
        <v>24.6</v>
      </c>
      <c r="O19" s="44">
        <f t="shared" si="9"/>
        <v>0.92822875599999977</v>
      </c>
      <c r="P19" s="45">
        <f t="shared" si="8"/>
        <v>3.7994843757594916E-5</v>
      </c>
      <c r="Q19" s="45"/>
      <c r="X19" s="7">
        <f t="shared" si="0"/>
        <v>4.9400000000000008E-4</v>
      </c>
      <c r="Y19" s="46">
        <f t="shared" si="1"/>
        <v>0.24989999999999998</v>
      </c>
      <c r="Z19" s="47">
        <f t="shared" si="2"/>
        <v>0.49400000000000005</v>
      </c>
      <c r="AA19" s="47">
        <f t="shared" si="3"/>
        <v>249.89999999999998</v>
      </c>
      <c r="AB19" s="7">
        <f t="shared" si="4"/>
        <v>0.91256500000000007</v>
      </c>
      <c r="AC19" s="48">
        <f t="shared" si="5"/>
        <v>535.76839999999993</v>
      </c>
      <c r="AD19" s="43">
        <f t="shared" si="6"/>
        <v>1.536514173</v>
      </c>
      <c r="AE19" s="43">
        <f t="shared" si="7"/>
        <v>303.690832</v>
      </c>
      <c r="AN19" s="7">
        <v>18</v>
      </c>
    </row>
    <row r="20" spans="1:117" s="7" customFormat="1" ht="14.4" x14ac:dyDescent="0.3">
      <c r="A20" s="41">
        <v>42773</v>
      </c>
      <c r="C20" s="7">
        <v>23.8</v>
      </c>
      <c r="D20" s="43">
        <v>29.79</v>
      </c>
      <c r="E20" s="7" t="s">
        <v>89</v>
      </c>
      <c r="F20" s="7" t="s">
        <v>90</v>
      </c>
      <c r="G20" s="7">
        <v>1000</v>
      </c>
      <c r="H20" s="7">
        <v>3.61</v>
      </c>
      <c r="I20" s="7">
        <v>14628</v>
      </c>
      <c r="K20" s="7">
        <v>6.98</v>
      </c>
      <c r="L20" s="7">
        <v>1</v>
      </c>
      <c r="N20" s="43">
        <v>24.6</v>
      </c>
      <c r="O20" s="44">
        <f t="shared" si="9"/>
        <v>0.92822875599999977</v>
      </c>
      <c r="P20" s="45">
        <f t="shared" si="8"/>
        <v>3.7994843757594916E-5</v>
      </c>
      <c r="Q20" s="45"/>
      <c r="X20" s="7">
        <f t="shared" si="0"/>
        <v>4.2200000000000001E-4</v>
      </c>
      <c r="Y20" s="46">
        <f t="shared" si="1"/>
        <v>0.25692000000000004</v>
      </c>
      <c r="Z20" s="47">
        <f t="shared" si="2"/>
        <v>0.42199999999999999</v>
      </c>
      <c r="AA20" s="47">
        <f t="shared" si="3"/>
        <v>256.92</v>
      </c>
      <c r="AB20" s="7">
        <f t="shared" si="4"/>
        <v>0.76694499999999999</v>
      </c>
      <c r="AC20" s="48">
        <f t="shared" si="5"/>
        <v>550.81694000000005</v>
      </c>
      <c r="AD20" s="43">
        <f t="shared" si="6"/>
        <v>1.4404400370000001</v>
      </c>
      <c r="AE20" s="43">
        <f t="shared" si="7"/>
        <v>308.71837672000004</v>
      </c>
      <c r="AN20" s="7">
        <v>19</v>
      </c>
    </row>
    <row r="21" spans="1:117" s="7" customFormat="1" ht="14.4" x14ac:dyDescent="0.3">
      <c r="A21" s="41">
        <v>42773</v>
      </c>
      <c r="C21" s="7">
        <v>22.8</v>
      </c>
      <c r="D21" s="43">
        <v>29.79</v>
      </c>
      <c r="E21" s="7" t="s">
        <v>89</v>
      </c>
      <c r="F21" s="7" t="s">
        <v>90</v>
      </c>
      <c r="G21" s="7">
        <v>1000</v>
      </c>
      <c r="H21" s="7">
        <v>3.93</v>
      </c>
      <c r="I21" s="7">
        <v>14496</v>
      </c>
      <c r="K21" s="7">
        <v>6.23</v>
      </c>
      <c r="L21" s="7">
        <v>1</v>
      </c>
      <c r="N21" s="43">
        <v>24.6</v>
      </c>
      <c r="O21" s="44">
        <f t="shared" si="9"/>
        <v>0.92822875599999977</v>
      </c>
      <c r="P21" s="45">
        <f t="shared" si="8"/>
        <v>3.7994843757594916E-5</v>
      </c>
      <c r="Q21" s="45"/>
      <c r="X21" s="7">
        <f t="shared" si="0"/>
        <v>4.8600000000000005E-4</v>
      </c>
      <c r="Y21" s="46">
        <f t="shared" si="1"/>
        <v>0.22767000000000001</v>
      </c>
      <c r="Z21" s="47">
        <f t="shared" si="2"/>
        <v>0.48600000000000004</v>
      </c>
      <c r="AA21" s="47">
        <f t="shared" si="3"/>
        <v>227.67</v>
      </c>
      <c r="AB21" s="7">
        <f t="shared" si="4"/>
        <v>0.89638500000000021</v>
      </c>
      <c r="AC21" s="48">
        <f t="shared" si="5"/>
        <v>488.11469</v>
      </c>
      <c r="AD21" s="43">
        <f t="shared" si="6"/>
        <v>1.5258396530000002</v>
      </c>
      <c r="AE21" s="43">
        <f t="shared" si="7"/>
        <v>287.79241822</v>
      </c>
      <c r="AN21" s="7">
        <v>20</v>
      </c>
    </row>
    <row r="22" spans="1:117" s="50" customFormat="1" ht="15.6" x14ac:dyDescent="0.3">
      <c r="A22" s="41">
        <v>42793</v>
      </c>
      <c r="B22" s="42"/>
      <c r="C22" s="43">
        <v>22.7</v>
      </c>
      <c r="D22" s="43">
        <v>29.92</v>
      </c>
      <c r="E22" s="7" t="s">
        <v>89</v>
      </c>
      <c r="F22" s="7" t="s">
        <v>90</v>
      </c>
      <c r="G22" s="7">
        <v>1000</v>
      </c>
      <c r="H22" s="7">
        <v>3.68</v>
      </c>
      <c r="I22" s="15">
        <v>15119</v>
      </c>
      <c r="J22" s="15"/>
      <c r="K22" s="7">
        <v>5.34</v>
      </c>
      <c r="L22" s="7">
        <v>1</v>
      </c>
      <c r="M22" s="7"/>
      <c r="N22" s="43">
        <f>C22</f>
        <v>22.7</v>
      </c>
      <c r="O22" s="44">
        <f t="shared" si="9"/>
        <v>0.9325741879999998</v>
      </c>
      <c r="P22" s="45">
        <f t="shared" si="8"/>
        <v>3.8417865502234492E-5</v>
      </c>
      <c r="Q22" s="45"/>
      <c r="R22" s="7"/>
      <c r="S22" s="7"/>
      <c r="T22" s="7"/>
      <c r="U22" s="7"/>
      <c r="V22" s="7"/>
      <c r="W22" s="7"/>
      <c r="X22" s="7">
        <f t="shared" si="0"/>
        <v>4.3600000000000014E-4</v>
      </c>
      <c r="Y22" s="46">
        <f t="shared" si="1"/>
        <v>0.19295999999999999</v>
      </c>
      <c r="Z22" s="47">
        <f t="shared" si="2"/>
        <v>0.43600000000000011</v>
      </c>
      <c r="AA22" s="47">
        <f t="shared" si="3"/>
        <v>192.96</v>
      </c>
      <c r="AB22" s="7">
        <f t="shared" si="4"/>
        <v>0.79526000000000008</v>
      </c>
      <c r="AC22" s="48">
        <f t="shared" si="5"/>
        <v>413.70801999999992</v>
      </c>
      <c r="AD22" s="43">
        <f t="shared" si="6"/>
        <v>1.459121728</v>
      </c>
      <c r="AE22" s="43">
        <f t="shared" si="7"/>
        <v>263.03588807999995</v>
      </c>
      <c r="AN22" s="7">
        <v>21</v>
      </c>
      <c r="AO22" s="51"/>
      <c r="AP22" s="51"/>
      <c r="AQ22" s="51"/>
      <c r="AR22" s="51"/>
      <c r="AS22" s="51"/>
      <c r="AT22" s="51"/>
      <c r="AU22" s="51"/>
      <c r="AV22" s="51"/>
      <c r="AW22" s="51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</row>
    <row r="23" spans="1:117" s="50" customFormat="1" ht="15.6" x14ac:dyDescent="0.3">
      <c r="A23" s="41">
        <v>42793</v>
      </c>
      <c r="B23" s="42"/>
      <c r="C23" s="43">
        <v>22.7</v>
      </c>
      <c r="D23" s="43">
        <v>29.92</v>
      </c>
      <c r="E23" s="7" t="s">
        <v>89</v>
      </c>
      <c r="F23" s="7" t="s">
        <v>90</v>
      </c>
      <c r="G23" s="7">
        <v>1000</v>
      </c>
      <c r="H23" s="7">
        <v>3.32</v>
      </c>
      <c r="I23" s="15">
        <v>15094</v>
      </c>
      <c r="J23" s="15"/>
      <c r="K23" s="7">
        <v>6.33</v>
      </c>
      <c r="L23" s="7">
        <v>1</v>
      </c>
      <c r="M23" s="7"/>
      <c r="N23" s="43">
        <f t="shared" ref="N23:N25" si="10">C23</f>
        <v>22.7</v>
      </c>
      <c r="O23" s="44">
        <f t="shared" si="9"/>
        <v>0.9325741879999998</v>
      </c>
      <c r="P23" s="45">
        <f t="shared" si="8"/>
        <v>3.8417865502234492E-5</v>
      </c>
      <c r="Q23" s="45"/>
      <c r="R23" s="7"/>
      <c r="S23" s="7"/>
      <c r="T23" s="7"/>
      <c r="U23" s="7"/>
      <c r="V23" s="7"/>
      <c r="W23" s="7"/>
      <c r="X23" s="7">
        <f t="shared" si="0"/>
        <v>3.6400000000000001E-4</v>
      </c>
      <c r="Y23" s="46">
        <f t="shared" si="1"/>
        <v>0.23157</v>
      </c>
      <c r="Z23" s="47">
        <f t="shared" si="2"/>
        <v>0.36399999999999999</v>
      </c>
      <c r="AA23" s="47">
        <f t="shared" si="3"/>
        <v>231.57</v>
      </c>
      <c r="AB23" s="7">
        <f t="shared" si="4"/>
        <v>0.64964</v>
      </c>
      <c r="AC23" s="48">
        <f t="shared" si="5"/>
        <v>496.47499000000005</v>
      </c>
      <c r="AD23" s="43">
        <f t="shared" si="6"/>
        <v>1.363041328</v>
      </c>
      <c r="AE23" s="43">
        <f t="shared" si="7"/>
        <v>290.57917901999997</v>
      </c>
      <c r="AN23" s="7">
        <v>22</v>
      </c>
      <c r="AO23" s="51"/>
      <c r="AP23" s="51"/>
      <c r="AQ23" s="51"/>
      <c r="AR23" s="51"/>
      <c r="AS23" s="51"/>
      <c r="AT23" s="51"/>
      <c r="AU23" s="51"/>
      <c r="AV23" s="51"/>
      <c r="AW23" s="51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</row>
    <row r="24" spans="1:117" s="50" customFormat="1" ht="15.6" x14ac:dyDescent="0.3">
      <c r="A24" s="41">
        <v>42793</v>
      </c>
      <c r="B24" s="42"/>
      <c r="C24" s="43">
        <v>22.7</v>
      </c>
      <c r="D24" s="43">
        <v>29.92</v>
      </c>
      <c r="E24" s="7" t="s">
        <v>89</v>
      </c>
      <c r="F24" s="7" t="s">
        <v>90</v>
      </c>
      <c r="G24" s="7">
        <v>1000</v>
      </c>
      <c r="H24" s="7">
        <v>3.72</v>
      </c>
      <c r="I24" s="15">
        <v>14926</v>
      </c>
      <c r="J24" s="15"/>
      <c r="K24" s="7">
        <v>8.3000000000000007</v>
      </c>
      <c r="L24" s="7">
        <v>2</v>
      </c>
      <c r="M24" s="7" t="s">
        <v>112</v>
      </c>
      <c r="N24" s="43">
        <f t="shared" si="10"/>
        <v>22.7</v>
      </c>
      <c r="O24" s="44">
        <f t="shared" si="9"/>
        <v>0.9325741879999998</v>
      </c>
      <c r="P24" s="45">
        <f t="shared" si="8"/>
        <v>3.8417865502234492E-5</v>
      </c>
      <c r="Q24" s="45"/>
      <c r="R24" s="7"/>
      <c r="S24" s="7"/>
      <c r="T24" s="7"/>
      <c r="U24" s="7"/>
      <c r="V24" s="7"/>
      <c r="W24" s="7"/>
      <c r="X24" s="7">
        <f t="shared" si="0"/>
        <v>4.4400000000000011E-4</v>
      </c>
      <c r="Y24" s="46">
        <f t="shared" si="1"/>
        <v>0.30840000000000006</v>
      </c>
      <c r="Z24" s="47">
        <f t="shared" si="2"/>
        <v>0.44400000000000012</v>
      </c>
      <c r="AA24" s="47">
        <f t="shared" si="3"/>
        <v>308.40000000000003</v>
      </c>
      <c r="AB24" s="7">
        <f t="shared" si="4"/>
        <v>0.81144000000000016</v>
      </c>
      <c r="AC24" s="48">
        <f t="shared" si="5"/>
        <v>661.17290000000003</v>
      </c>
      <c r="AD24" s="43">
        <f t="shared" si="6"/>
        <v>1.4697968480000001</v>
      </c>
      <c r="AE24" s="43">
        <f t="shared" si="7"/>
        <v>345.68960200000004</v>
      </c>
      <c r="AN24" s="7">
        <v>23</v>
      </c>
      <c r="AO24" s="51"/>
      <c r="AP24" s="51"/>
      <c r="AQ24" s="51"/>
      <c r="AR24" s="51"/>
      <c r="AS24" s="51"/>
      <c r="AT24" s="51"/>
      <c r="AU24" s="51"/>
      <c r="AV24" s="51"/>
      <c r="AW24" s="51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</row>
    <row r="25" spans="1:117" customFormat="1" ht="14.4" x14ac:dyDescent="0.3">
      <c r="A25" s="6">
        <v>42793</v>
      </c>
      <c r="B25" s="32"/>
      <c r="C25" s="2">
        <v>22.7</v>
      </c>
      <c r="D25" s="2">
        <v>29.92</v>
      </c>
      <c r="E25" s="7" t="s">
        <v>89</v>
      </c>
      <c r="F25" t="s">
        <v>90</v>
      </c>
      <c r="G25" s="1">
        <v>1000</v>
      </c>
      <c r="H25" s="1">
        <v>3.62</v>
      </c>
      <c r="I25" s="14">
        <v>15248</v>
      </c>
      <c r="J25" s="14"/>
      <c r="K25" s="1">
        <v>4.76</v>
      </c>
      <c r="L25" s="1">
        <v>1</v>
      </c>
      <c r="M25" s="7"/>
      <c r="N25" s="2">
        <f t="shared" si="10"/>
        <v>22.7</v>
      </c>
      <c r="O25" s="8">
        <f t="shared" si="9"/>
        <v>0.9325741879999998</v>
      </c>
      <c r="P25" s="9">
        <f t="shared" si="8"/>
        <v>3.8417865502234492E-5</v>
      </c>
      <c r="Q25" s="3"/>
      <c r="R25" s="1"/>
      <c r="S25" s="1"/>
      <c r="V25" s="1"/>
      <c r="W25" s="1"/>
      <c r="X25">
        <f t="shared" si="0"/>
        <v>4.2400000000000006E-4</v>
      </c>
      <c r="Y25" s="16">
        <f t="shared" si="1"/>
        <v>0.17033999999999999</v>
      </c>
      <c r="Z25" s="10">
        <f t="shared" si="2"/>
        <v>0.42400000000000004</v>
      </c>
      <c r="AA25" s="10">
        <f t="shared" si="3"/>
        <v>170.34</v>
      </c>
      <c r="AB25">
        <f t="shared" si="4"/>
        <v>0.77099000000000006</v>
      </c>
      <c r="AC25" s="33">
        <f t="shared" si="5"/>
        <v>365.21827999999994</v>
      </c>
      <c r="AD25" s="13">
        <f t="shared" si="6"/>
        <v>1.4431088679999999</v>
      </c>
      <c r="AE25" s="13">
        <f t="shared" si="7"/>
        <v>246.94658368</v>
      </c>
      <c r="AN25" s="7">
        <v>24</v>
      </c>
    </row>
    <row r="26" spans="1:117" s="7" customFormat="1" ht="14.4" x14ac:dyDescent="0.3">
      <c r="A26" s="41">
        <v>42807</v>
      </c>
      <c r="B26" s="42"/>
      <c r="C26" s="43">
        <v>22.8</v>
      </c>
      <c r="D26" s="43">
        <v>30.22</v>
      </c>
      <c r="E26" s="7" t="s">
        <v>89</v>
      </c>
      <c r="F26" s="7" t="s">
        <v>90</v>
      </c>
      <c r="G26" s="7">
        <v>1000</v>
      </c>
      <c r="H26" s="7">
        <v>3.99</v>
      </c>
      <c r="I26" s="15">
        <v>15143</v>
      </c>
      <c r="J26" s="15"/>
      <c r="K26" s="7">
        <v>5.48</v>
      </c>
      <c r="L26" s="7">
        <v>1</v>
      </c>
      <c r="N26" s="43">
        <f>C26</f>
        <v>22.8</v>
      </c>
      <c r="O26" s="44">
        <f t="shared" si="9"/>
        <v>0.94260210799999977</v>
      </c>
      <c r="P26" s="45">
        <f t="shared" si="8"/>
        <v>3.8817849952625728E-5</v>
      </c>
      <c r="Q26" s="45"/>
      <c r="X26" s="7">
        <f t="shared" si="0"/>
        <v>4.9800000000000018E-4</v>
      </c>
      <c r="Y26" s="46">
        <f t="shared" si="1"/>
        <v>0.19842000000000001</v>
      </c>
      <c r="Z26" s="47">
        <f t="shared" si="2"/>
        <v>0.49800000000000016</v>
      </c>
      <c r="AA26" s="47">
        <f t="shared" si="3"/>
        <v>198.42</v>
      </c>
      <c r="AB26" s="7">
        <f t="shared" si="4"/>
        <v>0.92065500000000022</v>
      </c>
      <c r="AC26" s="48">
        <f t="shared" si="5"/>
        <v>425.41244000000006</v>
      </c>
      <c r="AD26" s="43">
        <f t="shared" si="6"/>
        <v>1.5418513970000003</v>
      </c>
      <c r="AE26" s="43">
        <f t="shared" si="7"/>
        <v>266.92473472</v>
      </c>
      <c r="AN26" s="7">
        <v>25</v>
      </c>
    </row>
    <row r="27" spans="1:117" s="7" customFormat="1" ht="14.4" x14ac:dyDescent="0.3">
      <c r="A27" s="41">
        <v>42807</v>
      </c>
      <c r="B27" s="42"/>
      <c r="C27" s="43">
        <v>22.8</v>
      </c>
      <c r="D27" s="43">
        <v>30.22</v>
      </c>
      <c r="E27" s="7" t="s">
        <v>89</v>
      </c>
      <c r="F27" s="7" t="s">
        <v>90</v>
      </c>
      <c r="G27" s="7">
        <v>1000</v>
      </c>
      <c r="H27" s="7">
        <v>3.75</v>
      </c>
      <c r="I27" s="15">
        <v>14816</v>
      </c>
      <c r="J27" s="15"/>
      <c r="K27" s="7">
        <v>2.4900000000000002</v>
      </c>
      <c r="L27" s="7">
        <v>1</v>
      </c>
      <c r="N27" s="43">
        <f t="shared" ref="N27:N29" si="11">C27</f>
        <v>22.8</v>
      </c>
      <c r="O27" s="44">
        <f t="shared" si="9"/>
        <v>0.94260210799999977</v>
      </c>
      <c r="P27" s="45">
        <f t="shared" si="8"/>
        <v>3.8817849952625728E-5</v>
      </c>
      <c r="Q27" s="45"/>
      <c r="X27" s="7">
        <f t="shared" si="0"/>
        <v>4.5000000000000004E-4</v>
      </c>
      <c r="Y27" s="46">
        <f t="shared" si="1"/>
        <v>8.1810000000000008E-2</v>
      </c>
      <c r="Z27" s="47">
        <f t="shared" si="2"/>
        <v>0.45000000000000007</v>
      </c>
      <c r="AA27" s="47">
        <f t="shared" si="3"/>
        <v>81.810000000000016</v>
      </c>
      <c r="AB27" s="7">
        <f t="shared" si="4"/>
        <v>0.82357500000000017</v>
      </c>
      <c r="AC27" s="48">
        <f t="shared" si="5"/>
        <v>175.43947</v>
      </c>
      <c r="AD27" s="43">
        <f t="shared" si="6"/>
        <v>1.4778031249999999</v>
      </c>
      <c r="AE27" s="43">
        <f t="shared" si="7"/>
        <v>184.31149518000001</v>
      </c>
      <c r="AN27" s="7">
        <v>26</v>
      </c>
    </row>
    <row r="28" spans="1:117" s="7" customFormat="1" ht="14.4" x14ac:dyDescent="0.3">
      <c r="A28" s="41">
        <v>42807</v>
      </c>
      <c r="B28" s="42"/>
      <c r="C28" s="43">
        <v>22.8</v>
      </c>
      <c r="D28" s="43">
        <v>30.22</v>
      </c>
      <c r="E28" s="7" t="s">
        <v>89</v>
      </c>
      <c r="F28" s="7" t="s">
        <v>90</v>
      </c>
      <c r="G28" s="7">
        <v>1000</v>
      </c>
      <c r="H28" s="7">
        <v>4.29</v>
      </c>
      <c r="I28" s="15">
        <v>14840</v>
      </c>
      <c r="J28" s="15"/>
      <c r="K28" s="7">
        <v>3.67</v>
      </c>
      <c r="L28" s="7">
        <v>2</v>
      </c>
      <c r="M28" s="7" t="s">
        <v>113</v>
      </c>
      <c r="N28" s="43">
        <f t="shared" si="11"/>
        <v>22.8</v>
      </c>
      <c r="O28" s="44">
        <f t="shared" si="9"/>
        <v>0.94260210799999977</v>
      </c>
      <c r="P28" s="45">
        <f t="shared" si="8"/>
        <v>3.8817849952625728E-5</v>
      </c>
      <c r="Q28" s="45"/>
      <c r="X28" s="7">
        <f t="shared" si="0"/>
        <v>5.5800000000000012E-4</v>
      </c>
      <c r="Y28" s="46">
        <f t="shared" si="1"/>
        <v>0.12783</v>
      </c>
      <c r="Z28" s="47">
        <f t="shared" si="2"/>
        <v>0.55800000000000016</v>
      </c>
      <c r="AA28" s="47">
        <f t="shared" si="3"/>
        <v>127.83</v>
      </c>
      <c r="AB28" s="7">
        <f t="shared" si="4"/>
        <v>1.0420050000000001</v>
      </c>
      <c r="AC28" s="48">
        <f t="shared" si="5"/>
        <v>274.09100999999998</v>
      </c>
      <c r="AD28" s="43">
        <f t="shared" si="6"/>
        <v>1.6219068769999998</v>
      </c>
      <c r="AE28" s="43">
        <f t="shared" si="7"/>
        <v>216.80407901999999</v>
      </c>
      <c r="AN28" s="7">
        <v>27</v>
      </c>
    </row>
    <row r="29" spans="1:117" s="7" customFormat="1" ht="14.4" x14ac:dyDescent="0.3">
      <c r="A29" s="41">
        <v>42807</v>
      </c>
      <c r="B29" s="42"/>
      <c r="C29" s="43">
        <v>22.8</v>
      </c>
      <c r="D29" s="43">
        <v>30.22</v>
      </c>
      <c r="E29" s="7" t="s">
        <v>89</v>
      </c>
      <c r="F29" s="7" t="s">
        <v>90</v>
      </c>
      <c r="G29" s="7">
        <v>1000</v>
      </c>
      <c r="H29" s="7">
        <v>4.5599999999999996</v>
      </c>
      <c r="I29" s="15">
        <v>14659</v>
      </c>
      <c r="J29" s="15"/>
      <c r="K29" s="7">
        <v>4.16</v>
      </c>
      <c r="L29" s="7">
        <v>1</v>
      </c>
      <c r="N29" s="43">
        <f t="shared" si="11"/>
        <v>22.8</v>
      </c>
      <c r="O29" s="44">
        <f t="shared" si="9"/>
        <v>0.94260210799999977</v>
      </c>
      <c r="P29" s="45">
        <f t="shared" si="8"/>
        <v>3.8817849952625728E-5</v>
      </c>
      <c r="Q29" s="45"/>
      <c r="X29" s="7">
        <f t="shared" si="0"/>
        <v>6.1199999999999991E-4</v>
      </c>
      <c r="Y29" s="46">
        <f t="shared" si="1"/>
        <v>0.14693999999999999</v>
      </c>
      <c r="Z29" s="47">
        <f t="shared" si="2"/>
        <v>0.61199999999999988</v>
      </c>
      <c r="AA29" s="47">
        <f t="shared" si="3"/>
        <v>146.94</v>
      </c>
      <c r="AB29" s="7">
        <f t="shared" si="4"/>
        <v>1.1512199999999999</v>
      </c>
      <c r="AC29" s="48">
        <f t="shared" si="5"/>
        <v>315.05647999999997</v>
      </c>
      <c r="AD29" s="43">
        <f t="shared" si="6"/>
        <v>1.6939521919999998</v>
      </c>
      <c r="AE29" s="43">
        <f t="shared" si="7"/>
        <v>230.33915008</v>
      </c>
      <c r="AN29" s="7">
        <v>28</v>
      </c>
    </row>
    <row r="30" spans="1:117" customFormat="1" ht="14.4" x14ac:dyDescent="0.3">
      <c r="A30" s="6">
        <v>42811</v>
      </c>
      <c r="B30" s="32"/>
      <c r="C30" s="2">
        <v>22.7</v>
      </c>
      <c r="D30" s="2">
        <v>30.27</v>
      </c>
      <c r="E30" s="1" t="s">
        <v>89</v>
      </c>
      <c r="F30" t="s">
        <v>90</v>
      </c>
      <c r="G30" s="1">
        <v>1000</v>
      </c>
      <c r="H30" s="1">
        <v>4.16</v>
      </c>
      <c r="I30" s="14"/>
      <c r="J30" s="14">
        <v>14381</v>
      </c>
      <c r="K30" s="1">
        <v>14.24</v>
      </c>
      <c r="L30" s="1">
        <v>2</v>
      </c>
      <c r="M30" s="1" t="s">
        <v>114</v>
      </c>
      <c r="N30" s="2">
        <f>C30</f>
        <v>22.7</v>
      </c>
      <c r="O30" s="8">
        <f t="shared" si="9"/>
        <v>0.9442734279999998</v>
      </c>
      <c r="P30" s="9">
        <f t="shared" si="8"/>
        <v>3.8899821613160395E-5</v>
      </c>
      <c r="Q30" s="3"/>
      <c r="R30" s="1"/>
      <c r="S30" s="1"/>
      <c r="V30" s="1"/>
      <c r="W30" s="1"/>
      <c r="X30">
        <f t="shared" si="0"/>
        <v>5.3200000000000014E-4</v>
      </c>
      <c r="Y30" s="16">
        <f t="shared" si="1"/>
        <v>0.54005999999999998</v>
      </c>
      <c r="Z30" s="10">
        <f t="shared" si="2"/>
        <v>0.53200000000000014</v>
      </c>
      <c r="AA30" s="10">
        <f t="shared" si="3"/>
        <v>540.05999999999995</v>
      </c>
      <c r="AB30">
        <f t="shared" si="4"/>
        <v>0.98942000000000019</v>
      </c>
      <c r="AC30" s="33">
        <f t="shared" si="5"/>
        <v>1157.7747199999999</v>
      </c>
      <c r="AD30" s="13">
        <f t="shared" si="6"/>
        <v>1.5872168320000002</v>
      </c>
      <c r="AE30" s="13">
        <f t="shared" si="7"/>
        <v>514.29395967999994</v>
      </c>
      <c r="AF30" s="1"/>
      <c r="AN30" s="7">
        <v>29</v>
      </c>
    </row>
    <row r="31" spans="1:117" customFormat="1" ht="14.4" x14ac:dyDescent="0.3">
      <c r="A31" s="6">
        <v>42811</v>
      </c>
      <c r="B31" s="32"/>
      <c r="C31" s="2">
        <v>22.7</v>
      </c>
      <c r="D31" s="2">
        <v>30.27</v>
      </c>
      <c r="E31" s="1" t="s">
        <v>89</v>
      </c>
      <c r="F31" t="s">
        <v>90</v>
      </c>
      <c r="G31" s="1">
        <v>1000</v>
      </c>
      <c r="H31" s="1">
        <v>5.17</v>
      </c>
      <c r="I31" s="14"/>
      <c r="J31" s="14">
        <v>14528</v>
      </c>
      <c r="K31" s="1">
        <v>9.1999999999999993</v>
      </c>
      <c r="L31" s="1">
        <v>1</v>
      </c>
      <c r="M31" s="1"/>
      <c r="N31" s="2">
        <f t="shared" ref="N31:N33" si="12">C31</f>
        <v>22.7</v>
      </c>
      <c r="O31" s="8">
        <f t="shared" si="9"/>
        <v>0.9442734279999998</v>
      </c>
      <c r="P31" s="9">
        <f t="shared" si="8"/>
        <v>3.8899821613160395E-5</v>
      </c>
      <c r="Q31" s="3"/>
      <c r="R31" s="1"/>
      <c r="S31" s="1"/>
      <c r="V31" s="1"/>
      <c r="W31" s="1"/>
      <c r="X31">
        <f t="shared" si="0"/>
        <v>7.3400000000000006E-4</v>
      </c>
      <c r="Y31" s="16">
        <f t="shared" si="1"/>
        <v>0.34349999999999997</v>
      </c>
      <c r="Z31" s="10">
        <f t="shared" si="2"/>
        <v>0.7340000000000001</v>
      </c>
      <c r="AA31" s="10">
        <f t="shared" si="3"/>
        <v>343.5</v>
      </c>
      <c r="AB31">
        <f t="shared" si="4"/>
        <v>1.3979649999999999</v>
      </c>
      <c r="AC31" s="33">
        <f t="shared" si="5"/>
        <v>736.41559999999993</v>
      </c>
      <c r="AD31" s="13">
        <f t="shared" si="6"/>
        <v>1.8567051330000002</v>
      </c>
      <c r="AE31" s="13">
        <f t="shared" si="7"/>
        <v>371.00075199999998</v>
      </c>
      <c r="AN31" s="7">
        <v>30</v>
      </c>
    </row>
    <row r="32" spans="1:117" customFormat="1" ht="14.4" x14ac:dyDescent="0.3">
      <c r="A32" s="6">
        <v>42811</v>
      </c>
      <c r="B32" s="32"/>
      <c r="C32" s="2">
        <v>22.7</v>
      </c>
      <c r="D32" s="2">
        <v>30.27</v>
      </c>
      <c r="E32" s="1" t="s">
        <v>89</v>
      </c>
      <c r="F32" t="s">
        <v>90</v>
      </c>
      <c r="G32" s="1">
        <v>1000</v>
      </c>
      <c r="H32" s="1">
        <v>4.03</v>
      </c>
      <c r="I32" s="14"/>
      <c r="J32" s="14">
        <v>14434</v>
      </c>
      <c r="K32" s="1">
        <v>6.87</v>
      </c>
      <c r="L32" s="1">
        <v>1</v>
      </c>
      <c r="M32" s="1"/>
      <c r="N32" s="2">
        <f t="shared" si="12"/>
        <v>22.7</v>
      </c>
      <c r="O32" s="8">
        <f t="shared" si="9"/>
        <v>0.9442734279999998</v>
      </c>
      <c r="P32" s="9">
        <f t="shared" si="8"/>
        <v>3.8899821613160395E-5</v>
      </c>
      <c r="Q32" s="3"/>
      <c r="R32" s="1"/>
      <c r="S32" s="1"/>
      <c r="V32" s="1"/>
      <c r="W32" s="1"/>
      <c r="X32">
        <f t="shared" si="0"/>
        <v>5.0600000000000016E-4</v>
      </c>
      <c r="Y32" s="16">
        <f t="shared" si="1"/>
        <v>0.25263000000000002</v>
      </c>
      <c r="Z32" s="10">
        <f t="shared" si="2"/>
        <v>0.50600000000000012</v>
      </c>
      <c r="AA32" s="10">
        <f t="shared" si="3"/>
        <v>252.63000000000002</v>
      </c>
      <c r="AB32">
        <f t="shared" si="4"/>
        <v>0.93683500000000008</v>
      </c>
      <c r="AC32" s="33">
        <f t="shared" si="5"/>
        <v>541.62061000000006</v>
      </c>
      <c r="AD32" s="13">
        <f t="shared" si="6"/>
        <v>1.5525257730000002</v>
      </c>
      <c r="AE32" s="13">
        <f t="shared" si="7"/>
        <v>305.64558941999996</v>
      </c>
      <c r="AN32" s="7">
        <v>31</v>
      </c>
    </row>
    <row r="33" spans="1:40" s="7" customFormat="1" ht="14.4" x14ac:dyDescent="0.3">
      <c r="A33" s="41">
        <v>42811</v>
      </c>
      <c r="B33" s="42"/>
      <c r="C33" s="43">
        <v>22.7</v>
      </c>
      <c r="D33" s="43">
        <v>30.27</v>
      </c>
      <c r="E33" s="7" t="s">
        <v>89</v>
      </c>
      <c r="F33" s="7" t="s">
        <v>90</v>
      </c>
      <c r="G33" s="7">
        <v>1000</v>
      </c>
      <c r="H33" s="7">
        <v>3.95</v>
      </c>
      <c r="I33" s="15"/>
      <c r="J33" s="15">
        <v>14211</v>
      </c>
      <c r="K33" s="7">
        <v>28.08</v>
      </c>
      <c r="L33" s="7">
        <v>2</v>
      </c>
      <c r="M33" s="7" t="s">
        <v>115</v>
      </c>
      <c r="N33" s="43">
        <f t="shared" si="12"/>
        <v>22.7</v>
      </c>
      <c r="O33" s="44">
        <f t="shared" si="9"/>
        <v>0.9442734279999998</v>
      </c>
      <c r="P33" s="45">
        <f t="shared" si="8"/>
        <v>3.8899821613160395E-5</v>
      </c>
      <c r="Q33" s="45"/>
      <c r="X33" s="7">
        <f t="shared" si="0"/>
        <v>4.900000000000002E-4</v>
      </c>
      <c r="Y33" s="46">
        <f t="shared" si="1"/>
        <v>1.602312</v>
      </c>
      <c r="Z33" s="47">
        <f t="shared" si="2"/>
        <v>0.49000000000000021</v>
      </c>
      <c r="AA33" s="47">
        <f t="shared" si="3"/>
        <v>1602.3119999999999</v>
      </c>
      <c r="AB33" s="7">
        <f t="shared" si="4"/>
        <v>0.90447500000000014</v>
      </c>
      <c r="AC33" s="48">
        <f t="shared" si="5"/>
        <v>3437.6356800000003</v>
      </c>
      <c r="AD33" s="43">
        <f t="shared" si="6"/>
        <v>1.531176925</v>
      </c>
      <c r="AE33" s="43">
        <f t="shared" si="7"/>
        <v>921.31695551999996</v>
      </c>
      <c r="AN33" s="7">
        <v>32</v>
      </c>
    </row>
    <row r="34" spans="1:40" customFormat="1" ht="14.4" x14ac:dyDescent="0.3">
      <c r="A34" s="6">
        <v>42874</v>
      </c>
      <c r="B34" s="32"/>
      <c r="C34" s="2">
        <v>23.8</v>
      </c>
      <c r="D34" s="2">
        <v>30.16</v>
      </c>
      <c r="E34" s="7" t="s">
        <v>89</v>
      </c>
      <c r="F34" t="s">
        <v>90</v>
      </c>
      <c r="G34" s="1">
        <v>1000</v>
      </c>
      <c r="H34" s="1">
        <v>6.43</v>
      </c>
      <c r="I34" s="14">
        <v>14332</v>
      </c>
      <c r="J34" s="14"/>
      <c r="K34" s="1">
        <v>30.06</v>
      </c>
      <c r="L34" s="1">
        <v>1</v>
      </c>
      <c r="M34" s="7"/>
      <c r="N34" s="2">
        <f>C34</f>
        <v>23.8</v>
      </c>
      <c r="O34" s="8">
        <f t="shared" si="9"/>
        <v>0.94059652399999982</v>
      </c>
      <c r="P34" s="9">
        <f t="shared" si="8"/>
        <v>3.8604813121909016E-5</v>
      </c>
      <c r="Q34" s="3"/>
      <c r="R34" s="1"/>
      <c r="S34" s="1"/>
      <c r="V34" s="1"/>
      <c r="W34" s="1"/>
      <c r="X34">
        <f t="shared" si="0"/>
        <v>9.8600000000000011E-4</v>
      </c>
      <c r="Y34" s="16">
        <f t="shared" si="1"/>
        <v>1.6743840000000001</v>
      </c>
      <c r="Z34" s="10">
        <f t="shared" si="2"/>
        <v>0.9860000000000001</v>
      </c>
      <c r="AA34" s="10">
        <f t="shared" si="3"/>
        <v>1674.384</v>
      </c>
      <c r="AB34">
        <f t="shared" si="4"/>
        <v>1.9076350000000002</v>
      </c>
      <c r="AC34" s="33">
        <f t="shared" si="5"/>
        <v>3592.2657600000002</v>
      </c>
      <c r="AD34" s="13">
        <f t="shared" si="6"/>
        <v>2.1928126529999998</v>
      </c>
      <c r="AE34" s="13">
        <f t="shared" si="7"/>
        <v>981.16968648</v>
      </c>
      <c r="AF34" s="1"/>
      <c r="AN34" s="7">
        <v>33</v>
      </c>
    </row>
    <row r="35" spans="1:40" customFormat="1" ht="14.4" x14ac:dyDescent="0.3">
      <c r="A35" s="6">
        <v>42874</v>
      </c>
      <c r="B35" s="32"/>
      <c r="C35" s="2">
        <v>23.8</v>
      </c>
      <c r="D35" s="2">
        <v>30.16</v>
      </c>
      <c r="E35" s="7" t="s">
        <v>89</v>
      </c>
      <c r="F35" t="s">
        <v>90</v>
      </c>
      <c r="G35" s="1">
        <v>1000</v>
      </c>
      <c r="H35" s="1">
        <v>5.45</v>
      </c>
      <c r="I35" s="14">
        <v>14567</v>
      </c>
      <c r="J35" s="14"/>
      <c r="K35" s="1">
        <v>14.82</v>
      </c>
      <c r="L35" s="1">
        <v>1</v>
      </c>
      <c r="M35" s="7"/>
      <c r="N35" s="2">
        <f t="shared" ref="N35:N98" si="13">C35</f>
        <v>23.8</v>
      </c>
      <c r="O35" s="8">
        <f t="shared" si="9"/>
        <v>0.94059652399999982</v>
      </c>
      <c r="P35" s="9">
        <f t="shared" si="8"/>
        <v>3.8604813121909016E-5</v>
      </c>
      <c r="Q35" s="3"/>
      <c r="R35" s="1"/>
      <c r="S35" s="1"/>
      <c r="V35" s="1"/>
      <c r="W35" s="1"/>
      <c r="X35">
        <f t="shared" si="0"/>
        <v>7.9000000000000012E-4</v>
      </c>
      <c r="Y35" s="16">
        <f t="shared" si="1"/>
        <v>0.56268000000000007</v>
      </c>
      <c r="Z35" s="10">
        <f t="shared" si="2"/>
        <v>0.79000000000000015</v>
      </c>
      <c r="AA35" s="10">
        <f t="shared" si="3"/>
        <v>562.68000000000006</v>
      </c>
      <c r="AB35">
        <f t="shared" si="4"/>
        <v>1.5112250000000003</v>
      </c>
      <c r="AC35" s="33">
        <f t="shared" si="5"/>
        <v>1206.2644599999999</v>
      </c>
      <c r="AD35" s="13">
        <f t="shared" si="6"/>
        <v>1.9314039250000001</v>
      </c>
      <c r="AE35" s="13">
        <f t="shared" si="7"/>
        <v>530.95289832000003</v>
      </c>
      <c r="AN35" s="7">
        <v>34</v>
      </c>
    </row>
    <row r="36" spans="1:40" customFormat="1" ht="14.4" x14ac:dyDescent="0.3">
      <c r="A36" s="6">
        <v>42874</v>
      </c>
      <c r="B36" s="32"/>
      <c r="C36" s="2">
        <v>23.8</v>
      </c>
      <c r="D36" s="2">
        <v>30.16</v>
      </c>
      <c r="E36" s="7" t="s">
        <v>89</v>
      </c>
      <c r="F36" t="s">
        <v>90</v>
      </c>
      <c r="G36" s="1">
        <v>1000</v>
      </c>
      <c r="H36" s="1">
        <v>6.4</v>
      </c>
      <c r="I36" s="14">
        <v>14377</v>
      </c>
      <c r="J36" s="14"/>
      <c r="K36" s="1">
        <v>15.74</v>
      </c>
      <c r="L36" s="1">
        <v>1</v>
      </c>
      <c r="M36" s="7"/>
      <c r="N36" s="2">
        <f t="shared" si="13"/>
        <v>23.8</v>
      </c>
      <c r="O36" s="8">
        <f t="shared" si="9"/>
        <v>0.94059652399999982</v>
      </c>
      <c r="P36" s="9">
        <f t="shared" si="8"/>
        <v>3.8604813121909016E-5</v>
      </c>
      <c r="Q36" s="3"/>
      <c r="R36" s="1"/>
      <c r="S36" s="1"/>
      <c r="V36" s="1"/>
      <c r="W36" s="1"/>
      <c r="X36">
        <f t="shared" si="0"/>
        <v>9.8000000000000019E-4</v>
      </c>
      <c r="Y36" s="16">
        <f t="shared" si="1"/>
        <v>1.1531359999999999</v>
      </c>
      <c r="Z36" s="10">
        <f t="shared" si="2"/>
        <v>0.9800000000000002</v>
      </c>
      <c r="AA36" s="10">
        <f t="shared" si="3"/>
        <v>1153.136</v>
      </c>
      <c r="AB36">
        <f t="shared" si="4"/>
        <v>1.8955000000000004</v>
      </c>
      <c r="AC36" s="33">
        <f t="shared" si="5"/>
        <v>2473.9310400000004</v>
      </c>
      <c r="AD36" s="13">
        <f t="shared" si="6"/>
        <v>2.1848112</v>
      </c>
      <c r="AE36" s="13">
        <f t="shared" si="7"/>
        <v>557.44890567999994</v>
      </c>
      <c r="AN36" s="7">
        <v>35</v>
      </c>
    </row>
    <row r="37" spans="1:40" customFormat="1" ht="14.4" x14ac:dyDescent="0.3">
      <c r="A37" s="6">
        <v>42874</v>
      </c>
      <c r="B37" s="32"/>
      <c r="C37" s="2">
        <v>23.8</v>
      </c>
      <c r="D37" s="2">
        <v>30.16</v>
      </c>
      <c r="E37" s="7" t="s">
        <v>89</v>
      </c>
      <c r="F37" t="s">
        <v>90</v>
      </c>
      <c r="G37" s="1">
        <v>1000</v>
      </c>
      <c r="H37" s="1">
        <v>6.74</v>
      </c>
      <c r="I37" s="14">
        <v>14483</v>
      </c>
      <c r="J37" s="14"/>
      <c r="K37" s="1">
        <v>3.4</v>
      </c>
      <c r="L37" s="1">
        <v>1</v>
      </c>
      <c r="M37" s="7"/>
      <c r="N37" s="2">
        <f t="shared" si="13"/>
        <v>23.8</v>
      </c>
      <c r="O37" s="8">
        <f t="shared" si="9"/>
        <v>0.94059652399999982</v>
      </c>
      <c r="P37" s="9">
        <f t="shared" si="8"/>
        <v>3.8604813121909016E-5</v>
      </c>
      <c r="Q37" s="3"/>
      <c r="R37" s="1"/>
      <c r="S37" s="1"/>
      <c r="V37" s="1"/>
      <c r="W37" s="1"/>
      <c r="X37">
        <f t="shared" si="0"/>
        <v>1.0480000000000001E-3</v>
      </c>
      <c r="Y37" s="16">
        <f t="shared" si="1"/>
        <v>0.1173</v>
      </c>
      <c r="Z37" s="10">
        <f t="shared" si="2"/>
        <v>1.048</v>
      </c>
      <c r="AA37" s="10">
        <f t="shared" si="3"/>
        <v>117.3</v>
      </c>
      <c r="AB37">
        <f t="shared" si="4"/>
        <v>2.0330300000000001</v>
      </c>
      <c r="AC37" s="33">
        <f t="shared" si="5"/>
        <v>251.51819999999995</v>
      </c>
      <c r="AD37" s="13">
        <f t="shared" si="6"/>
        <v>2.2754911720000002</v>
      </c>
      <c r="AE37" s="13">
        <f t="shared" si="7"/>
        <v>209.35660799999999</v>
      </c>
      <c r="AN37" s="7">
        <v>36</v>
      </c>
    </row>
    <row r="38" spans="1:40" customFormat="1" ht="14.4" x14ac:dyDescent="0.3">
      <c r="A38" s="6">
        <v>42874</v>
      </c>
      <c r="B38" s="32"/>
      <c r="C38" s="2">
        <v>23.8</v>
      </c>
      <c r="D38" s="2">
        <v>30.16</v>
      </c>
      <c r="E38" s="7" t="s">
        <v>89</v>
      </c>
      <c r="F38" t="s">
        <v>90</v>
      </c>
      <c r="G38" s="1">
        <v>1000</v>
      </c>
      <c r="H38" s="1">
        <v>6.86</v>
      </c>
      <c r="I38" s="14">
        <v>14624</v>
      </c>
      <c r="J38" s="14"/>
      <c r="K38" s="1">
        <v>4.17</v>
      </c>
      <c r="L38" s="1">
        <v>1</v>
      </c>
      <c r="M38" s="7"/>
      <c r="N38" s="2">
        <f t="shared" si="13"/>
        <v>23.8</v>
      </c>
      <c r="O38" s="8">
        <f t="shared" si="9"/>
        <v>0.94059652399999982</v>
      </c>
      <c r="P38" s="9">
        <f t="shared" si="8"/>
        <v>3.8604813121909016E-5</v>
      </c>
      <c r="Q38" s="3"/>
      <c r="R38" s="1"/>
      <c r="S38" s="1"/>
      <c r="V38" s="1"/>
      <c r="W38" s="1"/>
      <c r="X38">
        <f t="shared" si="0"/>
        <v>1.0720000000000003E-3</v>
      </c>
      <c r="Y38" s="16">
        <f t="shared" si="1"/>
        <v>0.14732999999999999</v>
      </c>
      <c r="Z38" s="10">
        <f t="shared" si="2"/>
        <v>1.0720000000000003</v>
      </c>
      <c r="AA38" s="10">
        <f t="shared" si="3"/>
        <v>147.33000000000001</v>
      </c>
      <c r="AB38">
        <f t="shared" si="4"/>
        <v>2.0815700000000001</v>
      </c>
      <c r="AC38" s="33">
        <f t="shared" si="5"/>
        <v>315.89251000000002</v>
      </c>
      <c r="AD38" s="13">
        <f t="shared" si="6"/>
        <v>2.3074942120000004</v>
      </c>
      <c r="AE38" s="13">
        <f t="shared" si="7"/>
        <v>230.61563502000001</v>
      </c>
      <c r="AN38" s="7">
        <v>37</v>
      </c>
    </row>
    <row r="39" spans="1:40" customFormat="1" ht="14.4" x14ac:dyDescent="0.3">
      <c r="A39" s="6">
        <v>42874</v>
      </c>
      <c r="B39" s="32"/>
      <c r="C39" s="2">
        <v>23.8</v>
      </c>
      <c r="D39" s="2">
        <v>30.16</v>
      </c>
      <c r="E39" s="7" t="s">
        <v>89</v>
      </c>
      <c r="F39" t="s">
        <v>90</v>
      </c>
      <c r="G39" s="1">
        <v>1000</v>
      </c>
      <c r="H39" s="1">
        <v>6.56</v>
      </c>
      <c r="I39" s="14">
        <v>14532</v>
      </c>
      <c r="J39" s="14"/>
      <c r="K39" s="1">
        <v>13.46</v>
      </c>
      <c r="L39" s="1">
        <v>1</v>
      </c>
      <c r="M39" s="7"/>
      <c r="N39" s="2">
        <f t="shared" si="13"/>
        <v>23.8</v>
      </c>
      <c r="O39" s="8">
        <f t="shared" si="9"/>
        <v>0.94059652399999982</v>
      </c>
      <c r="P39" s="9">
        <f t="shared" si="8"/>
        <v>3.8604813121909016E-5</v>
      </c>
      <c r="Q39" s="3"/>
      <c r="R39" s="1"/>
      <c r="S39" s="1"/>
      <c r="V39" s="1"/>
      <c r="W39" s="1"/>
      <c r="X39">
        <f t="shared" si="0"/>
        <v>1.0120000000000001E-3</v>
      </c>
      <c r="Y39" s="16">
        <f t="shared" si="1"/>
        <v>0.50964000000000009</v>
      </c>
      <c r="Z39" s="10">
        <f t="shared" si="2"/>
        <v>1.012</v>
      </c>
      <c r="AA39" s="10">
        <f t="shared" si="3"/>
        <v>509.6400000000001</v>
      </c>
      <c r="AB39">
        <f t="shared" si="4"/>
        <v>1.9602199999999999</v>
      </c>
      <c r="AC39" s="33">
        <f t="shared" si="5"/>
        <v>1092.56438</v>
      </c>
      <c r="AD39" s="13">
        <f t="shared" si="6"/>
        <v>2.2274849919999999</v>
      </c>
      <c r="AE39" s="13">
        <f t="shared" si="7"/>
        <v>491.94550888000003</v>
      </c>
      <c r="AN39" s="7">
        <v>38</v>
      </c>
    </row>
    <row r="40" spans="1:40" customFormat="1" ht="14.4" x14ac:dyDescent="0.3">
      <c r="A40" s="6">
        <v>42874</v>
      </c>
      <c r="B40" s="32"/>
      <c r="C40" s="2">
        <v>23.8</v>
      </c>
      <c r="D40" s="2">
        <v>30.16</v>
      </c>
      <c r="E40" s="7" t="s">
        <v>89</v>
      </c>
      <c r="F40" t="s">
        <v>90</v>
      </c>
      <c r="G40" s="1">
        <v>1000</v>
      </c>
      <c r="H40" s="1">
        <v>5.73</v>
      </c>
      <c r="I40" s="14">
        <v>14350</v>
      </c>
      <c r="J40" s="14"/>
      <c r="K40" s="1">
        <v>1.92</v>
      </c>
      <c r="L40" s="1">
        <v>2</v>
      </c>
      <c r="M40" s="7" t="s">
        <v>116</v>
      </c>
      <c r="N40" s="2">
        <f t="shared" si="13"/>
        <v>23.8</v>
      </c>
      <c r="O40" s="8">
        <f t="shared" si="9"/>
        <v>0.94059652399999982</v>
      </c>
      <c r="P40" s="9">
        <f t="shared" si="8"/>
        <v>3.8604813121909016E-5</v>
      </c>
      <c r="Q40" s="3"/>
      <c r="R40" s="1"/>
      <c r="S40" s="1"/>
      <c r="V40" s="1"/>
      <c r="W40" s="1"/>
      <c r="X40">
        <f t="shared" si="0"/>
        <v>8.4600000000000018E-4</v>
      </c>
      <c r="Y40" s="16">
        <f t="shared" si="1"/>
        <v>5.9580000000000001E-2</v>
      </c>
      <c r="Z40" s="10">
        <f t="shared" si="2"/>
        <v>0.8460000000000002</v>
      </c>
      <c r="AA40" s="10">
        <f t="shared" si="3"/>
        <v>59.58</v>
      </c>
      <c r="AB40">
        <f t="shared" si="4"/>
        <v>1.6244850000000002</v>
      </c>
      <c r="AC40" s="33">
        <f t="shared" si="5"/>
        <v>127.78575999999998</v>
      </c>
      <c r="AD40" s="13">
        <f t="shared" si="6"/>
        <v>2.0060980129999999</v>
      </c>
      <c r="AE40" s="13">
        <f t="shared" si="7"/>
        <v>168.66759551999999</v>
      </c>
      <c r="AN40" s="7">
        <v>39</v>
      </c>
    </row>
    <row r="41" spans="1:40" customFormat="1" ht="14.4" x14ac:dyDescent="0.3">
      <c r="A41" s="6">
        <v>42874</v>
      </c>
      <c r="B41" s="32"/>
      <c r="C41" s="2">
        <v>23.8</v>
      </c>
      <c r="D41" s="2">
        <v>30.16</v>
      </c>
      <c r="E41" s="7" t="s">
        <v>89</v>
      </c>
      <c r="F41" t="s">
        <v>90</v>
      </c>
      <c r="G41" s="1">
        <v>1000</v>
      </c>
      <c r="H41" s="1">
        <v>7.12</v>
      </c>
      <c r="I41" s="14">
        <v>14029</v>
      </c>
      <c r="J41" s="14"/>
      <c r="K41" s="1" t="s">
        <v>117</v>
      </c>
      <c r="L41" s="1">
        <v>3</v>
      </c>
      <c r="M41" s="7" t="s">
        <v>118</v>
      </c>
      <c r="N41" s="2">
        <f t="shared" si="13"/>
        <v>23.8</v>
      </c>
      <c r="O41" s="8">
        <f t="shared" si="9"/>
        <v>0.94059652399999982</v>
      </c>
      <c r="P41" s="9">
        <f t="shared" si="8"/>
        <v>3.8604813121909016E-5</v>
      </c>
      <c r="Q41" s="3"/>
      <c r="R41" s="1"/>
      <c r="S41" s="1"/>
      <c r="V41" s="1"/>
      <c r="W41" s="1"/>
      <c r="X41">
        <f t="shared" si="0"/>
        <v>1.1240000000000002E-3</v>
      </c>
      <c r="Y41" s="16"/>
      <c r="Z41" s="10">
        <f t="shared" si="2"/>
        <v>1.1240000000000003</v>
      </c>
      <c r="AA41" s="10"/>
      <c r="AB41">
        <f t="shared" si="4"/>
        <v>2.1867400000000004</v>
      </c>
      <c r="AC41" s="33"/>
      <c r="AD41" s="13">
        <f t="shared" si="6"/>
        <v>2.3768311680000003</v>
      </c>
      <c r="AE41" s="13"/>
      <c r="AN41" s="7">
        <v>40</v>
      </c>
    </row>
    <row r="42" spans="1:40" customFormat="1" ht="14.4" x14ac:dyDescent="0.3">
      <c r="A42" s="6">
        <v>42888</v>
      </c>
      <c r="B42" s="32"/>
      <c r="C42" s="2">
        <v>22.4</v>
      </c>
      <c r="D42" s="2">
        <v>30.18</v>
      </c>
      <c r="E42" s="7" t="s">
        <v>89</v>
      </c>
      <c r="F42" t="s">
        <v>90</v>
      </c>
      <c r="G42" s="1">
        <v>1000</v>
      </c>
      <c r="H42" s="1">
        <v>4.3</v>
      </c>
      <c r="I42" s="14">
        <v>14268</v>
      </c>
      <c r="J42" s="14"/>
      <c r="K42" s="1">
        <v>5.35</v>
      </c>
      <c r="L42" s="1">
        <v>1</v>
      </c>
      <c r="M42" s="7"/>
      <c r="N42" s="2">
        <f t="shared" si="13"/>
        <v>22.4</v>
      </c>
      <c r="O42" s="8">
        <f t="shared" si="9"/>
        <v>0.94126505199999988</v>
      </c>
      <c r="P42" s="9">
        <f t="shared" si="8"/>
        <v>3.881524976775656E-5</v>
      </c>
      <c r="Q42" s="3"/>
      <c r="R42" s="1"/>
      <c r="S42" s="1"/>
      <c r="V42" s="1"/>
      <c r="W42" s="1"/>
      <c r="X42">
        <f t="shared" si="0"/>
        <v>5.5999999999999995E-4</v>
      </c>
      <c r="Y42" s="16">
        <f t="shared" ref="Y42:Y63" si="14">IF(K42&lt;15,((0.039*K42)-0.0153),((0.0364*K42)+0.5802))</f>
        <v>0.19334999999999997</v>
      </c>
      <c r="Z42" s="10">
        <f t="shared" si="2"/>
        <v>0.56000000000000005</v>
      </c>
      <c r="AA42" s="10">
        <f t="shared" ref="AA42:AA63" si="15">Y42*1000000/G42</f>
        <v>193.34999999999997</v>
      </c>
      <c r="AB42">
        <f t="shared" si="4"/>
        <v>1.0460499999999999</v>
      </c>
      <c r="AC42" s="33">
        <f t="shared" ref="AC42:AC63" si="16">IF(K42&lt;15,((83.603*K42)-32.732),((78.096*K42)+1244.7))</f>
        <v>414.54404999999997</v>
      </c>
      <c r="AD42" s="13">
        <f t="shared" si="6"/>
        <v>1.6245753000000001</v>
      </c>
      <c r="AE42" s="13">
        <f t="shared" ref="AE42:AE63" si="17">((0.0518*K42^2)+(27.217*K42)+116.22)*(1000/G42)</f>
        <v>263.31359549999996</v>
      </c>
      <c r="AN42" s="7">
        <v>41</v>
      </c>
    </row>
    <row r="43" spans="1:40" customFormat="1" ht="14.4" x14ac:dyDescent="0.3">
      <c r="A43" s="6">
        <v>42888</v>
      </c>
      <c r="B43" s="32"/>
      <c r="C43" s="2">
        <v>22.4</v>
      </c>
      <c r="D43" s="2">
        <v>30.18</v>
      </c>
      <c r="E43" s="7" t="s">
        <v>89</v>
      </c>
      <c r="F43" t="s">
        <v>90</v>
      </c>
      <c r="G43" s="1">
        <v>1000</v>
      </c>
      <c r="H43" s="1">
        <v>5.64</v>
      </c>
      <c r="I43" s="14">
        <v>14071</v>
      </c>
      <c r="J43" s="14"/>
      <c r="K43" s="1">
        <v>3.31</v>
      </c>
      <c r="L43" s="1">
        <v>1</v>
      </c>
      <c r="M43" s="7"/>
      <c r="N43" s="2">
        <f t="shared" si="13"/>
        <v>22.4</v>
      </c>
      <c r="O43" s="8">
        <f t="shared" si="9"/>
        <v>0.94126505199999988</v>
      </c>
      <c r="P43" s="9">
        <f t="shared" si="8"/>
        <v>3.881524976775656E-5</v>
      </c>
      <c r="Q43" s="3"/>
      <c r="R43" s="1"/>
      <c r="S43" s="1"/>
      <c r="V43" s="1"/>
      <c r="W43" s="1"/>
      <c r="X43">
        <f t="shared" si="0"/>
        <v>8.2800000000000018E-4</v>
      </c>
      <c r="Y43" s="16">
        <f t="shared" si="14"/>
        <v>0.11379000000000002</v>
      </c>
      <c r="Z43" s="10">
        <f t="shared" si="2"/>
        <v>0.82800000000000018</v>
      </c>
      <c r="AA43" s="10">
        <f t="shared" si="15"/>
        <v>113.79000000000002</v>
      </c>
      <c r="AB43">
        <f t="shared" si="4"/>
        <v>1.5880799999999999</v>
      </c>
      <c r="AC43" s="33">
        <f t="shared" si="16"/>
        <v>243.99393000000001</v>
      </c>
      <c r="AD43" s="13">
        <f t="shared" si="6"/>
        <v>1.9820897120000001</v>
      </c>
      <c r="AE43" s="13">
        <f t="shared" si="17"/>
        <v>206.87579597999999</v>
      </c>
      <c r="AN43" s="7">
        <v>42</v>
      </c>
    </row>
    <row r="44" spans="1:40" customFormat="1" ht="14.4" x14ac:dyDescent="0.3">
      <c r="A44" s="6">
        <v>42888</v>
      </c>
      <c r="B44" s="32"/>
      <c r="C44" s="2">
        <v>22.4</v>
      </c>
      <c r="D44" s="2">
        <v>30.18</v>
      </c>
      <c r="E44" s="7" t="s">
        <v>89</v>
      </c>
      <c r="F44" t="s">
        <v>90</v>
      </c>
      <c r="G44" s="1">
        <v>1000</v>
      </c>
      <c r="H44" s="1">
        <v>5.24</v>
      </c>
      <c r="I44" s="14">
        <v>14183</v>
      </c>
      <c r="J44" s="14"/>
      <c r="K44" s="1">
        <v>5.27</v>
      </c>
      <c r="L44" s="1">
        <v>1</v>
      </c>
      <c r="M44" s="7"/>
      <c r="N44" s="2">
        <f t="shared" si="13"/>
        <v>22.4</v>
      </c>
      <c r="O44" s="8">
        <f t="shared" si="9"/>
        <v>0.94126505199999988</v>
      </c>
      <c r="P44" s="9">
        <f t="shared" si="8"/>
        <v>3.881524976775656E-5</v>
      </c>
      <c r="Q44" s="3"/>
      <c r="R44" s="1"/>
      <c r="S44" s="1"/>
      <c r="V44" s="1"/>
      <c r="W44" s="1"/>
      <c r="X44">
        <f t="shared" si="0"/>
        <v>7.4800000000000018E-4</v>
      </c>
      <c r="Y44" s="16">
        <f t="shared" si="14"/>
        <v>0.19022999999999998</v>
      </c>
      <c r="Z44" s="10">
        <f t="shared" si="2"/>
        <v>0.74800000000000022</v>
      </c>
      <c r="AA44" s="10">
        <f t="shared" si="15"/>
        <v>190.22999999999996</v>
      </c>
      <c r="AB44">
        <f t="shared" si="4"/>
        <v>1.42628</v>
      </c>
      <c r="AC44" s="33">
        <f t="shared" si="16"/>
        <v>407.85580999999991</v>
      </c>
      <c r="AD44" s="13">
        <f t="shared" si="6"/>
        <v>1.8753802720000001</v>
      </c>
      <c r="AE44" s="13">
        <f t="shared" si="17"/>
        <v>261.09222621999999</v>
      </c>
      <c r="AN44" s="7">
        <v>43</v>
      </c>
    </row>
    <row r="45" spans="1:40" customFormat="1" ht="14.4" x14ac:dyDescent="0.3">
      <c r="A45" s="6">
        <v>42895</v>
      </c>
      <c r="B45" s="32"/>
      <c r="C45" s="2">
        <v>22</v>
      </c>
      <c r="D45" s="2">
        <v>30.02</v>
      </c>
      <c r="E45" s="7" t="s">
        <v>89</v>
      </c>
      <c r="F45" t="s">
        <v>90</v>
      </c>
      <c r="G45" s="1">
        <v>1000</v>
      </c>
      <c r="H45" s="1">
        <v>5.53</v>
      </c>
      <c r="I45" s="14">
        <v>14821</v>
      </c>
      <c r="J45" s="14"/>
      <c r="K45" s="1">
        <v>1.25</v>
      </c>
      <c r="L45" s="1">
        <v>2</v>
      </c>
      <c r="M45" s="7" t="s">
        <v>116</v>
      </c>
      <c r="N45" s="2">
        <f t="shared" si="13"/>
        <v>22</v>
      </c>
      <c r="O45" s="8">
        <f t="shared" si="9"/>
        <v>0.93591682799999976</v>
      </c>
      <c r="P45" s="9">
        <f t="shared" si="8"/>
        <v>3.8647008539332237E-5</v>
      </c>
      <c r="Q45" s="3"/>
      <c r="R45" s="1"/>
      <c r="S45" s="1"/>
      <c r="V45" s="1"/>
      <c r="W45" s="1"/>
      <c r="X45">
        <f t="shared" si="0"/>
        <v>8.0600000000000008E-4</v>
      </c>
      <c r="Y45" s="16">
        <f t="shared" si="14"/>
        <v>3.3450000000000001E-2</v>
      </c>
      <c r="Z45" s="10">
        <f t="shared" si="2"/>
        <v>0.80600000000000016</v>
      </c>
      <c r="AA45" s="10">
        <f t="shared" si="15"/>
        <v>33.450000000000003</v>
      </c>
      <c r="AB45">
        <f t="shared" si="4"/>
        <v>1.5435850000000004</v>
      </c>
      <c r="AC45" s="33">
        <f t="shared" si="16"/>
        <v>71.771749999999997</v>
      </c>
      <c r="AD45" s="13">
        <f t="shared" si="6"/>
        <v>1.9527455730000001</v>
      </c>
      <c r="AE45" s="13">
        <f t="shared" si="17"/>
        <v>150.32218749999998</v>
      </c>
      <c r="AN45" s="7">
        <v>44</v>
      </c>
    </row>
    <row r="46" spans="1:40" customFormat="1" ht="14.4" x14ac:dyDescent="0.3">
      <c r="A46" s="6">
        <v>42895</v>
      </c>
      <c r="B46" s="32"/>
      <c r="C46" s="2">
        <v>22</v>
      </c>
      <c r="D46" s="2">
        <v>30.02</v>
      </c>
      <c r="E46" s="7" t="s">
        <v>89</v>
      </c>
      <c r="F46" t="s">
        <v>90</v>
      </c>
      <c r="G46" s="1">
        <v>1000</v>
      </c>
      <c r="H46" s="1">
        <v>5.32</v>
      </c>
      <c r="I46" s="14">
        <v>14495</v>
      </c>
      <c r="J46" s="14"/>
      <c r="K46" s="1">
        <v>4.51</v>
      </c>
      <c r="L46" s="1">
        <v>1</v>
      </c>
      <c r="M46" s="7"/>
      <c r="N46" s="2">
        <f t="shared" si="13"/>
        <v>22</v>
      </c>
      <c r="O46" s="8">
        <f t="shared" si="9"/>
        <v>0.93591682799999976</v>
      </c>
      <c r="P46" s="9">
        <f t="shared" si="8"/>
        <v>3.8647008539332237E-5</v>
      </c>
      <c r="Q46" s="3"/>
      <c r="R46" s="1"/>
      <c r="S46" s="1"/>
      <c r="V46" s="1"/>
      <c r="W46" s="1"/>
      <c r="X46">
        <f t="shared" si="0"/>
        <v>7.6400000000000014E-4</v>
      </c>
      <c r="Y46" s="16">
        <f t="shared" si="14"/>
        <v>0.16058999999999998</v>
      </c>
      <c r="Z46" s="10">
        <f t="shared" si="2"/>
        <v>0.76400000000000012</v>
      </c>
      <c r="AA46" s="10">
        <f t="shared" si="15"/>
        <v>160.58999999999997</v>
      </c>
      <c r="AB46">
        <f t="shared" si="4"/>
        <v>1.4586400000000002</v>
      </c>
      <c r="AC46" s="33">
        <f t="shared" si="16"/>
        <v>344.31752999999992</v>
      </c>
      <c r="AD46" s="13">
        <f t="shared" si="6"/>
        <v>1.896722928</v>
      </c>
      <c r="AE46" s="13">
        <f t="shared" si="17"/>
        <v>240.02228717999998</v>
      </c>
      <c r="AN46" s="7">
        <v>45</v>
      </c>
    </row>
    <row r="47" spans="1:40" customFormat="1" ht="14.4" x14ac:dyDescent="0.3">
      <c r="A47" s="6">
        <v>42895</v>
      </c>
      <c r="B47" s="32"/>
      <c r="C47" s="2">
        <v>22</v>
      </c>
      <c r="D47" s="2">
        <v>30.02</v>
      </c>
      <c r="E47" s="7" t="s">
        <v>89</v>
      </c>
      <c r="F47" t="s">
        <v>90</v>
      </c>
      <c r="G47" s="1">
        <v>1000</v>
      </c>
      <c r="H47" s="1">
        <v>6.04</v>
      </c>
      <c r="I47" s="14">
        <v>14169</v>
      </c>
      <c r="J47" s="14"/>
      <c r="K47" s="1">
        <v>4.91</v>
      </c>
      <c r="L47" s="1">
        <v>1</v>
      </c>
      <c r="M47" s="7"/>
      <c r="N47" s="2">
        <f t="shared" si="13"/>
        <v>22</v>
      </c>
      <c r="O47" s="8">
        <f t="shared" si="9"/>
        <v>0.93591682799999976</v>
      </c>
      <c r="P47" s="9">
        <f t="shared" si="8"/>
        <v>3.8647008539332237E-5</v>
      </c>
      <c r="Q47" s="3"/>
      <c r="R47" s="1"/>
      <c r="S47" s="1"/>
      <c r="V47" s="1"/>
      <c r="W47" s="1"/>
      <c r="X47">
        <f t="shared" si="0"/>
        <v>9.0800000000000017E-4</v>
      </c>
      <c r="Y47" s="16">
        <f t="shared" si="14"/>
        <v>0.17618999999999999</v>
      </c>
      <c r="Z47" s="10">
        <f t="shared" si="2"/>
        <v>0.90800000000000014</v>
      </c>
      <c r="AA47" s="10">
        <f t="shared" si="15"/>
        <v>176.19</v>
      </c>
      <c r="AB47">
        <f t="shared" si="4"/>
        <v>1.7498800000000003</v>
      </c>
      <c r="AC47" s="33">
        <f t="shared" si="16"/>
        <v>377.75873000000001</v>
      </c>
      <c r="AD47" s="13">
        <f t="shared" si="6"/>
        <v>2.0887895520000002</v>
      </c>
      <c r="AE47" s="13">
        <f t="shared" si="17"/>
        <v>251.10426957999999</v>
      </c>
      <c r="AN47" s="7">
        <v>46</v>
      </c>
    </row>
    <row r="48" spans="1:40" customFormat="1" ht="14.4" x14ac:dyDescent="0.3">
      <c r="A48" s="6">
        <v>42895</v>
      </c>
      <c r="B48" s="32"/>
      <c r="C48" s="2">
        <v>22</v>
      </c>
      <c r="D48" s="2">
        <v>30.02</v>
      </c>
      <c r="E48" s="7" t="s">
        <v>89</v>
      </c>
      <c r="F48" t="s">
        <v>90</v>
      </c>
      <c r="G48" s="1">
        <v>1000</v>
      </c>
      <c r="H48" s="1">
        <v>5.1100000000000003</v>
      </c>
      <c r="I48" s="14">
        <v>14317</v>
      </c>
      <c r="J48" s="14"/>
      <c r="K48" s="1">
        <v>4.2699999999999996</v>
      </c>
      <c r="L48" s="1">
        <v>1</v>
      </c>
      <c r="M48" s="7"/>
      <c r="N48" s="2">
        <f t="shared" si="13"/>
        <v>22</v>
      </c>
      <c r="O48" s="8">
        <f t="shared" si="9"/>
        <v>0.93591682799999976</v>
      </c>
      <c r="P48" s="9">
        <f t="shared" si="8"/>
        <v>3.8647008539332237E-5</v>
      </c>
      <c r="Q48" s="3"/>
      <c r="R48" s="1"/>
      <c r="S48" s="1"/>
      <c r="V48" s="1"/>
      <c r="W48" s="1"/>
      <c r="X48">
        <f t="shared" si="0"/>
        <v>7.220000000000002E-4</v>
      </c>
      <c r="Y48" s="16">
        <f t="shared" si="14"/>
        <v>0.15122999999999998</v>
      </c>
      <c r="Z48" s="10">
        <f t="shared" si="2"/>
        <v>0.7220000000000002</v>
      </c>
      <c r="AA48" s="10">
        <f t="shared" si="15"/>
        <v>151.22999999999996</v>
      </c>
      <c r="AB48">
        <f t="shared" si="4"/>
        <v>1.3736950000000003</v>
      </c>
      <c r="AC48" s="33">
        <f t="shared" si="16"/>
        <v>324.25280999999995</v>
      </c>
      <c r="AD48" s="13">
        <f t="shared" si="6"/>
        <v>1.8406976369999999</v>
      </c>
      <c r="AE48" s="13">
        <f t="shared" si="17"/>
        <v>233.38105421999998</v>
      </c>
      <c r="AN48" s="7">
        <v>47</v>
      </c>
    </row>
    <row r="49" spans="1:40" customFormat="1" ht="14.4" x14ac:dyDescent="0.3">
      <c r="A49" s="6">
        <v>42895</v>
      </c>
      <c r="B49" s="32"/>
      <c r="C49" s="2">
        <v>22</v>
      </c>
      <c r="D49" s="2">
        <v>30.02</v>
      </c>
      <c r="E49" s="7" t="s">
        <v>89</v>
      </c>
      <c r="F49" t="s">
        <v>90</v>
      </c>
      <c r="G49" s="1">
        <v>1000</v>
      </c>
      <c r="H49" s="1">
        <v>5.08</v>
      </c>
      <c r="I49" s="14">
        <v>13944</v>
      </c>
      <c r="J49" s="14"/>
      <c r="K49" s="1">
        <v>4.5199999999999996</v>
      </c>
      <c r="L49" s="1">
        <v>2</v>
      </c>
      <c r="M49" s="7"/>
      <c r="N49" s="2">
        <f t="shared" si="13"/>
        <v>22</v>
      </c>
      <c r="O49" s="8">
        <f t="shared" si="9"/>
        <v>0.93591682799999976</v>
      </c>
      <c r="P49" s="9">
        <f t="shared" si="8"/>
        <v>3.8647008539332237E-5</v>
      </c>
      <c r="Q49" s="3"/>
      <c r="R49" s="1"/>
      <c r="S49" s="1"/>
      <c r="V49" s="1"/>
      <c r="W49" s="1"/>
      <c r="X49">
        <f t="shared" si="0"/>
        <v>7.1600000000000006E-4</v>
      </c>
      <c r="Y49" s="16">
        <f t="shared" si="14"/>
        <v>0.16097999999999998</v>
      </c>
      <c r="Z49" s="10">
        <f t="shared" si="2"/>
        <v>0.71599999999999997</v>
      </c>
      <c r="AA49" s="10">
        <f t="shared" si="15"/>
        <v>160.97999999999996</v>
      </c>
      <c r="AB49">
        <f t="shared" si="4"/>
        <v>1.3615600000000001</v>
      </c>
      <c r="AC49" s="33">
        <f t="shared" si="16"/>
        <v>345.15355999999997</v>
      </c>
      <c r="AD49" s="13">
        <f t="shared" si="6"/>
        <v>1.8326938080000001</v>
      </c>
      <c r="AE49" s="13">
        <f t="shared" si="17"/>
        <v>240.29913471999998</v>
      </c>
      <c r="AN49" s="7">
        <v>48</v>
      </c>
    </row>
    <row r="50" spans="1:40" customFormat="1" ht="14.4" x14ac:dyDescent="0.3">
      <c r="A50" s="6">
        <v>42895</v>
      </c>
      <c r="B50" s="32"/>
      <c r="C50" s="2">
        <v>22</v>
      </c>
      <c r="D50" s="2">
        <v>30.02</v>
      </c>
      <c r="E50" s="7" t="s">
        <v>89</v>
      </c>
      <c r="F50" t="s">
        <v>90</v>
      </c>
      <c r="G50" s="1">
        <v>1000</v>
      </c>
      <c r="H50" s="1">
        <v>4.7699999999999996</v>
      </c>
      <c r="I50" s="14">
        <v>13826</v>
      </c>
      <c r="J50" s="14"/>
      <c r="K50" s="1">
        <v>4.9000000000000004</v>
      </c>
      <c r="L50" s="1">
        <v>3</v>
      </c>
      <c r="M50" s="7"/>
      <c r="N50" s="2">
        <f t="shared" si="13"/>
        <v>22</v>
      </c>
      <c r="O50" s="8">
        <f t="shared" si="9"/>
        <v>0.93591682799999976</v>
      </c>
      <c r="P50" s="9">
        <f t="shared" si="8"/>
        <v>3.8647008539332237E-5</v>
      </c>
      <c r="Q50" s="3"/>
      <c r="R50" s="1"/>
      <c r="S50" s="1"/>
      <c r="V50" s="1"/>
      <c r="W50" s="1"/>
      <c r="X50">
        <f t="shared" si="0"/>
        <v>6.5400000000000007E-4</v>
      </c>
      <c r="Y50" s="16">
        <f t="shared" si="14"/>
        <v>0.17580000000000001</v>
      </c>
      <c r="Z50" s="10">
        <f t="shared" si="2"/>
        <v>0.65400000000000014</v>
      </c>
      <c r="AA50" s="10">
        <f t="shared" si="15"/>
        <v>175.8</v>
      </c>
      <c r="AB50">
        <f t="shared" si="4"/>
        <v>1.236165</v>
      </c>
      <c r="AC50" s="33">
        <f t="shared" si="16"/>
        <v>376.92269999999996</v>
      </c>
      <c r="AD50" s="13">
        <f t="shared" si="6"/>
        <v>1.749984413</v>
      </c>
      <c r="AE50" s="13">
        <f t="shared" si="17"/>
        <v>250.82701800000001</v>
      </c>
      <c r="AN50" s="7">
        <v>49</v>
      </c>
    </row>
    <row r="51" spans="1:40" customFormat="1" ht="14.4" x14ac:dyDescent="0.3">
      <c r="A51" s="6">
        <v>42895</v>
      </c>
      <c r="B51" s="32"/>
      <c r="C51" s="2">
        <v>22</v>
      </c>
      <c r="D51" s="2">
        <v>30.02</v>
      </c>
      <c r="E51" s="7" t="s">
        <v>89</v>
      </c>
      <c r="F51" t="s">
        <v>90</v>
      </c>
      <c r="G51" s="1">
        <v>1000</v>
      </c>
      <c r="H51" s="1">
        <v>5.51</v>
      </c>
      <c r="I51" s="14">
        <v>14054</v>
      </c>
      <c r="J51" s="14"/>
      <c r="K51" s="1">
        <v>4.8499999999999996</v>
      </c>
      <c r="L51" s="1">
        <v>4</v>
      </c>
      <c r="M51" s="7"/>
      <c r="N51" s="2">
        <f t="shared" si="13"/>
        <v>22</v>
      </c>
      <c r="O51" s="8">
        <f t="shared" si="9"/>
        <v>0.93591682799999976</v>
      </c>
      <c r="P51" s="9">
        <f t="shared" si="8"/>
        <v>3.8647008539332237E-5</v>
      </c>
      <c r="Q51" s="3"/>
      <c r="R51" s="1"/>
      <c r="S51" s="1"/>
      <c r="V51" s="1"/>
      <c r="W51" s="1"/>
      <c r="X51">
        <f t="shared" si="0"/>
        <v>8.020000000000002E-4</v>
      </c>
      <c r="Y51" s="16">
        <f t="shared" si="14"/>
        <v>0.17384999999999998</v>
      </c>
      <c r="Z51" s="10">
        <f t="shared" si="2"/>
        <v>0.80200000000000027</v>
      </c>
      <c r="AA51" s="10">
        <f t="shared" si="15"/>
        <v>173.84999999999997</v>
      </c>
      <c r="AB51">
        <f t="shared" si="4"/>
        <v>1.5354949999999998</v>
      </c>
      <c r="AC51" s="33">
        <f t="shared" si="16"/>
        <v>372.74254999999994</v>
      </c>
      <c r="AD51" s="13">
        <f t="shared" si="6"/>
        <v>1.947410197</v>
      </c>
      <c r="AE51" s="13">
        <f t="shared" si="17"/>
        <v>249.44091549999999</v>
      </c>
      <c r="AN51" s="7">
        <v>50</v>
      </c>
    </row>
    <row r="52" spans="1:40" customFormat="1" ht="14.4" x14ac:dyDescent="0.3">
      <c r="A52" s="6">
        <v>42895</v>
      </c>
      <c r="B52" s="32"/>
      <c r="C52" s="2">
        <v>22</v>
      </c>
      <c r="D52" s="2">
        <v>30.02</v>
      </c>
      <c r="E52" s="7" t="s">
        <v>89</v>
      </c>
      <c r="F52" t="s">
        <v>90</v>
      </c>
      <c r="G52" s="1">
        <v>1000</v>
      </c>
      <c r="H52" s="1">
        <v>4.43</v>
      </c>
      <c r="I52" s="14">
        <v>14085</v>
      </c>
      <c r="J52" s="14"/>
      <c r="K52" s="1">
        <v>4.66</v>
      </c>
      <c r="L52" s="1">
        <v>5</v>
      </c>
      <c r="M52" s="7"/>
      <c r="N52" s="2">
        <f t="shared" si="13"/>
        <v>22</v>
      </c>
      <c r="O52" s="8">
        <f t="shared" si="9"/>
        <v>0.93591682799999976</v>
      </c>
      <c r="P52" s="9">
        <f t="shared" si="8"/>
        <v>3.8647008539332237E-5</v>
      </c>
      <c r="Q52" s="3"/>
      <c r="R52" s="1"/>
      <c r="S52" s="1"/>
      <c r="V52" s="1"/>
      <c r="W52" s="1"/>
      <c r="X52">
        <f t="shared" si="0"/>
        <v>5.8599999999999993E-4</v>
      </c>
      <c r="Y52" s="16">
        <f t="shared" si="14"/>
        <v>0.16644</v>
      </c>
      <c r="Z52" s="10">
        <f t="shared" si="2"/>
        <v>0.58599999999999985</v>
      </c>
      <c r="AA52" s="10">
        <f t="shared" si="15"/>
        <v>166.44</v>
      </c>
      <c r="AB52">
        <f t="shared" si="4"/>
        <v>1.098635</v>
      </c>
      <c r="AC52" s="33">
        <f t="shared" si="16"/>
        <v>356.85798</v>
      </c>
      <c r="AD52" s="13">
        <f t="shared" si="6"/>
        <v>1.6592642529999999</v>
      </c>
      <c r="AE52" s="13">
        <f t="shared" si="17"/>
        <v>244.17608808</v>
      </c>
      <c r="AN52" s="7">
        <v>51</v>
      </c>
    </row>
    <row r="53" spans="1:40" customFormat="1" ht="14.4" x14ac:dyDescent="0.3">
      <c r="A53" s="6">
        <v>42902</v>
      </c>
      <c r="B53" s="32"/>
      <c r="C53" s="2">
        <v>22.2</v>
      </c>
      <c r="D53" s="2">
        <v>30.02</v>
      </c>
      <c r="E53" s="7" t="s">
        <v>89</v>
      </c>
      <c r="F53" t="s">
        <v>90</v>
      </c>
      <c r="G53" s="1">
        <v>1000</v>
      </c>
      <c r="H53" s="1">
        <v>6.01</v>
      </c>
      <c r="I53" s="14">
        <v>14692</v>
      </c>
      <c r="J53" s="14"/>
      <c r="K53" s="1">
        <v>5.87</v>
      </c>
      <c r="L53" s="1">
        <v>6</v>
      </c>
      <c r="M53" s="7"/>
      <c r="N53" s="2">
        <f t="shared" si="13"/>
        <v>22.2</v>
      </c>
      <c r="O53" s="8">
        <f t="shared" si="9"/>
        <v>0.93591682799999976</v>
      </c>
      <c r="P53" s="9">
        <f t="shared" si="8"/>
        <v>3.8620838227133611E-5</v>
      </c>
      <c r="Q53" s="3"/>
      <c r="R53" s="1"/>
      <c r="S53" s="1"/>
      <c r="V53" s="1"/>
      <c r="W53" s="1"/>
      <c r="X53">
        <f t="shared" si="0"/>
        <v>9.0200000000000002E-4</v>
      </c>
      <c r="Y53" s="16">
        <f t="shared" si="14"/>
        <v>0.21362999999999999</v>
      </c>
      <c r="Z53" s="10">
        <f t="shared" si="2"/>
        <v>0.90200000000000002</v>
      </c>
      <c r="AA53" s="10">
        <f t="shared" si="15"/>
        <v>213.63</v>
      </c>
      <c r="AB53">
        <f t="shared" si="4"/>
        <v>1.7377450000000001</v>
      </c>
      <c r="AC53" s="33">
        <f t="shared" si="16"/>
        <v>458.01760999999999</v>
      </c>
      <c r="AD53" s="13">
        <f t="shared" si="6"/>
        <v>2.0807873969999999</v>
      </c>
      <c r="AE53" s="13">
        <f t="shared" si="17"/>
        <v>277.76865742000001</v>
      </c>
      <c r="AN53" s="7">
        <v>52</v>
      </c>
    </row>
    <row r="54" spans="1:40" customFormat="1" ht="14.4" x14ac:dyDescent="0.3">
      <c r="A54" s="6">
        <v>42902</v>
      </c>
      <c r="B54" s="32"/>
      <c r="C54" s="2">
        <v>22.2</v>
      </c>
      <c r="D54" s="2">
        <v>30.02</v>
      </c>
      <c r="E54" s="7" t="s">
        <v>89</v>
      </c>
      <c r="F54" t="s">
        <v>90</v>
      </c>
      <c r="G54" s="1">
        <v>1000</v>
      </c>
      <c r="H54" s="1">
        <v>5.71</v>
      </c>
      <c r="I54" s="14">
        <v>14293</v>
      </c>
      <c r="J54" s="14"/>
      <c r="K54" s="1">
        <v>7.56</v>
      </c>
      <c r="L54" s="1">
        <v>7</v>
      </c>
      <c r="M54" s="7"/>
      <c r="N54" s="2">
        <f t="shared" si="13"/>
        <v>22.2</v>
      </c>
      <c r="O54" s="8">
        <f t="shared" si="9"/>
        <v>0.93591682799999976</v>
      </c>
      <c r="P54" s="9">
        <f t="shared" si="8"/>
        <v>3.8620838227133611E-5</v>
      </c>
      <c r="Q54" s="3"/>
      <c r="R54" s="1"/>
      <c r="S54" s="1"/>
      <c r="V54" s="1"/>
      <c r="W54" s="1"/>
      <c r="X54">
        <f t="shared" si="0"/>
        <v>8.4200000000000008E-4</v>
      </c>
      <c r="Y54" s="16">
        <f t="shared" si="14"/>
        <v>0.27954000000000001</v>
      </c>
      <c r="Z54" s="10">
        <f t="shared" si="2"/>
        <v>0.84200000000000008</v>
      </c>
      <c r="AA54" s="10">
        <f t="shared" si="15"/>
        <v>279.54000000000002</v>
      </c>
      <c r="AB54">
        <f t="shared" si="4"/>
        <v>1.616395</v>
      </c>
      <c r="AC54" s="33">
        <f t="shared" si="16"/>
        <v>599.30667999999991</v>
      </c>
      <c r="AD54" s="13">
        <f t="shared" si="6"/>
        <v>2.0007628770000001</v>
      </c>
      <c r="AE54" s="13">
        <f t="shared" si="17"/>
        <v>324.94107647999999</v>
      </c>
      <c r="AN54" s="7">
        <v>53</v>
      </c>
    </row>
    <row r="55" spans="1:40" customFormat="1" ht="14.4" x14ac:dyDescent="0.3">
      <c r="A55" s="6">
        <v>42902</v>
      </c>
      <c r="B55" s="32"/>
      <c r="C55" s="2">
        <v>22.2</v>
      </c>
      <c r="D55" s="2">
        <v>30.02</v>
      </c>
      <c r="E55" s="7" t="s">
        <v>89</v>
      </c>
      <c r="F55" t="s">
        <v>90</v>
      </c>
      <c r="G55" s="1">
        <v>1000</v>
      </c>
      <c r="H55" s="1">
        <v>5.63</v>
      </c>
      <c r="I55" s="14">
        <v>14471</v>
      </c>
      <c r="J55" s="14"/>
      <c r="K55" s="1">
        <v>6.11</v>
      </c>
      <c r="L55" s="1">
        <v>8</v>
      </c>
      <c r="M55" s="7"/>
      <c r="N55" s="2">
        <f t="shared" si="13"/>
        <v>22.2</v>
      </c>
      <c r="O55" s="8">
        <f t="shared" si="9"/>
        <v>0.93591682799999976</v>
      </c>
      <c r="P55" s="9">
        <f t="shared" si="8"/>
        <v>3.8620838227133611E-5</v>
      </c>
      <c r="Q55" s="3"/>
      <c r="R55" s="1"/>
      <c r="S55" s="1"/>
      <c r="V55" s="1"/>
      <c r="W55" s="1"/>
      <c r="X55">
        <f t="shared" si="0"/>
        <v>8.2600000000000013E-4</v>
      </c>
      <c r="Y55" s="16">
        <f t="shared" si="14"/>
        <v>0.22298999999999999</v>
      </c>
      <c r="Z55" s="10">
        <f t="shared" si="2"/>
        <v>0.82600000000000007</v>
      </c>
      <c r="AA55" s="10">
        <f t="shared" si="15"/>
        <v>222.99</v>
      </c>
      <c r="AB55">
        <f t="shared" si="4"/>
        <v>1.5840349999999999</v>
      </c>
      <c r="AC55" s="33">
        <f t="shared" si="16"/>
        <v>478.08232999999996</v>
      </c>
      <c r="AD55" s="13">
        <f t="shared" si="6"/>
        <v>1.9794220930000002</v>
      </c>
      <c r="AE55" s="13">
        <f t="shared" si="17"/>
        <v>284.44967278000001</v>
      </c>
      <c r="AN55" s="7">
        <v>54</v>
      </c>
    </row>
    <row r="56" spans="1:40" customFormat="1" ht="14.4" x14ac:dyDescent="0.3">
      <c r="A56" s="6">
        <v>42902</v>
      </c>
      <c r="B56" s="32"/>
      <c r="C56" s="2">
        <v>22.2</v>
      </c>
      <c r="D56" s="2">
        <v>30.02</v>
      </c>
      <c r="E56" s="7" t="s">
        <v>89</v>
      </c>
      <c r="F56" t="s">
        <v>90</v>
      </c>
      <c r="G56" s="1">
        <v>1000</v>
      </c>
      <c r="H56" s="1">
        <v>5.35</v>
      </c>
      <c r="I56" s="14">
        <v>14299</v>
      </c>
      <c r="J56" s="14"/>
      <c r="K56" s="1">
        <v>5.31</v>
      </c>
      <c r="L56" s="1">
        <v>9</v>
      </c>
      <c r="M56" s="7"/>
      <c r="N56" s="2">
        <f t="shared" si="13"/>
        <v>22.2</v>
      </c>
      <c r="O56" s="8">
        <f t="shared" si="9"/>
        <v>0.93591682799999976</v>
      </c>
      <c r="P56" s="9">
        <f t="shared" si="8"/>
        <v>3.8620838227133611E-5</v>
      </c>
      <c r="Q56" s="3"/>
      <c r="R56" s="1"/>
      <c r="S56" s="1"/>
      <c r="V56" s="1"/>
      <c r="W56" s="1"/>
      <c r="X56">
        <f t="shared" si="0"/>
        <v>7.7000000000000007E-4</v>
      </c>
      <c r="Y56" s="16">
        <f t="shared" si="14"/>
        <v>0.19178999999999999</v>
      </c>
      <c r="Z56" s="10">
        <f t="shared" si="2"/>
        <v>0.77000000000000013</v>
      </c>
      <c r="AA56" s="10">
        <f t="shared" si="15"/>
        <v>191.79</v>
      </c>
      <c r="AB56">
        <f t="shared" si="4"/>
        <v>1.4707749999999999</v>
      </c>
      <c r="AC56" s="33">
        <f t="shared" si="16"/>
        <v>411.19992999999999</v>
      </c>
      <c r="AD56" s="13">
        <f t="shared" si="6"/>
        <v>1.9047263249999999</v>
      </c>
      <c r="AE56" s="13">
        <f t="shared" si="17"/>
        <v>262.20282798</v>
      </c>
      <c r="AN56" s="7">
        <v>55</v>
      </c>
    </row>
    <row r="57" spans="1:40" customFormat="1" ht="14.4" x14ac:dyDescent="0.3">
      <c r="A57" s="6">
        <v>42916</v>
      </c>
      <c r="B57" s="32"/>
      <c r="C57" s="2">
        <v>23.9</v>
      </c>
      <c r="D57" s="2">
        <v>30.2</v>
      </c>
      <c r="E57" s="7" t="s">
        <v>89</v>
      </c>
      <c r="F57" t="s">
        <v>90</v>
      </c>
      <c r="G57" s="1">
        <v>1000</v>
      </c>
      <c r="H57" s="1">
        <v>4.8</v>
      </c>
      <c r="I57" s="14">
        <v>12835</v>
      </c>
      <c r="J57" s="14"/>
      <c r="K57" s="1">
        <v>4.21</v>
      </c>
      <c r="L57" s="1">
        <v>1</v>
      </c>
      <c r="M57" s="7"/>
      <c r="N57" s="2">
        <f t="shared" si="13"/>
        <v>23.9</v>
      </c>
      <c r="O57" s="8">
        <f t="shared" si="9"/>
        <v>0.94193357999999971</v>
      </c>
      <c r="P57" s="9">
        <f t="shared" si="8"/>
        <v>3.8646675243797396E-5</v>
      </c>
      <c r="Q57" s="3"/>
      <c r="R57" s="1"/>
      <c r="S57" s="1"/>
      <c r="V57" s="1"/>
      <c r="W57" s="1"/>
      <c r="X57">
        <f t="shared" si="0"/>
        <v>6.6E-4</v>
      </c>
      <c r="Y57" s="16">
        <f t="shared" si="14"/>
        <v>0.14888999999999999</v>
      </c>
      <c r="Z57" s="10">
        <f t="shared" si="2"/>
        <v>0.66</v>
      </c>
      <c r="AA57" s="10">
        <f t="shared" si="15"/>
        <v>148.88999999999999</v>
      </c>
      <c r="AB57">
        <f t="shared" si="4"/>
        <v>1.2483</v>
      </c>
      <c r="AC57" s="33">
        <f t="shared" si="16"/>
        <v>319.23662999999999</v>
      </c>
      <c r="AD57" s="13">
        <f t="shared" si="6"/>
        <v>1.7579888000000001</v>
      </c>
      <c r="AE57" s="13">
        <f t="shared" si="17"/>
        <v>231.72167838000001</v>
      </c>
      <c r="AN57" s="7">
        <v>56</v>
      </c>
    </row>
    <row r="58" spans="1:40" customFormat="1" ht="14.4" x14ac:dyDescent="0.3">
      <c r="A58" s="6">
        <v>42916</v>
      </c>
      <c r="B58" s="32"/>
      <c r="C58" s="2">
        <v>23.9</v>
      </c>
      <c r="D58" s="2">
        <v>30.2</v>
      </c>
      <c r="E58" s="7" t="s">
        <v>89</v>
      </c>
      <c r="F58" t="s">
        <v>90</v>
      </c>
      <c r="G58" s="1">
        <v>1000</v>
      </c>
      <c r="H58" s="1">
        <v>5.62</v>
      </c>
      <c r="I58" s="14">
        <v>14571</v>
      </c>
      <c r="J58" s="14"/>
      <c r="K58" s="1">
        <v>4.7699999999999996</v>
      </c>
      <c r="L58" s="1">
        <v>1</v>
      </c>
      <c r="M58" s="7"/>
      <c r="N58" s="2">
        <f t="shared" si="13"/>
        <v>23.9</v>
      </c>
      <c r="O58" s="8">
        <f t="shared" si="9"/>
        <v>0.94193357999999971</v>
      </c>
      <c r="P58" s="9">
        <f t="shared" si="8"/>
        <v>3.8646675243797396E-5</v>
      </c>
      <c r="Q58" s="3"/>
      <c r="R58" s="1"/>
      <c r="S58" s="1"/>
      <c r="V58" s="1"/>
      <c r="W58" s="1"/>
      <c r="X58">
        <f t="shared" si="0"/>
        <v>8.2400000000000008E-4</v>
      </c>
      <c r="Y58" s="16">
        <f t="shared" si="14"/>
        <v>0.17072999999999997</v>
      </c>
      <c r="Z58" s="10">
        <f t="shared" si="2"/>
        <v>0.82400000000000007</v>
      </c>
      <c r="AA58" s="10">
        <f t="shared" si="15"/>
        <v>170.72999999999996</v>
      </c>
      <c r="AB58">
        <f t="shared" si="4"/>
        <v>1.5799900000000002</v>
      </c>
      <c r="AC58" s="33">
        <f t="shared" si="16"/>
        <v>366.05430999999999</v>
      </c>
      <c r="AD58" s="13">
        <f t="shared" si="6"/>
        <v>1.9767544680000002</v>
      </c>
      <c r="AE58" s="13">
        <f t="shared" si="17"/>
        <v>247.22369021999998</v>
      </c>
      <c r="AN58" s="7">
        <v>57</v>
      </c>
    </row>
    <row r="59" spans="1:40" customFormat="1" ht="14.4" x14ac:dyDescent="0.3">
      <c r="A59" s="6">
        <v>42916</v>
      </c>
      <c r="B59" s="32"/>
      <c r="C59" s="2">
        <v>23.9</v>
      </c>
      <c r="D59" s="2">
        <v>30.2</v>
      </c>
      <c r="E59" s="7" t="s">
        <v>89</v>
      </c>
      <c r="F59" t="s">
        <v>90</v>
      </c>
      <c r="G59" s="1">
        <v>1000</v>
      </c>
      <c r="H59" s="1">
        <v>4.12</v>
      </c>
      <c r="I59" s="14">
        <v>14394</v>
      </c>
      <c r="J59" s="14"/>
      <c r="K59" s="1">
        <v>4.37</v>
      </c>
      <c r="L59" s="1">
        <v>1</v>
      </c>
      <c r="M59" s="7"/>
      <c r="N59" s="2">
        <f t="shared" si="13"/>
        <v>23.9</v>
      </c>
      <c r="O59" s="8">
        <f t="shared" si="9"/>
        <v>0.94193357999999971</v>
      </c>
      <c r="P59" s="9">
        <f t="shared" si="8"/>
        <v>3.8646675243797396E-5</v>
      </c>
      <c r="Q59" s="3"/>
      <c r="R59" s="1"/>
      <c r="S59" s="1"/>
      <c r="V59" s="1"/>
      <c r="W59" s="1"/>
      <c r="X59">
        <f t="shared" si="0"/>
        <v>5.2400000000000016E-4</v>
      </c>
      <c r="Y59" s="16">
        <f t="shared" si="14"/>
        <v>0.15512999999999999</v>
      </c>
      <c r="Z59" s="10">
        <f t="shared" si="2"/>
        <v>0.52400000000000013</v>
      </c>
      <c r="AA59" s="10">
        <f t="shared" si="15"/>
        <v>155.13</v>
      </c>
      <c r="AB59">
        <f t="shared" si="4"/>
        <v>0.97324000000000011</v>
      </c>
      <c r="AC59" s="33">
        <f t="shared" si="16"/>
        <v>332.61311000000001</v>
      </c>
      <c r="AD59" s="13">
        <f t="shared" si="6"/>
        <v>1.5765427679999999</v>
      </c>
      <c r="AE59" s="13">
        <f t="shared" si="17"/>
        <v>236.14750942000001</v>
      </c>
      <c r="AN59" s="7">
        <v>58</v>
      </c>
    </row>
    <row r="60" spans="1:40" customFormat="1" ht="14.4" x14ac:dyDescent="0.3">
      <c r="A60" s="6">
        <v>42916</v>
      </c>
      <c r="B60" s="32"/>
      <c r="C60" s="2">
        <v>23.9</v>
      </c>
      <c r="D60" s="2">
        <v>30.2</v>
      </c>
      <c r="E60" s="7" t="s">
        <v>89</v>
      </c>
      <c r="F60" t="s">
        <v>90</v>
      </c>
      <c r="G60" s="1">
        <v>1000</v>
      </c>
      <c r="H60" s="1">
        <v>4.4400000000000004</v>
      </c>
      <c r="I60" s="14">
        <v>14188</v>
      </c>
      <c r="J60" s="14"/>
      <c r="K60" s="1">
        <v>5.4</v>
      </c>
      <c r="L60" s="1">
        <v>1</v>
      </c>
      <c r="M60" s="7"/>
      <c r="N60" s="2">
        <f t="shared" si="13"/>
        <v>23.9</v>
      </c>
      <c r="O60" s="8">
        <f t="shared" si="9"/>
        <v>0.94193357999999971</v>
      </c>
      <c r="P60" s="9">
        <f t="shared" si="8"/>
        <v>3.8646675243797396E-5</v>
      </c>
      <c r="Q60" s="3"/>
      <c r="R60" s="1"/>
      <c r="S60" s="1"/>
      <c r="V60" s="1"/>
      <c r="W60" s="1"/>
      <c r="X60">
        <f t="shared" si="0"/>
        <v>5.880000000000002E-4</v>
      </c>
      <c r="Y60" s="16">
        <f t="shared" si="14"/>
        <v>0.1953</v>
      </c>
      <c r="Z60" s="10">
        <f t="shared" si="2"/>
        <v>0.58800000000000019</v>
      </c>
      <c r="AA60" s="10">
        <f t="shared" si="15"/>
        <v>195.3</v>
      </c>
      <c r="AB60">
        <f t="shared" si="4"/>
        <v>1.1026800000000003</v>
      </c>
      <c r="AC60" s="33">
        <f t="shared" si="16"/>
        <v>418.7242</v>
      </c>
      <c r="AD60" s="13">
        <f t="shared" si="6"/>
        <v>1.6619325920000003</v>
      </c>
      <c r="AE60" s="13">
        <f t="shared" si="17"/>
        <v>264.70228800000001</v>
      </c>
      <c r="AN60" s="7">
        <v>59</v>
      </c>
    </row>
    <row r="61" spans="1:40" customFormat="1" ht="14.4" x14ac:dyDescent="0.3">
      <c r="A61" s="6">
        <v>42916</v>
      </c>
      <c r="B61" s="32"/>
      <c r="C61" s="2">
        <v>23.9</v>
      </c>
      <c r="D61" s="2">
        <v>30.2</v>
      </c>
      <c r="E61" s="7" t="s">
        <v>89</v>
      </c>
      <c r="F61" t="s">
        <v>90</v>
      </c>
      <c r="G61" s="1">
        <v>1000</v>
      </c>
      <c r="H61" s="1">
        <v>5.47</v>
      </c>
      <c r="I61" s="14">
        <v>12675</v>
      </c>
      <c r="J61" s="14"/>
      <c r="K61" s="1">
        <v>20.04</v>
      </c>
      <c r="L61" s="1">
        <v>2</v>
      </c>
      <c r="M61" s="7" t="s">
        <v>116</v>
      </c>
      <c r="N61" s="2">
        <f t="shared" si="13"/>
        <v>23.9</v>
      </c>
      <c r="O61" s="8">
        <f t="shared" si="9"/>
        <v>0.94193357999999971</v>
      </c>
      <c r="P61" s="9">
        <f t="shared" si="8"/>
        <v>3.8646675243797396E-5</v>
      </c>
      <c r="Q61" s="3"/>
      <c r="R61" s="1"/>
      <c r="S61" s="1"/>
      <c r="V61" s="1"/>
      <c r="W61" s="1"/>
      <c r="X61">
        <f t="shared" si="0"/>
        <v>7.94E-4</v>
      </c>
      <c r="Y61" s="16">
        <f t="shared" si="14"/>
        <v>1.3096559999999999</v>
      </c>
      <c r="Z61" s="10">
        <f t="shared" si="2"/>
        <v>0.79400000000000004</v>
      </c>
      <c r="AA61" s="10">
        <f t="shared" si="15"/>
        <v>1309.6559999999999</v>
      </c>
      <c r="AB61">
        <f t="shared" si="4"/>
        <v>1.519315</v>
      </c>
      <c r="AC61" s="33">
        <f t="shared" si="16"/>
        <v>2809.7438400000001</v>
      </c>
      <c r="AD61" s="13">
        <f t="shared" si="6"/>
        <v>1.936739373</v>
      </c>
      <c r="AE61" s="13">
        <f t="shared" si="17"/>
        <v>682.45164288000001</v>
      </c>
      <c r="AN61" s="7">
        <v>60</v>
      </c>
    </row>
    <row r="62" spans="1:40" customFormat="1" ht="14.4" x14ac:dyDescent="0.3">
      <c r="A62" s="6">
        <v>42916</v>
      </c>
      <c r="B62" s="32"/>
      <c r="C62" s="2">
        <v>23.9</v>
      </c>
      <c r="D62" s="2">
        <v>30.2</v>
      </c>
      <c r="E62" s="7" t="s">
        <v>89</v>
      </c>
      <c r="F62" t="s">
        <v>90</v>
      </c>
      <c r="G62" s="1">
        <v>1000</v>
      </c>
      <c r="H62" s="1">
        <v>4.76</v>
      </c>
      <c r="I62" s="14">
        <v>13851</v>
      </c>
      <c r="J62" s="14"/>
      <c r="K62" s="1">
        <v>6.87</v>
      </c>
      <c r="L62" s="1">
        <v>1</v>
      </c>
      <c r="M62" s="7"/>
      <c r="N62" s="2">
        <f t="shared" si="13"/>
        <v>23.9</v>
      </c>
      <c r="O62" s="8">
        <f t="shared" si="9"/>
        <v>0.94193357999999971</v>
      </c>
      <c r="P62" s="9">
        <f t="shared" si="8"/>
        <v>3.8646675243797396E-5</v>
      </c>
      <c r="Q62" s="3"/>
      <c r="R62" s="1"/>
      <c r="S62" s="1"/>
      <c r="V62" s="1"/>
      <c r="W62" s="1"/>
      <c r="X62">
        <f t="shared" si="0"/>
        <v>6.5200000000000002E-4</v>
      </c>
      <c r="Y62" s="16">
        <f t="shared" si="14"/>
        <v>0.25263000000000002</v>
      </c>
      <c r="Z62" s="10">
        <f t="shared" si="2"/>
        <v>0.65200000000000002</v>
      </c>
      <c r="AA62" s="10">
        <f t="shared" si="15"/>
        <v>252.63000000000002</v>
      </c>
      <c r="AB62">
        <f t="shared" si="4"/>
        <v>1.2321200000000001</v>
      </c>
      <c r="AC62" s="33">
        <f t="shared" si="16"/>
        <v>541.62061000000006</v>
      </c>
      <c r="AD62" s="13">
        <f t="shared" si="6"/>
        <v>1.7473162719999999</v>
      </c>
      <c r="AE62" s="13">
        <f t="shared" si="17"/>
        <v>305.64558941999996</v>
      </c>
      <c r="AN62" s="7">
        <v>61</v>
      </c>
    </row>
    <row r="63" spans="1:40" customFormat="1" ht="14.4" x14ac:dyDescent="0.3">
      <c r="A63" s="6">
        <v>42916</v>
      </c>
      <c r="B63" s="32"/>
      <c r="C63" s="2">
        <v>23.9</v>
      </c>
      <c r="D63" s="2">
        <v>30.2</v>
      </c>
      <c r="E63" s="7" t="s">
        <v>89</v>
      </c>
      <c r="F63" t="s">
        <v>90</v>
      </c>
      <c r="G63" s="1">
        <v>1000</v>
      </c>
      <c r="H63" s="1">
        <v>5.72</v>
      </c>
      <c r="I63" s="14">
        <v>14144</v>
      </c>
      <c r="J63" s="14"/>
      <c r="K63" s="1">
        <v>2.31</v>
      </c>
      <c r="L63" s="1">
        <v>1</v>
      </c>
      <c r="M63" s="7"/>
      <c r="N63" s="2">
        <f t="shared" si="13"/>
        <v>23.9</v>
      </c>
      <c r="O63" s="8">
        <f t="shared" si="9"/>
        <v>0.94193357999999971</v>
      </c>
      <c r="P63" s="9">
        <f t="shared" si="8"/>
        <v>3.8646675243797396E-5</v>
      </c>
      <c r="Q63" s="3"/>
      <c r="R63" s="1"/>
      <c r="S63" s="1"/>
      <c r="V63" s="1"/>
      <c r="W63" s="1"/>
      <c r="X63">
        <f t="shared" si="0"/>
        <v>8.4400000000000013E-4</v>
      </c>
      <c r="Y63" s="16">
        <f t="shared" si="14"/>
        <v>7.4790000000000009E-2</v>
      </c>
      <c r="Z63" s="10">
        <f t="shared" si="2"/>
        <v>0.84400000000000008</v>
      </c>
      <c r="AA63" s="10">
        <f t="shared" si="15"/>
        <v>74.79000000000002</v>
      </c>
      <c r="AB63">
        <f t="shared" si="4"/>
        <v>1.6204400000000001</v>
      </c>
      <c r="AC63" s="33">
        <f t="shared" si="16"/>
        <v>160.39093</v>
      </c>
      <c r="AD63" s="13">
        <f t="shared" si="6"/>
        <v>2.003430448</v>
      </c>
      <c r="AE63" s="13">
        <f t="shared" si="17"/>
        <v>179.36767997999999</v>
      </c>
      <c r="AN63" s="7">
        <v>62</v>
      </c>
    </row>
    <row r="64" spans="1:40" customFormat="1" ht="14.4" x14ac:dyDescent="0.3">
      <c r="A64" s="6">
        <v>42930</v>
      </c>
      <c r="B64" s="32"/>
      <c r="C64" s="2">
        <v>25.7</v>
      </c>
      <c r="D64" s="2">
        <v>30.23</v>
      </c>
      <c r="E64" s="7" t="s">
        <v>89</v>
      </c>
      <c r="F64" t="s">
        <v>90</v>
      </c>
      <c r="G64" s="1">
        <v>1000</v>
      </c>
      <c r="H64" s="1">
        <v>4.43</v>
      </c>
      <c r="I64" s="14">
        <v>15084</v>
      </c>
      <c r="J64" s="14"/>
      <c r="K64" s="1">
        <v>3.61</v>
      </c>
      <c r="L64" s="1">
        <v>1</v>
      </c>
      <c r="M64" s="7"/>
      <c r="N64" s="2">
        <f t="shared" si="13"/>
        <v>25.7</v>
      </c>
      <c r="O64" s="8">
        <f t="shared" si="9"/>
        <v>0.9429363719999998</v>
      </c>
      <c r="P64" s="9">
        <f t="shared" si="8"/>
        <v>3.8454798727235632E-5</v>
      </c>
      <c r="Q64" s="3"/>
      <c r="R64" s="1"/>
      <c r="S64" s="1"/>
      <c r="V64" s="1"/>
      <c r="W64" s="1"/>
      <c r="X64">
        <f t="shared" si="0"/>
        <v>5.8599999999999993E-4</v>
      </c>
      <c r="Y64" s="16">
        <f t="shared" si="1"/>
        <v>0.12548999999999999</v>
      </c>
      <c r="Z64" s="10">
        <f t="shared" si="2"/>
        <v>0.58599999999999985</v>
      </c>
      <c r="AA64" s="10">
        <f t="shared" si="3"/>
        <v>125.48999999999998</v>
      </c>
      <c r="AB64">
        <f t="shared" si="4"/>
        <v>1.098635</v>
      </c>
      <c r="AC64" s="33">
        <f t="shared" si="5"/>
        <v>269.07483000000002</v>
      </c>
      <c r="AD64" s="13">
        <f t="shared" si="6"/>
        <v>1.6592642529999999</v>
      </c>
      <c r="AE64" s="13">
        <f t="shared" si="7"/>
        <v>215.14843278000001</v>
      </c>
      <c r="AN64" s="7">
        <v>63</v>
      </c>
    </row>
    <row r="65" spans="1:40" customFormat="1" ht="14.4" x14ac:dyDescent="0.3">
      <c r="A65" s="6">
        <v>42930</v>
      </c>
      <c r="B65" s="32"/>
      <c r="C65" s="2">
        <v>25.7</v>
      </c>
      <c r="D65" s="2">
        <v>30.23</v>
      </c>
      <c r="E65" s="7" t="s">
        <v>89</v>
      </c>
      <c r="F65" t="s">
        <v>90</v>
      </c>
      <c r="G65" s="1">
        <v>1000</v>
      </c>
      <c r="H65" s="1">
        <v>4.83</v>
      </c>
      <c r="I65" s="14">
        <v>15040</v>
      </c>
      <c r="J65" s="14"/>
      <c r="K65" s="1">
        <v>8.34</v>
      </c>
      <c r="L65" s="1">
        <v>1</v>
      </c>
      <c r="M65" s="7"/>
      <c r="N65" s="2">
        <f t="shared" si="13"/>
        <v>25.7</v>
      </c>
      <c r="O65" s="8">
        <f t="shared" si="9"/>
        <v>0.9429363719999998</v>
      </c>
      <c r="P65" s="9">
        <f t="shared" si="8"/>
        <v>3.8454798727235632E-5</v>
      </c>
      <c r="Q65" s="3"/>
      <c r="R65" s="1"/>
      <c r="S65" s="1"/>
      <c r="V65" s="1"/>
      <c r="W65" s="1"/>
      <c r="X65">
        <f t="shared" si="0"/>
        <v>6.6600000000000014E-4</v>
      </c>
      <c r="Y65" s="16">
        <f t="shared" si="1"/>
        <v>0.30996000000000001</v>
      </c>
      <c r="Z65" s="10">
        <f t="shared" si="2"/>
        <v>0.66600000000000015</v>
      </c>
      <c r="AA65" s="10">
        <f t="shared" si="3"/>
        <v>309.95999999999998</v>
      </c>
      <c r="AB65">
        <f t="shared" si="4"/>
        <v>1.2604350000000002</v>
      </c>
      <c r="AC65" s="33">
        <f t="shared" si="5"/>
        <v>664.51702</v>
      </c>
      <c r="AD65" s="13">
        <f t="shared" si="6"/>
        <v>1.7659931329999998</v>
      </c>
      <c r="AE65" s="13">
        <f t="shared" si="7"/>
        <v>346.81276007999998</v>
      </c>
      <c r="AN65" s="7">
        <v>64</v>
      </c>
    </row>
    <row r="66" spans="1:40" customFormat="1" ht="14.4" x14ac:dyDescent="0.3">
      <c r="A66" s="6">
        <v>42930</v>
      </c>
      <c r="B66" s="32"/>
      <c r="C66" s="2">
        <v>25.7</v>
      </c>
      <c r="D66" s="2">
        <v>30.23</v>
      </c>
      <c r="E66" s="7" t="s">
        <v>89</v>
      </c>
      <c r="F66" t="s">
        <v>90</v>
      </c>
      <c r="G66" s="1">
        <v>1000</v>
      </c>
      <c r="H66" s="1">
        <v>3.7</v>
      </c>
      <c r="I66" s="14">
        <v>15012</v>
      </c>
      <c r="J66" s="14"/>
      <c r="K66" s="1">
        <v>9.07</v>
      </c>
      <c r="L66" s="1">
        <v>1</v>
      </c>
      <c r="M66" s="7"/>
      <c r="N66" s="2">
        <f t="shared" si="13"/>
        <v>25.7</v>
      </c>
      <c r="O66" s="8">
        <f t="shared" si="9"/>
        <v>0.9429363719999998</v>
      </c>
      <c r="P66" s="9">
        <f t="shared" si="8"/>
        <v>3.8454798727235632E-5</v>
      </c>
      <c r="Q66" s="3"/>
      <c r="R66" s="1"/>
      <c r="S66" s="1"/>
      <c r="V66" s="1"/>
      <c r="W66" s="1"/>
      <c r="X66">
        <f t="shared" si="0"/>
        <v>4.4000000000000012E-4</v>
      </c>
      <c r="Y66" s="16">
        <f t="shared" si="1"/>
        <v>0.33843000000000001</v>
      </c>
      <c r="Z66" s="10">
        <f t="shared" si="2"/>
        <v>0.44000000000000011</v>
      </c>
      <c r="AA66" s="10">
        <f t="shared" si="3"/>
        <v>338.43</v>
      </c>
      <c r="AB66">
        <f t="shared" si="4"/>
        <v>0.80335000000000023</v>
      </c>
      <c r="AC66" s="33">
        <f t="shared" si="5"/>
        <v>725.54720999999995</v>
      </c>
      <c r="AD66" s="13">
        <f t="shared" si="6"/>
        <v>1.4644593000000001</v>
      </c>
      <c r="AE66" s="13">
        <f t="shared" si="7"/>
        <v>367.33951181999998</v>
      </c>
      <c r="AN66" s="7">
        <v>65</v>
      </c>
    </row>
    <row r="67" spans="1:40" customFormat="1" ht="14.4" x14ac:dyDescent="0.3">
      <c r="A67" s="6">
        <v>42930</v>
      </c>
      <c r="B67" s="32"/>
      <c r="C67" s="2">
        <v>25.7</v>
      </c>
      <c r="D67" s="2">
        <v>30.23</v>
      </c>
      <c r="E67" s="7" t="s">
        <v>89</v>
      </c>
      <c r="F67" t="s">
        <v>90</v>
      </c>
      <c r="G67" s="1">
        <v>1000</v>
      </c>
      <c r="H67" s="1">
        <v>3.64</v>
      </c>
      <c r="I67" s="14">
        <v>15836</v>
      </c>
      <c r="J67" s="14"/>
      <c r="K67" s="1">
        <v>5.96</v>
      </c>
      <c r="L67" s="1">
        <v>1</v>
      </c>
      <c r="M67" s="7"/>
      <c r="N67" s="2">
        <f t="shared" si="13"/>
        <v>25.7</v>
      </c>
      <c r="O67" s="8">
        <f t="shared" si="9"/>
        <v>0.9429363719999998</v>
      </c>
      <c r="P67" s="9">
        <f t="shared" si="8"/>
        <v>3.8454798727235632E-5</v>
      </c>
      <c r="Q67" s="3"/>
      <c r="R67" s="1"/>
      <c r="S67" s="1"/>
      <c r="V67" s="1"/>
      <c r="W67" s="1"/>
      <c r="X67">
        <f t="shared" si="0"/>
        <v>4.2800000000000005E-4</v>
      </c>
      <c r="Y67" s="16">
        <f t="shared" si="1"/>
        <v>0.21714</v>
      </c>
      <c r="Z67" s="10">
        <f t="shared" si="2"/>
        <v>0.42800000000000005</v>
      </c>
      <c r="AA67" s="10">
        <f t="shared" si="3"/>
        <v>217.14</v>
      </c>
      <c r="AB67">
        <f t="shared" si="4"/>
        <v>0.77908000000000022</v>
      </c>
      <c r="AC67" s="33">
        <f t="shared" si="5"/>
        <v>465.54187999999999</v>
      </c>
      <c r="AD67" s="13">
        <f t="shared" si="6"/>
        <v>1.4484465120000001</v>
      </c>
      <c r="AE67" s="13">
        <f t="shared" si="7"/>
        <v>280.27333887999998</v>
      </c>
      <c r="AN67" s="7">
        <v>66</v>
      </c>
    </row>
    <row r="68" spans="1:40" customFormat="1" ht="14.4" x14ac:dyDescent="0.3">
      <c r="A68" s="6">
        <v>42937</v>
      </c>
      <c r="B68" s="32"/>
      <c r="C68" s="2">
        <v>23.6</v>
      </c>
      <c r="D68" s="2">
        <v>30.16</v>
      </c>
      <c r="E68" s="7" t="s">
        <v>89</v>
      </c>
      <c r="F68" t="s">
        <v>90</v>
      </c>
      <c r="G68" s="1">
        <v>1000</v>
      </c>
      <c r="H68" s="1">
        <v>9.32</v>
      </c>
      <c r="I68" s="14">
        <v>15611</v>
      </c>
      <c r="J68" s="14"/>
      <c r="K68" s="1">
        <v>3.36</v>
      </c>
      <c r="L68" s="1">
        <v>1</v>
      </c>
      <c r="M68" s="7"/>
      <c r="N68" s="2">
        <f t="shared" si="13"/>
        <v>23.6</v>
      </c>
      <c r="O68" s="8">
        <f t="shared" si="9"/>
        <v>0.94059652399999982</v>
      </c>
      <c r="P68" s="9">
        <f t="shared" si="8"/>
        <v>3.8630831530078796E-5</v>
      </c>
      <c r="Q68" s="3"/>
      <c r="R68" s="1"/>
      <c r="S68" s="1"/>
      <c r="V68" s="1"/>
      <c r="W68" s="1"/>
      <c r="X68">
        <f t="shared" si="0"/>
        <v>1.5640000000000003E-3</v>
      </c>
      <c r="Y68" s="16">
        <f t="shared" si="1"/>
        <v>0.11574</v>
      </c>
      <c r="Z68" s="10">
        <f t="shared" si="2"/>
        <v>1.5640000000000003</v>
      </c>
      <c r="AA68" s="10">
        <f t="shared" si="3"/>
        <v>115.74</v>
      </c>
      <c r="AB68">
        <f t="shared" si="4"/>
        <v>3.0766400000000003</v>
      </c>
      <c r="AC68" s="33">
        <f t="shared" si="5"/>
        <v>248.17407999999998</v>
      </c>
      <c r="AD68" s="13">
        <f t="shared" si="6"/>
        <v>2.9633661279999997</v>
      </c>
      <c r="AE68" s="13">
        <f t="shared" si="7"/>
        <v>208.25392127999999</v>
      </c>
      <c r="AN68" s="7">
        <v>67</v>
      </c>
    </row>
    <row r="69" spans="1:40" customFormat="1" ht="14.4" x14ac:dyDescent="0.3">
      <c r="A69" s="6">
        <v>42937</v>
      </c>
      <c r="B69" s="32"/>
      <c r="C69" s="2">
        <v>23.6</v>
      </c>
      <c r="D69" s="2">
        <v>30.16</v>
      </c>
      <c r="E69" s="7" t="s">
        <v>89</v>
      </c>
      <c r="F69" t="s">
        <v>90</v>
      </c>
      <c r="G69" s="1">
        <v>1000</v>
      </c>
      <c r="H69" s="1">
        <v>9.1300000000000008</v>
      </c>
      <c r="I69" s="14">
        <v>15569</v>
      </c>
      <c r="J69" s="14"/>
      <c r="K69" s="1">
        <v>3.99</v>
      </c>
      <c r="L69" s="1">
        <v>1</v>
      </c>
      <c r="M69" s="7"/>
      <c r="N69" s="2">
        <f t="shared" si="13"/>
        <v>23.6</v>
      </c>
      <c r="O69" s="8">
        <f t="shared" si="9"/>
        <v>0.94059652399999982</v>
      </c>
      <c r="P69" s="9">
        <f t="shared" si="8"/>
        <v>3.8630831530078796E-5</v>
      </c>
      <c r="Q69" s="3"/>
      <c r="R69" s="1"/>
      <c r="S69" s="1"/>
      <c r="V69" s="1"/>
      <c r="W69" s="1"/>
      <c r="X69">
        <f t="shared" si="0"/>
        <v>1.5260000000000002E-3</v>
      </c>
      <c r="Y69" s="16">
        <f t="shared" si="1"/>
        <v>0.14030999999999999</v>
      </c>
      <c r="Z69" s="10">
        <f t="shared" si="2"/>
        <v>1.5260000000000002</v>
      </c>
      <c r="AA69" s="10">
        <f t="shared" si="3"/>
        <v>140.31</v>
      </c>
      <c r="AB69">
        <f t="shared" si="4"/>
        <v>2.9997850000000001</v>
      </c>
      <c r="AC69" s="33">
        <f t="shared" si="5"/>
        <v>300.84397000000001</v>
      </c>
      <c r="AD69" s="13">
        <f t="shared" si="6"/>
        <v>2.9127222930000003</v>
      </c>
      <c r="AE69" s="13">
        <f t="shared" si="7"/>
        <v>225.64049118000003</v>
      </c>
      <c r="AN69" s="7">
        <v>68</v>
      </c>
    </row>
    <row r="70" spans="1:40" customFormat="1" ht="14.4" x14ac:dyDescent="0.3">
      <c r="A70" s="6">
        <v>42937</v>
      </c>
      <c r="B70" s="32"/>
      <c r="C70" s="2">
        <v>23.6</v>
      </c>
      <c r="D70" s="2">
        <v>30.16</v>
      </c>
      <c r="E70" s="7" t="s">
        <v>89</v>
      </c>
      <c r="F70" t="s">
        <v>90</v>
      </c>
      <c r="G70" s="1">
        <v>1000</v>
      </c>
      <c r="H70" s="1">
        <v>5.27</v>
      </c>
      <c r="I70" s="14">
        <v>15594</v>
      </c>
      <c r="J70" s="14"/>
      <c r="K70" s="1">
        <v>4.24</v>
      </c>
      <c r="L70" s="1">
        <v>1</v>
      </c>
      <c r="M70" s="7"/>
      <c r="N70" s="2">
        <f t="shared" si="13"/>
        <v>23.6</v>
      </c>
      <c r="O70" s="8">
        <f t="shared" si="9"/>
        <v>0.94059652399999982</v>
      </c>
      <c r="P70" s="9">
        <f t="shared" si="8"/>
        <v>3.8630831530078796E-5</v>
      </c>
      <c r="Q70" s="3"/>
      <c r="R70" s="1"/>
      <c r="S70" s="1"/>
      <c r="V70" s="1"/>
      <c r="W70" s="1"/>
      <c r="X70">
        <f t="shared" si="0"/>
        <v>7.5400000000000011E-4</v>
      </c>
      <c r="Y70" s="16">
        <f t="shared" si="1"/>
        <v>0.15006</v>
      </c>
      <c r="Z70" s="10">
        <f t="shared" si="2"/>
        <v>0.75400000000000011</v>
      </c>
      <c r="AA70" s="10">
        <f t="shared" si="3"/>
        <v>150.06</v>
      </c>
      <c r="AB70">
        <f t="shared" si="4"/>
        <v>1.4384149999999998</v>
      </c>
      <c r="AC70" s="33">
        <f t="shared" si="5"/>
        <v>321.74472000000003</v>
      </c>
      <c r="AD70" s="13">
        <f t="shared" si="6"/>
        <v>1.883383813</v>
      </c>
      <c r="AE70" s="13">
        <f t="shared" si="7"/>
        <v>232.55131968000001</v>
      </c>
      <c r="AN70" s="7">
        <v>69</v>
      </c>
    </row>
    <row r="71" spans="1:40" customFormat="1" ht="14.4" x14ac:dyDescent="0.3">
      <c r="A71" s="6">
        <v>42937</v>
      </c>
      <c r="B71" s="32"/>
      <c r="C71" s="2">
        <v>23.6</v>
      </c>
      <c r="D71" s="2">
        <v>30.16</v>
      </c>
      <c r="E71" s="7" t="s">
        <v>89</v>
      </c>
      <c r="F71" t="s">
        <v>90</v>
      </c>
      <c r="G71" s="1">
        <v>1000</v>
      </c>
      <c r="H71" s="1">
        <v>7.85</v>
      </c>
      <c r="I71" s="14">
        <v>15496</v>
      </c>
      <c r="J71" s="14"/>
      <c r="K71" s="1">
        <v>4.43</v>
      </c>
      <c r="L71" s="1">
        <v>1</v>
      </c>
      <c r="M71" s="7"/>
      <c r="N71" s="2">
        <f t="shared" si="13"/>
        <v>23.6</v>
      </c>
      <c r="O71" s="8">
        <f t="shared" si="9"/>
        <v>0.94059652399999982</v>
      </c>
      <c r="P71" s="9">
        <f t="shared" si="8"/>
        <v>3.8630831530078796E-5</v>
      </c>
      <c r="Q71" s="3"/>
      <c r="R71" s="1"/>
      <c r="S71" s="1"/>
      <c r="V71" s="1"/>
      <c r="W71" s="1"/>
      <c r="X71">
        <f t="shared" si="0"/>
        <v>1.2700000000000001E-3</v>
      </c>
      <c r="Y71" s="16">
        <f t="shared" si="1"/>
        <v>0.15746999999999997</v>
      </c>
      <c r="Z71" s="10">
        <f t="shared" si="2"/>
        <v>1.27</v>
      </c>
      <c r="AA71" s="10">
        <f t="shared" si="3"/>
        <v>157.46999999999997</v>
      </c>
      <c r="AB71">
        <f t="shared" si="4"/>
        <v>2.4820250000000001</v>
      </c>
      <c r="AC71" s="33">
        <f t="shared" si="5"/>
        <v>337.62928999999997</v>
      </c>
      <c r="AD71" s="13">
        <f t="shared" si="6"/>
        <v>2.5714863249999995</v>
      </c>
      <c r="AE71" s="13">
        <f t="shared" si="7"/>
        <v>237.80787981999998</v>
      </c>
      <c r="AN71" s="7">
        <v>70</v>
      </c>
    </row>
    <row r="72" spans="1:40" customFormat="1" ht="14.4" x14ac:dyDescent="0.3">
      <c r="A72" s="6">
        <v>42937</v>
      </c>
      <c r="B72" s="32"/>
      <c r="C72" s="2">
        <v>23.6</v>
      </c>
      <c r="D72" s="2">
        <v>30.16</v>
      </c>
      <c r="E72" s="7" t="s">
        <v>89</v>
      </c>
      <c r="F72" t="s">
        <v>90</v>
      </c>
      <c r="G72" s="1">
        <v>1000</v>
      </c>
      <c r="H72" s="1">
        <v>7.24</v>
      </c>
      <c r="I72" s="14">
        <v>15305</v>
      </c>
      <c r="J72" s="14"/>
      <c r="K72" s="1">
        <v>4.2699999999999996</v>
      </c>
      <c r="L72" s="1">
        <v>1</v>
      </c>
      <c r="M72" s="7"/>
      <c r="N72" s="2">
        <f t="shared" si="13"/>
        <v>23.6</v>
      </c>
      <c r="O72" s="8">
        <f t="shared" si="9"/>
        <v>0.94059652399999982</v>
      </c>
      <c r="P72" s="9">
        <f t="shared" si="8"/>
        <v>3.8630831530078796E-5</v>
      </c>
      <c r="Q72" s="3"/>
      <c r="R72" s="1"/>
      <c r="S72" s="1"/>
      <c r="V72" s="1"/>
      <c r="W72" s="1"/>
      <c r="X72">
        <f t="shared" si="0"/>
        <v>1.1480000000000001E-3</v>
      </c>
      <c r="Y72" s="16">
        <f t="shared" si="1"/>
        <v>0.15122999999999998</v>
      </c>
      <c r="Z72" s="10">
        <f t="shared" si="2"/>
        <v>1.1480000000000001</v>
      </c>
      <c r="AA72" s="10">
        <f t="shared" si="3"/>
        <v>151.22999999999996</v>
      </c>
      <c r="AB72">
        <f t="shared" si="4"/>
        <v>2.2352800000000004</v>
      </c>
      <c r="AC72" s="33">
        <f t="shared" si="5"/>
        <v>324.25280999999995</v>
      </c>
      <c r="AD72" s="13">
        <f t="shared" si="6"/>
        <v>2.4088314720000001</v>
      </c>
      <c r="AE72" s="13">
        <f t="shared" si="7"/>
        <v>233.38105421999998</v>
      </c>
      <c r="AN72" s="7">
        <v>71</v>
      </c>
    </row>
    <row r="73" spans="1:40" customFormat="1" ht="14.4" x14ac:dyDescent="0.3">
      <c r="A73" s="6">
        <v>42944</v>
      </c>
      <c r="B73" s="32"/>
      <c r="C73" s="2">
        <v>22.3</v>
      </c>
      <c r="D73" s="2">
        <v>29.97</v>
      </c>
      <c r="E73" s="7" t="s">
        <v>89</v>
      </c>
      <c r="F73" t="s">
        <v>90</v>
      </c>
      <c r="G73" s="1">
        <v>1000</v>
      </c>
      <c r="H73" s="1">
        <v>8.32</v>
      </c>
      <c r="I73" s="14">
        <v>15571</v>
      </c>
      <c r="J73" s="14"/>
      <c r="K73" s="1">
        <v>5.35</v>
      </c>
      <c r="L73" s="1">
        <v>1</v>
      </c>
      <c r="M73" s="7"/>
      <c r="N73" s="2">
        <f t="shared" si="13"/>
        <v>22.3</v>
      </c>
      <c r="O73" s="8">
        <f t="shared" si="9"/>
        <v>0.93424550799999984</v>
      </c>
      <c r="P73" s="9">
        <f t="shared" si="8"/>
        <v>3.8538822269791816E-5</v>
      </c>
      <c r="Q73" s="3"/>
      <c r="R73" s="1"/>
      <c r="S73" s="1"/>
      <c r="V73" s="1"/>
      <c r="W73" s="1"/>
      <c r="X73">
        <f t="shared" si="0"/>
        <v>1.3640000000000002E-3</v>
      </c>
      <c r="Y73" s="16">
        <f t="shared" si="1"/>
        <v>0.19334999999999997</v>
      </c>
      <c r="Z73" s="10">
        <f t="shared" si="2"/>
        <v>1.3640000000000003</v>
      </c>
      <c r="AA73" s="10">
        <f t="shared" si="3"/>
        <v>193.34999999999997</v>
      </c>
      <c r="AB73">
        <f t="shared" si="4"/>
        <v>2.6721400000000006</v>
      </c>
      <c r="AC73" s="33">
        <f t="shared" si="5"/>
        <v>414.54404999999997</v>
      </c>
      <c r="AD73" s="13">
        <f t="shared" si="6"/>
        <v>2.6967953280000003</v>
      </c>
      <c r="AE73" s="13">
        <f t="shared" si="7"/>
        <v>263.31359549999996</v>
      </c>
      <c r="AN73" s="7">
        <v>72</v>
      </c>
    </row>
    <row r="74" spans="1:40" customFormat="1" ht="14.4" x14ac:dyDescent="0.3">
      <c r="A74" s="6">
        <v>42944</v>
      </c>
      <c r="B74" s="32"/>
      <c r="C74" s="2">
        <v>22.3</v>
      </c>
      <c r="D74" s="2">
        <v>29.97</v>
      </c>
      <c r="E74" s="7" t="s">
        <v>89</v>
      </c>
      <c r="F74" t="s">
        <v>90</v>
      </c>
      <c r="G74" s="1">
        <v>1000</v>
      </c>
      <c r="H74" s="1">
        <v>6.4</v>
      </c>
      <c r="I74" s="14"/>
      <c r="J74" s="14"/>
      <c r="K74" s="1">
        <v>5.07</v>
      </c>
      <c r="L74" s="1">
        <v>1</v>
      </c>
      <c r="M74" s="7"/>
      <c r="N74" s="2">
        <f t="shared" si="13"/>
        <v>22.3</v>
      </c>
      <c r="O74" s="8">
        <f t="shared" si="9"/>
        <v>0.93424550799999984</v>
      </c>
      <c r="P74" s="9">
        <f t="shared" si="8"/>
        <v>3.8538822269791816E-5</v>
      </c>
      <c r="Q74" s="3"/>
      <c r="R74" s="1"/>
      <c r="S74" s="1"/>
      <c r="V74" s="1"/>
      <c r="W74" s="1"/>
      <c r="X74">
        <f t="shared" si="0"/>
        <v>9.8000000000000019E-4</v>
      </c>
      <c r="Y74" s="16">
        <f t="shared" si="1"/>
        <v>0.18243000000000001</v>
      </c>
      <c r="Z74" s="10">
        <f t="shared" si="2"/>
        <v>0.9800000000000002</v>
      </c>
      <c r="AA74" s="10">
        <f t="shared" si="3"/>
        <v>182.43</v>
      </c>
      <c r="AB74">
        <f t="shared" si="4"/>
        <v>1.8955000000000004</v>
      </c>
      <c r="AC74" s="33">
        <f t="shared" si="5"/>
        <v>391.13521000000003</v>
      </c>
      <c r="AD74" s="13">
        <f t="shared" si="6"/>
        <v>2.1848112</v>
      </c>
      <c r="AE74" s="13">
        <f t="shared" si="7"/>
        <v>255.54170382000001</v>
      </c>
      <c r="AN74" s="7">
        <v>73</v>
      </c>
    </row>
    <row r="75" spans="1:40" customFormat="1" ht="14.4" x14ac:dyDescent="0.3">
      <c r="A75" s="6">
        <v>42944</v>
      </c>
      <c r="B75" s="32"/>
      <c r="C75" s="2">
        <v>22.3</v>
      </c>
      <c r="D75" s="2">
        <v>29.97</v>
      </c>
      <c r="E75" s="7" t="s">
        <v>89</v>
      </c>
      <c r="F75" t="s">
        <v>90</v>
      </c>
      <c r="G75" s="1">
        <v>1000</v>
      </c>
      <c r="H75" s="1">
        <v>4.95</v>
      </c>
      <c r="I75" s="14">
        <v>15651</v>
      </c>
      <c r="J75" s="14"/>
      <c r="K75" s="1">
        <v>4.3099999999999996</v>
      </c>
      <c r="L75" s="1">
        <v>1</v>
      </c>
      <c r="M75" s="7"/>
      <c r="N75" s="2">
        <f t="shared" si="13"/>
        <v>22.3</v>
      </c>
      <c r="O75" s="8">
        <f t="shared" si="9"/>
        <v>0.93424550799999984</v>
      </c>
      <c r="P75" s="9">
        <f t="shared" si="8"/>
        <v>3.8538822269791816E-5</v>
      </c>
      <c r="Q75" s="3"/>
      <c r="R75" s="1"/>
      <c r="S75" s="1"/>
      <c r="V75" s="1"/>
      <c r="W75" s="1"/>
      <c r="X75">
        <f t="shared" si="0"/>
        <v>6.9000000000000008E-4</v>
      </c>
      <c r="Y75" s="16">
        <f t="shared" si="1"/>
        <v>0.15278999999999998</v>
      </c>
      <c r="Z75" s="10">
        <f t="shared" si="2"/>
        <v>0.69000000000000017</v>
      </c>
      <c r="AA75" s="10">
        <f t="shared" si="3"/>
        <v>152.78999999999996</v>
      </c>
      <c r="AB75">
        <f t="shared" si="4"/>
        <v>1.308975</v>
      </c>
      <c r="AC75" s="33">
        <f t="shared" si="5"/>
        <v>327.59692999999993</v>
      </c>
      <c r="AD75" s="13">
        <f t="shared" si="6"/>
        <v>1.7980099250000001</v>
      </c>
      <c r="AE75" s="13">
        <f t="shared" si="7"/>
        <v>234.48751197999997</v>
      </c>
      <c r="AN75" s="7">
        <v>74</v>
      </c>
    </row>
    <row r="76" spans="1:40" customFormat="1" ht="14.4" x14ac:dyDescent="0.3">
      <c r="A76" s="6">
        <v>42944</v>
      </c>
      <c r="B76" s="32"/>
      <c r="C76" s="2">
        <v>22.3</v>
      </c>
      <c r="D76" s="2">
        <v>29.97</v>
      </c>
      <c r="E76" s="7" t="s">
        <v>89</v>
      </c>
      <c r="F76" t="s">
        <v>90</v>
      </c>
      <c r="G76" s="1">
        <v>1000</v>
      </c>
      <c r="H76" s="1">
        <v>6.08</v>
      </c>
      <c r="I76" s="14">
        <v>15388</v>
      </c>
      <c r="J76" s="14"/>
      <c r="K76" s="1">
        <v>5.34</v>
      </c>
      <c r="L76" s="1">
        <v>1</v>
      </c>
      <c r="M76" s="7"/>
      <c r="N76" s="2">
        <f t="shared" si="13"/>
        <v>22.3</v>
      </c>
      <c r="O76" s="8">
        <f t="shared" si="9"/>
        <v>0.93424550799999984</v>
      </c>
      <c r="P76" s="9">
        <f t="shared" si="8"/>
        <v>3.8538822269791816E-5</v>
      </c>
      <c r="Q76" s="3"/>
      <c r="R76" s="1"/>
      <c r="S76" s="1"/>
      <c r="V76" s="1"/>
      <c r="W76" s="1"/>
      <c r="X76">
        <f t="shared" si="0"/>
        <v>9.1600000000000015E-4</v>
      </c>
      <c r="Y76" s="16">
        <f t="shared" si="1"/>
        <v>0.19295999999999999</v>
      </c>
      <c r="Z76" s="10">
        <f t="shared" si="2"/>
        <v>0.91600000000000015</v>
      </c>
      <c r="AA76" s="10">
        <f t="shared" si="3"/>
        <v>192.96</v>
      </c>
      <c r="AB76">
        <f t="shared" si="4"/>
        <v>1.7660600000000002</v>
      </c>
      <c r="AC76" s="33">
        <f t="shared" si="5"/>
        <v>413.70801999999992</v>
      </c>
      <c r="AD76" s="13">
        <f t="shared" si="6"/>
        <v>2.0994590080000002</v>
      </c>
      <c r="AE76" s="13">
        <f t="shared" si="7"/>
        <v>263.03588807999995</v>
      </c>
      <c r="AN76" s="7">
        <v>75</v>
      </c>
    </row>
    <row r="77" spans="1:40" customFormat="1" ht="14.4" x14ac:dyDescent="0.3">
      <c r="A77" s="6">
        <v>42944</v>
      </c>
      <c r="B77" s="32"/>
      <c r="C77" s="2">
        <v>22.3</v>
      </c>
      <c r="D77" s="2">
        <v>29.97</v>
      </c>
      <c r="E77" s="7" t="s">
        <v>89</v>
      </c>
      <c r="F77" t="s">
        <v>90</v>
      </c>
      <c r="G77" s="1">
        <v>1000</v>
      </c>
      <c r="H77" s="1">
        <v>4.07</v>
      </c>
      <c r="I77" s="14">
        <v>16985</v>
      </c>
      <c r="J77" s="14"/>
      <c r="K77" s="1">
        <v>5.41</v>
      </c>
      <c r="L77" s="1">
        <v>1</v>
      </c>
      <c r="M77" s="7"/>
      <c r="N77" s="2">
        <f t="shared" si="13"/>
        <v>22.3</v>
      </c>
      <c r="O77" s="8">
        <f t="shared" si="9"/>
        <v>0.93424550799999984</v>
      </c>
      <c r="P77" s="9">
        <f t="shared" si="8"/>
        <v>3.8538822269791816E-5</v>
      </c>
      <c r="Q77" s="3"/>
      <c r="R77" s="1"/>
      <c r="S77" s="1"/>
      <c r="V77" s="1"/>
      <c r="W77" s="1"/>
      <c r="X77">
        <f t="shared" si="0"/>
        <v>5.1400000000000013E-4</v>
      </c>
      <c r="Y77" s="16">
        <f t="shared" si="1"/>
        <v>0.19569</v>
      </c>
      <c r="Z77" s="10">
        <f t="shared" si="2"/>
        <v>0.51400000000000012</v>
      </c>
      <c r="AA77" s="10">
        <f t="shared" si="3"/>
        <v>195.69</v>
      </c>
      <c r="AB77">
        <f t="shared" si="4"/>
        <v>0.95301500000000017</v>
      </c>
      <c r="AC77" s="33">
        <f t="shared" si="5"/>
        <v>419.56022999999993</v>
      </c>
      <c r="AD77" s="13">
        <f t="shared" si="6"/>
        <v>1.5632000530000001</v>
      </c>
      <c r="AE77" s="13">
        <f t="shared" si="7"/>
        <v>264.98005757999999</v>
      </c>
      <c r="AN77" s="7">
        <v>76</v>
      </c>
    </row>
    <row r="78" spans="1:40" customFormat="1" ht="14.4" x14ac:dyDescent="0.3">
      <c r="A78" s="6">
        <v>42951</v>
      </c>
      <c r="B78" s="32"/>
      <c r="C78" s="2">
        <v>22.7</v>
      </c>
      <c r="D78" s="2">
        <v>30.14</v>
      </c>
      <c r="E78" s="7" t="s">
        <v>89</v>
      </c>
      <c r="F78" t="s">
        <v>90</v>
      </c>
      <c r="G78" s="1">
        <v>1000</v>
      </c>
      <c r="H78" s="1">
        <v>3.84</v>
      </c>
      <c r="I78" s="14">
        <v>15554</v>
      </c>
      <c r="J78" s="14"/>
      <c r="K78" s="1">
        <v>5.14</v>
      </c>
      <c r="L78" s="1">
        <v>1</v>
      </c>
      <c r="M78" s="7"/>
      <c r="N78" s="2">
        <f t="shared" si="13"/>
        <v>22.7</v>
      </c>
      <c r="O78" s="8">
        <f t="shared" si="9"/>
        <v>0.93992799599999977</v>
      </c>
      <c r="P78" s="9">
        <f t="shared" ref="P78:P104" si="18">(O78*(G78/1000000))/(0.08205*(N78+273.15))</f>
        <v>3.8720809343387917E-5</v>
      </c>
      <c r="Q78" s="3"/>
      <c r="R78" s="1"/>
      <c r="S78" s="1"/>
      <c r="V78" s="1"/>
      <c r="W78" s="1"/>
      <c r="X78">
        <f t="shared" ref="X78:X104" si="19">IF(H78&lt;30,((0.0002*H78)-0.0003),(IF(H78&lt;5000,((0.0002*H78)+0.0048),((0.0002*H78)+0.0667))))</f>
        <v>4.6800000000000005E-4</v>
      </c>
      <c r="Y78" s="16">
        <f t="shared" ref="Y78:Y104" si="20">IF(K78&lt;15,((0.039*K78)-0.0153),((0.0364*K78)+0.5802))</f>
        <v>0.18515999999999999</v>
      </c>
      <c r="Z78" s="10">
        <f t="shared" ref="Z78:Z104" si="21">X78*1000000/G78</f>
        <v>0.46800000000000008</v>
      </c>
      <c r="AA78" s="10">
        <f t="shared" ref="AA78:AA104" si="22">Y78*1000000/G78</f>
        <v>185.16</v>
      </c>
      <c r="AB78">
        <f t="shared" ref="AB78:AB104" si="23">IF(H78&lt;30,((0.4045*H78)-0.6933),(IF(H78&lt;5000,((0.3645*H78)+10.283),((0.5183*H78)+143.13))))</f>
        <v>0.85997999999999997</v>
      </c>
      <c r="AC78" s="33">
        <f t="shared" ref="AC78:AC104" si="24">IF(K78&lt;15,((83.603*K78)-32.732),((78.096*K78)+1244.7))</f>
        <v>396.98741999999993</v>
      </c>
      <c r="AD78" s="13">
        <f t="shared" ref="AD78:AD104" si="25">(IF(H78&lt;601, ((-0.00003*H78^2)+(0.2671*H78)+0.4766), (IF(H78&lt;19001,((0.1503*H78)+59.75),((0.000005*H78^2)-(0.0565*H78)+2184)))))*(1000/G78)</f>
        <v>1.501821632</v>
      </c>
      <c r="AE78" s="13">
        <f t="shared" ref="AE78:AE104" si="26">((0.0518*K78^2)+(27.217*K78)+116.22)*(1000/G78)</f>
        <v>257.48391528000002</v>
      </c>
      <c r="AN78" s="7">
        <v>77</v>
      </c>
    </row>
    <row r="79" spans="1:40" customFormat="1" ht="14.4" x14ac:dyDescent="0.3">
      <c r="A79" s="6">
        <v>42951</v>
      </c>
      <c r="B79" s="32"/>
      <c r="C79" s="2">
        <v>22.7</v>
      </c>
      <c r="D79" s="2">
        <v>30.14</v>
      </c>
      <c r="E79" s="7" t="s">
        <v>89</v>
      </c>
      <c r="F79" t="s">
        <v>90</v>
      </c>
      <c r="G79" s="1">
        <v>1000</v>
      </c>
      <c r="H79" s="1">
        <v>4.72</v>
      </c>
      <c r="I79" s="14">
        <v>15440</v>
      </c>
      <c r="J79" s="14"/>
      <c r="K79" s="1">
        <v>5.32</v>
      </c>
      <c r="L79" s="1">
        <v>1</v>
      </c>
      <c r="M79" s="7"/>
      <c r="N79" s="2">
        <f t="shared" si="13"/>
        <v>22.7</v>
      </c>
      <c r="O79" s="8">
        <f t="shared" si="9"/>
        <v>0.93992799599999977</v>
      </c>
      <c r="P79" s="9">
        <f t="shared" si="18"/>
        <v>3.8720809343387917E-5</v>
      </c>
      <c r="Q79" s="3"/>
      <c r="R79" s="1"/>
      <c r="S79" s="1"/>
      <c r="V79" s="1"/>
      <c r="W79" s="1"/>
      <c r="X79">
        <f t="shared" si="19"/>
        <v>6.4400000000000004E-4</v>
      </c>
      <c r="Y79" s="16">
        <f t="shared" si="20"/>
        <v>0.19217999999999999</v>
      </c>
      <c r="Z79" s="10">
        <f t="shared" si="21"/>
        <v>0.64400000000000002</v>
      </c>
      <c r="AA79" s="10">
        <f t="shared" si="22"/>
        <v>192.18</v>
      </c>
      <c r="AB79">
        <f t="shared" si="23"/>
        <v>1.21594</v>
      </c>
      <c r="AC79" s="33">
        <f t="shared" si="24"/>
        <v>412.03596000000005</v>
      </c>
      <c r="AD79" s="13">
        <f t="shared" si="25"/>
        <v>1.7366436480000003</v>
      </c>
      <c r="AE79" s="13">
        <f t="shared" si="26"/>
        <v>262.48050432000002</v>
      </c>
      <c r="AN79" s="7">
        <v>78</v>
      </c>
    </row>
    <row r="80" spans="1:40" customFormat="1" ht="14.4" x14ac:dyDescent="0.3">
      <c r="A80" s="6">
        <v>42951</v>
      </c>
      <c r="B80" s="32"/>
      <c r="C80" s="2">
        <v>22.7</v>
      </c>
      <c r="D80" s="2">
        <v>30.14</v>
      </c>
      <c r="E80" s="7" t="s">
        <v>89</v>
      </c>
      <c r="F80" t="s">
        <v>90</v>
      </c>
      <c r="G80" s="1">
        <v>1000</v>
      </c>
      <c r="H80" s="1">
        <v>5.14</v>
      </c>
      <c r="I80" s="14">
        <v>15376</v>
      </c>
      <c r="J80" s="14"/>
      <c r="K80" s="1">
        <v>3.96</v>
      </c>
      <c r="L80" s="1">
        <v>1</v>
      </c>
      <c r="M80" s="7"/>
      <c r="N80" s="2">
        <f t="shared" si="13"/>
        <v>22.7</v>
      </c>
      <c r="O80" s="8">
        <f t="shared" si="9"/>
        <v>0.93992799599999977</v>
      </c>
      <c r="P80" s="9">
        <f t="shared" si="18"/>
        <v>3.8720809343387917E-5</v>
      </c>
      <c r="Q80" s="3"/>
      <c r="R80" s="1"/>
      <c r="S80" s="1"/>
      <c r="V80" s="1"/>
      <c r="W80" s="1"/>
      <c r="X80">
        <f t="shared" si="19"/>
        <v>7.2800000000000013E-4</v>
      </c>
      <c r="Y80" s="16">
        <f t="shared" si="20"/>
        <v>0.13913999999999999</v>
      </c>
      <c r="Z80" s="10">
        <f t="shared" si="21"/>
        <v>0.72800000000000009</v>
      </c>
      <c r="AA80" s="10">
        <f t="shared" si="22"/>
        <v>139.13999999999999</v>
      </c>
      <c r="AB80">
        <f t="shared" si="23"/>
        <v>1.3858300000000001</v>
      </c>
      <c r="AC80" s="33">
        <f t="shared" si="24"/>
        <v>298.33587999999997</v>
      </c>
      <c r="AD80" s="13">
        <f t="shared" si="25"/>
        <v>1.848701412</v>
      </c>
      <c r="AE80" s="13">
        <f t="shared" si="26"/>
        <v>224.81162688000001</v>
      </c>
      <c r="AN80" s="7">
        <v>79</v>
      </c>
    </row>
    <row r="81" spans="1:40" customFormat="1" ht="14.4" x14ac:dyDescent="0.3">
      <c r="A81" s="6">
        <v>42951</v>
      </c>
      <c r="B81" s="32"/>
      <c r="C81" s="2">
        <v>22.7</v>
      </c>
      <c r="D81" s="2">
        <v>30.14</v>
      </c>
      <c r="E81" s="7" t="s">
        <v>89</v>
      </c>
      <c r="F81" t="s">
        <v>90</v>
      </c>
      <c r="G81" s="1">
        <v>1000</v>
      </c>
      <c r="H81" s="1">
        <v>5.46</v>
      </c>
      <c r="I81" s="14">
        <v>15388</v>
      </c>
      <c r="J81" s="14"/>
      <c r="K81" s="1">
        <v>3.86</v>
      </c>
      <c r="L81" s="1">
        <v>1</v>
      </c>
      <c r="M81" s="7"/>
      <c r="N81" s="2">
        <f t="shared" si="13"/>
        <v>22.7</v>
      </c>
      <c r="O81" s="8">
        <f t="shared" ref="O81:O104" si="27">0.001316*((D81*25.4)-(2.5*2053/100))</f>
        <v>0.93992799599999977</v>
      </c>
      <c r="P81" s="9">
        <f t="shared" si="18"/>
        <v>3.8720809343387917E-5</v>
      </c>
      <c r="Q81" s="3"/>
      <c r="R81" s="1"/>
      <c r="S81" s="1"/>
      <c r="V81" s="1"/>
      <c r="W81" s="1"/>
      <c r="X81">
        <f t="shared" si="19"/>
        <v>7.9200000000000017E-4</v>
      </c>
      <c r="Y81" s="16">
        <f t="shared" si="20"/>
        <v>0.13524</v>
      </c>
      <c r="Z81" s="10">
        <f t="shared" si="21"/>
        <v>0.79200000000000015</v>
      </c>
      <c r="AA81" s="10">
        <f t="shared" si="22"/>
        <v>135.24</v>
      </c>
      <c r="AB81">
        <f t="shared" si="23"/>
        <v>1.5152699999999999</v>
      </c>
      <c r="AC81" s="33">
        <f t="shared" si="24"/>
        <v>289.97557999999992</v>
      </c>
      <c r="AD81" s="13">
        <f t="shared" si="25"/>
        <v>1.9340716520000001</v>
      </c>
      <c r="AE81" s="13">
        <f t="shared" si="26"/>
        <v>222.04941928</v>
      </c>
      <c r="AN81" s="7">
        <v>80</v>
      </c>
    </row>
    <row r="82" spans="1:40" customFormat="1" ht="14.4" x14ac:dyDescent="0.3">
      <c r="A82" s="6">
        <v>42955</v>
      </c>
      <c r="B82" s="32"/>
      <c r="C82" s="2">
        <v>22.2</v>
      </c>
      <c r="D82" s="2">
        <v>30.13</v>
      </c>
      <c r="E82" s="7" t="s">
        <v>89</v>
      </c>
      <c r="F82" t="s">
        <v>90</v>
      </c>
      <c r="G82" s="1">
        <v>1000</v>
      </c>
      <c r="H82" s="1">
        <v>7.14</v>
      </c>
      <c r="I82" s="14">
        <v>15493</v>
      </c>
      <c r="J82" s="14"/>
      <c r="K82" s="1">
        <v>3.84</v>
      </c>
      <c r="L82" s="1">
        <v>1</v>
      </c>
      <c r="M82" s="7"/>
      <c r="N82" s="2">
        <f t="shared" si="13"/>
        <v>22.2</v>
      </c>
      <c r="O82" s="8">
        <f t="shared" si="27"/>
        <v>0.93959373199999974</v>
      </c>
      <c r="P82" s="9">
        <f t="shared" si="18"/>
        <v>3.8772566575542681E-5</v>
      </c>
      <c r="Q82" s="3"/>
      <c r="R82" s="1"/>
      <c r="S82" s="1"/>
      <c r="V82" s="1"/>
      <c r="W82" s="1"/>
      <c r="X82">
        <f t="shared" si="19"/>
        <v>1.1280000000000001E-3</v>
      </c>
      <c r="Y82" s="16">
        <f t="shared" si="20"/>
        <v>0.13446</v>
      </c>
      <c r="Z82" s="10">
        <f t="shared" si="21"/>
        <v>1.1279999999999999</v>
      </c>
      <c r="AA82" s="10">
        <f t="shared" si="22"/>
        <v>134.46</v>
      </c>
      <c r="AB82">
        <f t="shared" si="23"/>
        <v>2.1948299999999996</v>
      </c>
      <c r="AC82" s="33">
        <f t="shared" si="24"/>
        <v>288.30351999999993</v>
      </c>
      <c r="AD82" s="13">
        <f t="shared" si="25"/>
        <v>2.382164612</v>
      </c>
      <c r="AE82" s="13">
        <f t="shared" si="26"/>
        <v>221.49710207999999</v>
      </c>
      <c r="AN82" s="7">
        <v>81</v>
      </c>
    </row>
    <row r="83" spans="1:40" customFormat="1" ht="14.4" x14ac:dyDescent="0.3">
      <c r="A83" s="6">
        <v>42955</v>
      </c>
      <c r="B83" s="32"/>
      <c r="C83" s="2">
        <v>22.2</v>
      </c>
      <c r="D83" s="2">
        <v>30.13</v>
      </c>
      <c r="E83" s="7" t="s">
        <v>89</v>
      </c>
      <c r="F83" t="s">
        <v>90</v>
      </c>
      <c r="G83" s="1">
        <v>1000</v>
      </c>
      <c r="H83" s="1">
        <v>5.65</v>
      </c>
      <c r="I83" s="14">
        <v>15422</v>
      </c>
      <c r="J83" s="14"/>
      <c r="K83" s="1">
        <v>4.54</v>
      </c>
      <c r="L83" s="1">
        <v>1</v>
      </c>
      <c r="M83" s="7"/>
      <c r="N83" s="2">
        <f t="shared" si="13"/>
        <v>22.2</v>
      </c>
      <c r="O83" s="8">
        <f t="shared" si="27"/>
        <v>0.93959373199999974</v>
      </c>
      <c r="P83" s="9">
        <f t="shared" si="18"/>
        <v>3.8772566575542681E-5</v>
      </c>
      <c r="Q83" s="3"/>
      <c r="R83" s="1"/>
      <c r="S83" s="1"/>
      <c r="V83" s="1"/>
      <c r="W83" s="1"/>
      <c r="X83">
        <f t="shared" si="19"/>
        <v>8.3000000000000023E-4</v>
      </c>
      <c r="Y83" s="16">
        <f t="shared" si="20"/>
        <v>0.16175999999999999</v>
      </c>
      <c r="Z83" s="10">
        <f t="shared" si="21"/>
        <v>0.83000000000000018</v>
      </c>
      <c r="AA83" s="10">
        <f t="shared" si="22"/>
        <v>161.76</v>
      </c>
      <c r="AB83">
        <f t="shared" si="23"/>
        <v>1.5921250000000005</v>
      </c>
      <c r="AC83" s="33">
        <f t="shared" si="24"/>
        <v>346.82561999999996</v>
      </c>
      <c r="AD83" s="13">
        <f t="shared" si="25"/>
        <v>1.9847573250000003</v>
      </c>
      <c r="AE83" s="13">
        <f t="shared" si="26"/>
        <v>240.85286087999998</v>
      </c>
      <c r="AN83" s="7">
        <v>82</v>
      </c>
    </row>
    <row r="84" spans="1:40" customFormat="1" ht="14.4" x14ac:dyDescent="0.3">
      <c r="A84" s="6">
        <v>42955</v>
      </c>
      <c r="B84" s="32"/>
      <c r="C84" s="2">
        <v>22.2</v>
      </c>
      <c r="D84" s="2">
        <v>30.13</v>
      </c>
      <c r="E84" s="7" t="s">
        <v>89</v>
      </c>
      <c r="F84" t="s">
        <v>90</v>
      </c>
      <c r="G84" s="1">
        <v>1000</v>
      </c>
      <c r="H84" s="1">
        <v>5.18</v>
      </c>
      <c r="I84" s="14">
        <v>15345</v>
      </c>
      <c r="J84" s="14"/>
      <c r="K84" s="1">
        <v>3.77</v>
      </c>
      <c r="L84" s="1">
        <v>1</v>
      </c>
      <c r="M84" s="7"/>
      <c r="N84" s="2">
        <f t="shared" si="13"/>
        <v>22.2</v>
      </c>
      <c r="O84" s="8">
        <f t="shared" si="27"/>
        <v>0.93959373199999974</v>
      </c>
      <c r="P84" s="9">
        <f t="shared" si="18"/>
        <v>3.8772566575542681E-5</v>
      </c>
      <c r="Q84" s="3"/>
      <c r="R84" s="1"/>
      <c r="S84" s="1"/>
      <c r="V84" s="1"/>
      <c r="W84" s="1"/>
      <c r="X84">
        <f t="shared" si="19"/>
        <v>7.3600000000000011E-4</v>
      </c>
      <c r="Y84" s="16">
        <f t="shared" si="20"/>
        <v>0.13172999999999999</v>
      </c>
      <c r="Z84" s="10">
        <f t="shared" si="21"/>
        <v>0.7360000000000001</v>
      </c>
      <c r="AA84" s="10">
        <f t="shared" si="22"/>
        <v>131.72999999999999</v>
      </c>
      <c r="AB84">
        <f t="shared" si="23"/>
        <v>1.40201</v>
      </c>
      <c r="AC84" s="33">
        <f t="shared" si="24"/>
        <v>282.45131000000003</v>
      </c>
      <c r="AD84" s="13">
        <f t="shared" si="25"/>
        <v>1.8593730279999998</v>
      </c>
      <c r="AE84" s="13">
        <f t="shared" si="26"/>
        <v>219.56431821999999</v>
      </c>
      <c r="AN84" s="7">
        <v>83</v>
      </c>
    </row>
    <row r="85" spans="1:40" customFormat="1" ht="14.4" x14ac:dyDescent="0.3">
      <c r="A85" s="6">
        <v>42955</v>
      </c>
      <c r="B85" s="32"/>
      <c r="C85" s="2">
        <v>22.2</v>
      </c>
      <c r="D85" s="2">
        <v>30.13</v>
      </c>
      <c r="E85" s="7" t="s">
        <v>89</v>
      </c>
      <c r="F85" t="s">
        <v>90</v>
      </c>
      <c r="G85" s="1">
        <v>1000</v>
      </c>
      <c r="H85" s="1">
        <v>4.1100000000000003</v>
      </c>
      <c r="I85" s="14">
        <v>14806</v>
      </c>
      <c r="J85" s="14"/>
      <c r="K85" s="1">
        <v>3.9</v>
      </c>
      <c r="L85" s="1">
        <v>1</v>
      </c>
      <c r="M85" s="7"/>
      <c r="N85" s="2">
        <f t="shared" si="13"/>
        <v>22.2</v>
      </c>
      <c r="O85" s="8">
        <f t="shared" si="27"/>
        <v>0.93959373199999974</v>
      </c>
      <c r="P85" s="9">
        <f t="shared" si="18"/>
        <v>3.8772566575542681E-5</v>
      </c>
      <c r="Q85" s="3"/>
      <c r="R85" s="1"/>
      <c r="S85" s="1"/>
      <c r="V85" s="1"/>
      <c r="W85" s="1"/>
      <c r="X85">
        <f t="shared" si="19"/>
        <v>5.2200000000000011E-4</v>
      </c>
      <c r="Y85" s="16">
        <f t="shared" si="20"/>
        <v>0.13679999999999998</v>
      </c>
      <c r="Z85" s="10">
        <f t="shared" si="21"/>
        <v>0.52200000000000013</v>
      </c>
      <c r="AA85" s="10">
        <f t="shared" si="22"/>
        <v>136.79999999999998</v>
      </c>
      <c r="AB85">
        <f t="shared" si="23"/>
        <v>0.96919500000000025</v>
      </c>
      <c r="AC85" s="33">
        <f t="shared" si="24"/>
        <v>293.31970000000001</v>
      </c>
      <c r="AD85" s="13">
        <f t="shared" si="25"/>
        <v>1.5738742370000001</v>
      </c>
      <c r="AE85" s="13">
        <f t="shared" si="26"/>
        <v>223.154178</v>
      </c>
      <c r="AN85" s="7">
        <v>84</v>
      </c>
    </row>
    <row r="86" spans="1:40" customFormat="1" ht="14.4" x14ac:dyDescent="0.3">
      <c r="A86" s="6">
        <v>42961</v>
      </c>
      <c r="B86" s="32"/>
      <c r="C86" s="2">
        <v>22.2</v>
      </c>
      <c r="D86" s="2">
        <v>30.11</v>
      </c>
      <c r="E86" s="7" t="s">
        <v>89</v>
      </c>
      <c r="F86" t="s">
        <v>90</v>
      </c>
      <c r="G86" s="1">
        <v>1000</v>
      </c>
      <c r="H86" s="1">
        <v>4.8600000000000003</v>
      </c>
      <c r="I86" s="14">
        <v>15539</v>
      </c>
      <c r="J86" s="14"/>
      <c r="K86" s="1">
        <v>4.9400000000000004</v>
      </c>
      <c r="L86" s="1">
        <v>1</v>
      </c>
      <c r="M86" s="7"/>
      <c r="N86" s="2">
        <f t="shared" si="13"/>
        <v>22.2</v>
      </c>
      <c r="O86" s="8">
        <f t="shared" si="27"/>
        <v>0.93892520399999979</v>
      </c>
      <c r="P86" s="9">
        <f t="shared" si="18"/>
        <v>3.8744979603104669E-5</v>
      </c>
      <c r="Q86" s="3"/>
      <c r="R86" s="1"/>
      <c r="S86" s="1"/>
      <c r="V86" s="1"/>
      <c r="W86" s="1"/>
      <c r="X86">
        <f t="shared" si="19"/>
        <v>6.7200000000000007E-4</v>
      </c>
      <c r="Y86" s="16">
        <f t="shared" si="20"/>
        <v>0.17736000000000002</v>
      </c>
      <c r="Z86" s="10">
        <f t="shared" si="21"/>
        <v>0.67200000000000015</v>
      </c>
      <c r="AA86" s="10">
        <f t="shared" si="22"/>
        <v>177.36000000000004</v>
      </c>
      <c r="AB86">
        <f t="shared" si="23"/>
        <v>1.2725700000000002</v>
      </c>
      <c r="AC86" s="33">
        <f t="shared" si="24"/>
        <v>380.26682000000005</v>
      </c>
      <c r="AD86" s="13">
        <f t="shared" si="25"/>
        <v>1.7739974120000004</v>
      </c>
      <c r="AE86" s="13">
        <f t="shared" si="26"/>
        <v>251.93608648</v>
      </c>
      <c r="AN86" s="7">
        <v>85</v>
      </c>
    </row>
    <row r="87" spans="1:40" customFormat="1" ht="14.4" x14ac:dyDescent="0.3">
      <c r="A87" s="6">
        <v>42961</v>
      </c>
      <c r="B87" s="32"/>
      <c r="C87" s="2">
        <v>22.2</v>
      </c>
      <c r="D87" s="2">
        <v>30.11</v>
      </c>
      <c r="E87" s="7" t="s">
        <v>89</v>
      </c>
      <c r="F87" t="s">
        <v>90</v>
      </c>
      <c r="G87" s="1">
        <v>1000</v>
      </c>
      <c r="H87" s="1">
        <v>5.15</v>
      </c>
      <c r="I87" s="14">
        <v>15683</v>
      </c>
      <c r="J87" s="14"/>
      <c r="K87" s="1">
        <v>3.75</v>
      </c>
      <c r="L87" s="1">
        <v>1</v>
      </c>
      <c r="M87" s="7"/>
      <c r="N87" s="2">
        <f t="shared" si="13"/>
        <v>22.2</v>
      </c>
      <c r="O87" s="8">
        <f t="shared" si="27"/>
        <v>0.93892520399999979</v>
      </c>
      <c r="P87" s="9">
        <f t="shared" si="18"/>
        <v>3.8744979603104669E-5</v>
      </c>
      <c r="Q87" s="3"/>
      <c r="R87" s="1"/>
      <c r="S87" s="1"/>
      <c r="V87" s="1"/>
      <c r="W87" s="1"/>
      <c r="X87">
        <f t="shared" si="19"/>
        <v>7.3000000000000018E-4</v>
      </c>
      <c r="Y87" s="16">
        <f t="shared" si="20"/>
        <v>0.13094999999999998</v>
      </c>
      <c r="Z87" s="10">
        <f t="shared" si="21"/>
        <v>0.7300000000000002</v>
      </c>
      <c r="AA87" s="10">
        <f t="shared" si="22"/>
        <v>130.94999999999999</v>
      </c>
      <c r="AB87">
        <f t="shared" si="23"/>
        <v>1.3898750000000002</v>
      </c>
      <c r="AC87" s="33">
        <f t="shared" si="24"/>
        <v>280.77924999999993</v>
      </c>
      <c r="AD87" s="13">
        <f t="shared" si="25"/>
        <v>1.8513693250000003</v>
      </c>
      <c r="AE87" s="13">
        <f t="shared" si="26"/>
        <v>219.01218749999998</v>
      </c>
      <c r="AN87" s="7">
        <v>86</v>
      </c>
    </row>
    <row r="88" spans="1:40" customFormat="1" ht="14.4" x14ac:dyDescent="0.3">
      <c r="A88" s="6">
        <v>42961</v>
      </c>
      <c r="B88" s="32"/>
      <c r="C88" s="2">
        <v>22.2</v>
      </c>
      <c r="D88" s="2">
        <v>30.11</v>
      </c>
      <c r="E88" s="7" t="s">
        <v>89</v>
      </c>
      <c r="F88" t="s">
        <v>90</v>
      </c>
      <c r="G88" s="1">
        <v>1000</v>
      </c>
      <c r="H88" s="1">
        <v>5.62</v>
      </c>
      <c r="I88" s="14">
        <v>15557</v>
      </c>
      <c r="J88" s="14"/>
      <c r="K88" s="1">
        <v>4.76</v>
      </c>
      <c r="L88" s="1">
        <v>1</v>
      </c>
      <c r="M88" s="7"/>
      <c r="N88" s="2">
        <f t="shared" si="13"/>
        <v>22.2</v>
      </c>
      <c r="O88" s="8">
        <f t="shared" si="27"/>
        <v>0.93892520399999979</v>
      </c>
      <c r="P88" s="9">
        <f t="shared" si="18"/>
        <v>3.8744979603104669E-5</v>
      </c>
      <c r="Q88" s="3"/>
      <c r="R88" s="1"/>
      <c r="S88" s="1"/>
      <c r="V88" s="1"/>
      <c r="W88" s="1"/>
      <c r="X88">
        <f t="shared" si="19"/>
        <v>8.2400000000000008E-4</v>
      </c>
      <c r="Y88" s="16">
        <f t="shared" si="20"/>
        <v>0.17033999999999999</v>
      </c>
      <c r="Z88" s="10">
        <f t="shared" si="21"/>
        <v>0.82400000000000007</v>
      </c>
      <c r="AA88" s="10">
        <f t="shared" si="22"/>
        <v>170.34</v>
      </c>
      <c r="AB88">
        <f t="shared" si="23"/>
        <v>1.5799900000000002</v>
      </c>
      <c r="AC88" s="33">
        <f t="shared" si="24"/>
        <v>365.21827999999994</v>
      </c>
      <c r="AD88" s="13">
        <f t="shared" si="25"/>
        <v>1.9767544680000002</v>
      </c>
      <c r="AE88" s="13">
        <f t="shared" si="26"/>
        <v>246.94658368</v>
      </c>
      <c r="AN88" s="7">
        <v>87</v>
      </c>
    </row>
    <row r="89" spans="1:40" customFormat="1" ht="14.4" x14ac:dyDescent="0.3">
      <c r="A89" s="6">
        <v>42961</v>
      </c>
      <c r="B89" s="32"/>
      <c r="C89" s="2">
        <v>22.2</v>
      </c>
      <c r="D89" s="2">
        <v>30.11</v>
      </c>
      <c r="E89" s="7" t="s">
        <v>89</v>
      </c>
      <c r="F89" t="s">
        <v>90</v>
      </c>
      <c r="G89" s="1">
        <v>1000</v>
      </c>
      <c r="H89" s="1">
        <v>5.35</v>
      </c>
      <c r="I89" s="14">
        <v>15376</v>
      </c>
      <c r="J89" s="14"/>
      <c r="K89" s="1">
        <v>4.54</v>
      </c>
      <c r="L89" s="1">
        <v>1</v>
      </c>
      <c r="M89" s="7"/>
      <c r="N89" s="2">
        <f t="shared" si="13"/>
        <v>22.2</v>
      </c>
      <c r="O89" s="8">
        <f t="shared" si="27"/>
        <v>0.93892520399999979</v>
      </c>
      <c r="P89" s="9">
        <f t="shared" si="18"/>
        <v>3.8744979603104669E-5</v>
      </c>
      <c r="Q89" s="3"/>
      <c r="R89" s="1"/>
      <c r="S89" s="1"/>
      <c r="V89" s="1"/>
      <c r="W89" s="1"/>
      <c r="X89">
        <f t="shared" si="19"/>
        <v>7.7000000000000007E-4</v>
      </c>
      <c r="Y89" s="16">
        <f t="shared" si="20"/>
        <v>0.16175999999999999</v>
      </c>
      <c r="Z89" s="10">
        <f t="shared" si="21"/>
        <v>0.77000000000000013</v>
      </c>
      <c r="AA89" s="10">
        <f t="shared" si="22"/>
        <v>161.76</v>
      </c>
      <c r="AB89">
        <f t="shared" si="23"/>
        <v>1.4707749999999999</v>
      </c>
      <c r="AC89" s="33">
        <f t="shared" si="24"/>
        <v>346.82561999999996</v>
      </c>
      <c r="AD89" s="13">
        <f t="shared" si="25"/>
        <v>1.9047263249999999</v>
      </c>
      <c r="AE89" s="13">
        <f t="shared" si="26"/>
        <v>240.85286087999998</v>
      </c>
      <c r="AN89" s="7">
        <v>88</v>
      </c>
    </row>
    <row r="90" spans="1:40" customFormat="1" ht="14.4" x14ac:dyDescent="0.3">
      <c r="A90" s="6">
        <v>42962</v>
      </c>
      <c r="B90" s="32"/>
      <c r="C90" s="2">
        <v>22.6</v>
      </c>
      <c r="D90" s="2">
        <v>30.01</v>
      </c>
      <c r="E90" s="7" t="s">
        <v>89</v>
      </c>
      <c r="F90" t="s">
        <v>90</v>
      </c>
      <c r="G90" s="1">
        <v>1000</v>
      </c>
      <c r="H90" s="1">
        <v>5.07</v>
      </c>
      <c r="I90" s="14">
        <v>15692</v>
      </c>
      <c r="J90" s="14"/>
      <c r="K90" s="1">
        <v>7.18</v>
      </c>
      <c r="L90" s="1">
        <v>1</v>
      </c>
      <c r="M90" s="7"/>
      <c r="N90" s="2">
        <f t="shared" si="13"/>
        <v>22.6</v>
      </c>
      <c r="O90" s="8">
        <f t="shared" si="27"/>
        <v>0.93558256399999984</v>
      </c>
      <c r="P90" s="9">
        <f t="shared" si="18"/>
        <v>3.855482895766399E-5</v>
      </c>
      <c r="Q90" s="3"/>
      <c r="R90" s="1"/>
      <c r="S90" s="1"/>
      <c r="V90" s="1"/>
      <c r="W90" s="1"/>
      <c r="X90">
        <f t="shared" si="19"/>
        <v>7.1400000000000022E-4</v>
      </c>
      <c r="Y90" s="16">
        <f t="shared" si="20"/>
        <v>0.26472000000000001</v>
      </c>
      <c r="Z90" s="10">
        <f t="shared" si="21"/>
        <v>0.71400000000000019</v>
      </c>
      <c r="AA90" s="10">
        <f t="shared" si="22"/>
        <v>264.72000000000003</v>
      </c>
      <c r="AB90">
        <f t="shared" si="23"/>
        <v>1.357515</v>
      </c>
      <c r="AC90" s="33">
        <f t="shared" si="24"/>
        <v>567.53753999999992</v>
      </c>
      <c r="AD90" s="13">
        <f t="shared" si="25"/>
        <v>1.830025853</v>
      </c>
      <c r="AE90" s="13">
        <f t="shared" si="26"/>
        <v>314.30847431999996</v>
      </c>
      <c r="AN90" s="7">
        <v>89</v>
      </c>
    </row>
    <row r="91" spans="1:40" customFormat="1" ht="14.4" x14ac:dyDescent="0.3">
      <c r="A91" s="6">
        <v>42962</v>
      </c>
      <c r="B91" s="32"/>
      <c r="C91" s="2">
        <v>22.6</v>
      </c>
      <c r="D91" s="2">
        <v>30.01</v>
      </c>
      <c r="E91" s="7" t="s">
        <v>89</v>
      </c>
      <c r="F91" t="s">
        <v>90</v>
      </c>
      <c r="G91" s="1">
        <v>1000</v>
      </c>
      <c r="H91" s="1">
        <v>4.83</v>
      </c>
      <c r="I91" s="14">
        <v>15589</v>
      </c>
      <c r="J91" s="14"/>
      <c r="K91" s="1">
        <v>5.27</v>
      </c>
      <c r="L91" s="1">
        <v>1</v>
      </c>
      <c r="M91" s="7"/>
      <c r="N91" s="2">
        <f t="shared" si="13"/>
        <v>22.6</v>
      </c>
      <c r="O91" s="8">
        <f t="shared" si="27"/>
        <v>0.93558256399999984</v>
      </c>
      <c r="P91" s="9">
        <f t="shared" si="18"/>
        <v>3.855482895766399E-5</v>
      </c>
      <c r="Q91" s="3"/>
      <c r="R91" s="1"/>
      <c r="S91" s="1"/>
      <c r="V91" s="1"/>
      <c r="W91" s="1"/>
      <c r="X91">
        <f t="shared" si="19"/>
        <v>6.6600000000000014E-4</v>
      </c>
      <c r="Y91" s="16">
        <f t="shared" si="20"/>
        <v>0.19022999999999998</v>
      </c>
      <c r="Z91" s="10">
        <f t="shared" si="21"/>
        <v>0.66600000000000015</v>
      </c>
      <c r="AA91" s="10">
        <f t="shared" si="22"/>
        <v>190.22999999999996</v>
      </c>
      <c r="AB91">
        <f t="shared" si="23"/>
        <v>1.2604350000000002</v>
      </c>
      <c r="AC91" s="33">
        <f t="shared" si="24"/>
        <v>407.85580999999991</v>
      </c>
      <c r="AD91" s="13">
        <f t="shared" si="25"/>
        <v>1.7659931329999998</v>
      </c>
      <c r="AE91" s="13">
        <f t="shared" si="26"/>
        <v>261.09222621999999</v>
      </c>
      <c r="AN91" s="7">
        <v>90</v>
      </c>
    </row>
    <row r="92" spans="1:40" customFormat="1" ht="14.4" x14ac:dyDescent="0.3">
      <c r="A92" s="6">
        <v>42962</v>
      </c>
      <c r="B92" s="32"/>
      <c r="C92" s="2">
        <v>22.6</v>
      </c>
      <c r="D92" s="2">
        <v>30.01</v>
      </c>
      <c r="E92" s="7" t="s">
        <v>89</v>
      </c>
      <c r="F92" t="s">
        <v>90</v>
      </c>
      <c r="G92" s="1">
        <v>1000</v>
      </c>
      <c r="H92" s="1">
        <v>6.13</v>
      </c>
      <c r="I92" s="14">
        <v>15696</v>
      </c>
      <c r="J92" s="14"/>
      <c r="K92" s="1">
        <v>6.19</v>
      </c>
      <c r="L92" s="1">
        <v>1</v>
      </c>
      <c r="M92" s="7"/>
      <c r="N92" s="2">
        <f t="shared" si="13"/>
        <v>22.6</v>
      </c>
      <c r="O92" s="8">
        <f t="shared" si="27"/>
        <v>0.93558256399999984</v>
      </c>
      <c r="P92" s="9">
        <f t="shared" si="18"/>
        <v>3.855482895766399E-5</v>
      </c>
      <c r="Q92" s="3"/>
      <c r="R92" s="1"/>
      <c r="S92" s="1"/>
      <c r="V92" s="1"/>
      <c r="W92" s="1"/>
      <c r="X92">
        <f t="shared" si="19"/>
        <v>9.2600000000000017E-4</v>
      </c>
      <c r="Y92" s="16">
        <f t="shared" si="20"/>
        <v>0.22611000000000001</v>
      </c>
      <c r="Z92" s="10">
        <f t="shared" si="21"/>
        <v>0.92600000000000027</v>
      </c>
      <c r="AA92" s="10">
        <f t="shared" si="22"/>
        <v>226.11</v>
      </c>
      <c r="AB92">
        <f t="shared" si="23"/>
        <v>1.7862850000000001</v>
      </c>
      <c r="AC92" s="33">
        <f t="shared" si="24"/>
        <v>484.77057000000002</v>
      </c>
      <c r="AD92" s="13">
        <f t="shared" si="25"/>
        <v>2.1127956930000003</v>
      </c>
      <c r="AE92" s="13">
        <f t="shared" si="26"/>
        <v>286.67800397999997</v>
      </c>
      <c r="AN92" s="7">
        <v>91</v>
      </c>
    </row>
    <row r="93" spans="1:40" customFormat="1" ht="14.4" x14ac:dyDescent="0.3">
      <c r="A93" s="6">
        <v>42962</v>
      </c>
      <c r="B93" s="32"/>
      <c r="C93" s="2">
        <v>22.6</v>
      </c>
      <c r="D93" s="2">
        <v>30.01</v>
      </c>
      <c r="E93" s="7" t="s">
        <v>89</v>
      </c>
      <c r="F93" t="s">
        <v>90</v>
      </c>
      <c r="G93" s="1">
        <v>1000</v>
      </c>
      <c r="H93" s="1">
        <v>4.51</v>
      </c>
      <c r="I93" s="14">
        <v>15542</v>
      </c>
      <c r="J93" s="14"/>
      <c r="K93" s="1">
        <v>5.8</v>
      </c>
      <c r="L93" s="1">
        <v>1</v>
      </c>
      <c r="M93" s="7"/>
      <c r="N93" s="2">
        <f t="shared" si="13"/>
        <v>22.6</v>
      </c>
      <c r="O93" s="8">
        <f t="shared" si="27"/>
        <v>0.93558256399999984</v>
      </c>
      <c r="P93" s="9">
        <f t="shared" si="18"/>
        <v>3.855482895766399E-5</v>
      </c>
      <c r="Q93" s="3"/>
      <c r="R93" s="1"/>
      <c r="S93" s="1"/>
      <c r="V93" s="1"/>
      <c r="W93" s="1"/>
      <c r="X93">
        <f t="shared" si="19"/>
        <v>6.020000000000001E-4</v>
      </c>
      <c r="Y93" s="16">
        <f t="shared" si="20"/>
        <v>0.21089999999999998</v>
      </c>
      <c r="Z93" s="10">
        <f t="shared" si="21"/>
        <v>0.60200000000000009</v>
      </c>
      <c r="AA93" s="10">
        <f t="shared" si="22"/>
        <v>210.89999999999998</v>
      </c>
      <c r="AB93">
        <f t="shared" si="23"/>
        <v>1.130995</v>
      </c>
      <c r="AC93" s="33">
        <f t="shared" si="24"/>
        <v>452.16539999999998</v>
      </c>
      <c r="AD93" s="13">
        <f t="shared" si="25"/>
        <v>1.6806107969999999</v>
      </c>
      <c r="AE93" s="13">
        <f t="shared" si="26"/>
        <v>275.82115199999998</v>
      </c>
      <c r="AN93" s="7">
        <v>92</v>
      </c>
    </row>
    <row r="94" spans="1:40" customFormat="1" ht="14.4" x14ac:dyDescent="0.3">
      <c r="A94" s="6">
        <v>42965</v>
      </c>
      <c r="B94" s="32"/>
      <c r="C94" s="2">
        <v>22.7</v>
      </c>
      <c r="D94" s="2">
        <v>30.01</v>
      </c>
      <c r="E94" s="7" t="s">
        <v>89</v>
      </c>
      <c r="F94" t="s">
        <v>90</v>
      </c>
      <c r="G94" s="1">
        <v>1000</v>
      </c>
      <c r="H94" s="1">
        <v>5.22</v>
      </c>
      <c r="I94" s="14">
        <v>15326</v>
      </c>
      <c r="J94" s="14"/>
      <c r="K94" s="1">
        <v>5.31</v>
      </c>
      <c r="L94" s="1">
        <v>1</v>
      </c>
      <c r="M94" s="7"/>
      <c r="N94" s="2">
        <f t="shared" si="13"/>
        <v>22.7</v>
      </c>
      <c r="O94" s="8">
        <f t="shared" si="27"/>
        <v>0.93558256399999984</v>
      </c>
      <c r="P94" s="9">
        <f t="shared" si="18"/>
        <v>3.854179707361544E-5</v>
      </c>
      <c r="Q94" s="3"/>
      <c r="R94" s="1"/>
      <c r="S94" s="1"/>
      <c r="V94" s="1"/>
      <c r="W94" s="1"/>
      <c r="X94">
        <f t="shared" si="19"/>
        <v>7.4400000000000009E-4</v>
      </c>
      <c r="Y94" s="16">
        <f t="shared" si="20"/>
        <v>0.19178999999999999</v>
      </c>
      <c r="Z94" s="10">
        <f t="shared" si="21"/>
        <v>0.74400000000000011</v>
      </c>
      <c r="AA94" s="10">
        <f t="shared" si="22"/>
        <v>191.79</v>
      </c>
      <c r="AB94">
        <f t="shared" si="23"/>
        <v>1.4181899999999998</v>
      </c>
      <c r="AC94" s="33">
        <f t="shared" si="24"/>
        <v>411.19992999999999</v>
      </c>
      <c r="AD94" s="13">
        <f t="shared" si="25"/>
        <v>1.8700445480000001</v>
      </c>
      <c r="AE94" s="13">
        <f t="shared" si="26"/>
        <v>262.20282798</v>
      </c>
      <c r="AN94" s="7">
        <v>93</v>
      </c>
    </row>
    <row r="95" spans="1:40" customFormat="1" ht="14.4" x14ac:dyDescent="0.3">
      <c r="A95" s="6">
        <v>42965</v>
      </c>
      <c r="B95" s="32"/>
      <c r="C95" s="2">
        <v>22.7</v>
      </c>
      <c r="D95" s="2">
        <v>30.01</v>
      </c>
      <c r="E95" s="7" t="s">
        <v>89</v>
      </c>
      <c r="F95" t="s">
        <v>90</v>
      </c>
      <c r="G95" s="1">
        <v>1000</v>
      </c>
      <c r="H95" s="1">
        <v>5.81</v>
      </c>
      <c r="I95" s="14">
        <v>15371</v>
      </c>
      <c r="J95" s="14"/>
      <c r="K95" s="1">
        <v>4.47</v>
      </c>
      <c r="L95" s="1">
        <v>1</v>
      </c>
      <c r="M95" s="7"/>
      <c r="N95" s="2">
        <f t="shared" si="13"/>
        <v>22.7</v>
      </c>
      <c r="O95" s="8">
        <f t="shared" si="27"/>
        <v>0.93558256399999984</v>
      </c>
      <c r="P95" s="9">
        <f t="shared" si="18"/>
        <v>3.854179707361544E-5</v>
      </c>
      <c r="Q95" s="3"/>
      <c r="R95" s="1"/>
      <c r="S95" s="1"/>
      <c r="V95" s="1"/>
      <c r="W95" s="1"/>
      <c r="X95">
        <f t="shared" si="19"/>
        <v>8.6200000000000014E-4</v>
      </c>
      <c r="Y95" s="16">
        <f t="shared" si="20"/>
        <v>0.15902999999999998</v>
      </c>
      <c r="Z95" s="10">
        <f t="shared" si="21"/>
        <v>0.8620000000000001</v>
      </c>
      <c r="AA95" s="10">
        <f t="shared" si="22"/>
        <v>159.02999999999997</v>
      </c>
      <c r="AB95">
        <f t="shared" si="23"/>
        <v>1.6568449999999999</v>
      </c>
      <c r="AC95" s="33">
        <f t="shared" si="24"/>
        <v>340.97340999999994</v>
      </c>
      <c r="AD95" s="13">
        <f t="shared" si="25"/>
        <v>2.0274383170000001</v>
      </c>
      <c r="AE95" s="13">
        <f t="shared" si="26"/>
        <v>238.91500062</v>
      </c>
      <c r="AN95" s="7">
        <v>94</v>
      </c>
    </row>
    <row r="96" spans="1:40" customFormat="1" ht="14.4" x14ac:dyDescent="0.3">
      <c r="A96" s="6">
        <v>42965</v>
      </c>
      <c r="B96" s="32"/>
      <c r="C96" s="2">
        <v>22.7</v>
      </c>
      <c r="D96" s="2">
        <v>30.01</v>
      </c>
      <c r="E96" s="7" t="s">
        <v>89</v>
      </c>
      <c r="F96" t="s">
        <v>90</v>
      </c>
      <c r="G96" s="1">
        <v>1000</v>
      </c>
      <c r="H96" s="1">
        <v>5.66</v>
      </c>
      <c r="I96" s="14">
        <v>15390</v>
      </c>
      <c r="J96" s="14"/>
      <c r="K96" s="1">
        <v>4.7300000000000004</v>
      </c>
      <c r="L96" s="1">
        <v>1</v>
      </c>
      <c r="M96" s="7"/>
      <c r="N96" s="2">
        <f t="shared" si="13"/>
        <v>22.7</v>
      </c>
      <c r="O96" s="8">
        <f t="shared" si="27"/>
        <v>0.93558256399999984</v>
      </c>
      <c r="P96" s="9">
        <f t="shared" si="18"/>
        <v>3.854179707361544E-5</v>
      </c>
      <c r="Q96" s="3"/>
      <c r="R96" s="1"/>
      <c r="S96" s="1"/>
      <c r="V96" s="1"/>
      <c r="W96" s="1"/>
      <c r="X96">
        <f t="shared" si="19"/>
        <v>8.3200000000000006E-4</v>
      </c>
      <c r="Y96" s="16">
        <f t="shared" si="20"/>
        <v>0.16917000000000001</v>
      </c>
      <c r="Z96" s="10">
        <f t="shared" si="21"/>
        <v>0.83200000000000007</v>
      </c>
      <c r="AA96" s="10">
        <f t="shared" si="22"/>
        <v>169.17000000000002</v>
      </c>
      <c r="AB96">
        <f t="shared" si="23"/>
        <v>1.5961700000000001</v>
      </c>
      <c r="AC96" s="33">
        <f t="shared" si="24"/>
        <v>362.71019000000001</v>
      </c>
      <c r="AD96" s="13">
        <f t="shared" si="25"/>
        <v>1.9874249320000001</v>
      </c>
      <c r="AE96" s="13">
        <f t="shared" si="26"/>
        <v>246.11532622000001</v>
      </c>
      <c r="AN96" s="7">
        <v>95</v>
      </c>
    </row>
    <row r="97" spans="1:116" customFormat="1" ht="14.4" x14ac:dyDescent="0.3">
      <c r="A97" s="6">
        <v>42965</v>
      </c>
      <c r="B97" s="32"/>
      <c r="C97" s="2">
        <v>22.7</v>
      </c>
      <c r="D97" s="2">
        <v>30.01</v>
      </c>
      <c r="E97" s="7" t="s">
        <v>89</v>
      </c>
      <c r="F97" t="s">
        <v>90</v>
      </c>
      <c r="G97" s="1">
        <v>1000</v>
      </c>
      <c r="H97" s="1">
        <v>6.07</v>
      </c>
      <c r="I97" s="14">
        <v>15414</v>
      </c>
      <c r="J97" s="14"/>
      <c r="K97" s="1">
        <v>4.67</v>
      </c>
      <c r="L97" s="1">
        <v>1</v>
      </c>
      <c r="M97" s="7"/>
      <c r="N97" s="2">
        <f t="shared" si="13"/>
        <v>22.7</v>
      </c>
      <c r="O97" s="8">
        <f t="shared" si="27"/>
        <v>0.93558256399999984</v>
      </c>
      <c r="P97" s="9">
        <f t="shared" si="18"/>
        <v>3.854179707361544E-5</v>
      </c>
      <c r="Q97" s="3"/>
      <c r="R97" s="1"/>
      <c r="S97" s="1"/>
      <c r="V97" s="1"/>
      <c r="W97" s="1"/>
      <c r="X97">
        <f t="shared" si="19"/>
        <v>9.140000000000001E-4</v>
      </c>
      <c r="Y97" s="16">
        <f t="shared" si="20"/>
        <v>0.16682999999999998</v>
      </c>
      <c r="Z97" s="10">
        <f t="shared" si="21"/>
        <v>0.91400000000000015</v>
      </c>
      <c r="AA97" s="10">
        <f t="shared" si="22"/>
        <v>166.82999999999998</v>
      </c>
      <c r="AB97">
        <f t="shared" si="23"/>
        <v>1.7620150000000001</v>
      </c>
      <c r="AC97" s="33">
        <f t="shared" si="24"/>
        <v>357.69400999999993</v>
      </c>
      <c r="AD97" s="13">
        <f t="shared" si="25"/>
        <v>2.0967916530000004</v>
      </c>
      <c r="AE97" s="13">
        <f t="shared" si="26"/>
        <v>244.45309101999999</v>
      </c>
      <c r="AN97" s="7">
        <v>96</v>
      </c>
    </row>
    <row r="98" spans="1:116" customFormat="1" ht="14.4" x14ac:dyDescent="0.3">
      <c r="A98" s="6">
        <v>42972</v>
      </c>
      <c r="B98" s="32"/>
      <c r="C98" s="2">
        <v>22.2</v>
      </c>
      <c r="D98" s="2">
        <v>30.23</v>
      </c>
      <c r="E98" s="7" t="s">
        <v>89</v>
      </c>
      <c r="F98" t="s">
        <v>90</v>
      </c>
      <c r="G98" s="1">
        <v>1000</v>
      </c>
      <c r="H98" s="1">
        <v>4.2</v>
      </c>
      <c r="I98" s="14">
        <v>15550</v>
      </c>
      <c r="J98" s="14"/>
      <c r="K98" s="1">
        <v>3.26</v>
      </c>
      <c r="L98" s="1">
        <v>1</v>
      </c>
      <c r="M98" s="7"/>
      <c r="N98" s="2">
        <f t="shared" si="13"/>
        <v>22.2</v>
      </c>
      <c r="O98" s="8">
        <f t="shared" si="27"/>
        <v>0.9429363719999998</v>
      </c>
      <c r="P98" s="9">
        <f t="shared" si="18"/>
        <v>3.8910501437732752E-5</v>
      </c>
      <c r="Q98" s="3"/>
      <c r="R98" s="1"/>
      <c r="S98" s="1"/>
      <c r="V98" s="1"/>
      <c r="W98" s="1"/>
      <c r="X98">
        <f t="shared" si="19"/>
        <v>5.4000000000000012E-4</v>
      </c>
      <c r="Y98" s="16">
        <f t="shared" si="20"/>
        <v>0.11184000000000001</v>
      </c>
      <c r="Z98" s="10">
        <f t="shared" si="21"/>
        <v>0.54000000000000015</v>
      </c>
      <c r="AA98" s="10">
        <f t="shared" si="22"/>
        <v>111.84000000000002</v>
      </c>
      <c r="AB98">
        <f t="shared" si="23"/>
        <v>1.0056</v>
      </c>
      <c r="AC98" s="33">
        <f t="shared" si="24"/>
        <v>239.81377999999998</v>
      </c>
      <c r="AD98" s="13">
        <f t="shared" si="25"/>
        <v>1.5978908000000001</v>
      </c>
      <c r="AE98" s="13">
        <f t="shared" si="26"/>
        <v>205.49792968</v>
      </c>
      <c r="AN98" s="7">
        <v>97</v>
      </c>
    </row>
    <row r="99" spans="1:116" customFormat="1" ht="14.4" x14ac:dyDescent="0.3">
      <c r="A99" s="6">
        <v>42972</v>
      </c>
      <c r="B99" s="32"/>
      <c r="C99" s="2">
        <v>22.2</v>
      </c>
      <c r="D99" s="2">
        <v>30.23</v>
      </c>
      <c r="E99" s="7" t="s">
        <v>89</v>
      </c>
      <c r="F99" t="s">
        <v>90</v>
      </c>
      <c r="G99" s="1">
        <v>1000</v>
      </c>
      <c r="H99" s="1">
        <v>5.09</v>
      </c>
      <c r="I99" s="14">
        <v>15513</v>
      </c>
      <c r="J99" s="14"/>
      <c r="K99" s="1">
        <v>5.6</v>
      </c>
      <c r="L99" s="1">
        <v>1</v>
      </c>
      <c r="M99" s="7"/>
      <c r="N99" s="2">
        <f t="shared" ref="N99:N104" si="28">C99</f>
        <v>22.2</v>
      </c>
      <c r="O99" s="8">
        <f t="shared" si="27"/>
        <v>0.9429363719999998</v>
      </c>
      <c r="P99" s="9">
        <f t="shared" si="18"/>
        <v>3.8910501437732752E-5</v>
      </c>
      <c r="Q99" s="3"/>
      <c r="R99" s="1"/>
      <c r="S99" s="1"/>
      <c r="V99" s="1"/>
      <c r="W99" s="1"/>
      <c r="X99">
        <f t="shared" si="19"/>
        <v>7.1800000000000011E-4</v>
      </c>
      <c r="Y99" s="16">
        <f t="shared" si="20"/>
        <v>0.20309999999999997</v>
      </c>
      <c r="Z99" s="10">
        <f t="shared" si="21"/>
        <v>0.71800000000000008</v>
      </c>
      <c r="AA99" s="10">
        <f t="shared" si="22"/>
        <v>203.09999999999997</v>
      </c>
      <c r="AB99">
        <f t="shared" si="23"/>
        <v>1.3656050000000002</v>
      </c>
      <c r="AC99" s="33">
        <f t="shared" si="24"/>
        <v>435.44479999999999</v>
      </c>
      <c r="AD99" s="13">
        <f t="shared" si="25"/>
        <v>1.8353617570000003</v>
      </c>
      <c r="AE99" s="13">
        <f t="shared" si="26"/>
        <v>270.25964799999997</v>
      </c>
      <c r="AN99" s="7">
        <v>98</v>
      </c>
    </row>
    <row r="100" spans="1:116" customFormat="1" ht="14.4" x14ac:dyDescent="0.3">
      <c r="A100" s="6">
        <v>42972</v>
      </c>
      <c r="B100" s="32"/>
      <c r="C100" s="2">
        <v>22.2</v>
      </c>
      <c r="D100" s="2">
        <v>30.23</v>
      </c>
      <c r="E100" s="7" t="s">
        <v>89</v>
      </c>
      <c r="F100" t="s">
        <v>90</v>
      </c>
      <c r="G100" s="1">
        <v>1000</v>
      </c>
      <c r="H100" s="1">
        <v>5.21</v>
      </c>
      <c r="I100" s="14">
        <v>15686</v>
      </c>
      <c r="J100" s="14"/>
      <c r="K100" s="1">
        <v>5.32</v>
      </c>
      <c r="L100" s="1">
        <v>1</v>
      </c>
      <c r="M100" s="7"/>
      <c r="N100" s="2">
        <f t="shared" si="28"/>
        <v>22.2</v>
      </c>
      <c r="O100" s="8">
        <f t="shared" si="27"/>
        <v>0.9429363719999998</v>
      </c>
      <c r="P100" s="9">
        <f t="shared" si="18"/>
        <v>3.8910501437732752E-5</v>
      </c>
      <c r="Q100" s="3"/>
      <c r="R100" s="1"/>
      <c r="S100" s="1"/>
      <c r="V100" s="1"/>
      <c r="W100" s="1"/>
      <c r="X100">
        <f t="shared" si="19"/>
        <v>7.4200000000000004E-4</v>
      </c>
      <c r="Y100" s="16">
        <f t="shared" si="20"/>
        <v>0.19217999999999999</v>
      </c>
      <c r="Z100" s="10">
        <f t="shared" si="21"/>
        <v>0.74199999999999999</v>
      </c>
      <c r="AA100" s="10">
        <f t="shared" si="22"/>
        <v>192.18</v>
      </c>
      <c r="AB100">
        <f t="shared" si="23"/>
        <v>1.4141450000000002</v>
      </c>
      <c r="AC100" s="33">
        <f t="shared" si="24"/>
        <v>412.03596000000005</v>
      </c>
      <c r="AD100" s="13">
        <f t="shared" si="25"/>
        <v>1.8673766770000002</v>
      </c>
      <c r="AE100" s="13">
        <f t="shared" si="26"/>
        <v>262.48050432000002</v>
      </c>
      <c r="AN100" s="7">
        <v>99</v>
      </c>
    </row>
    <row r="101" spans="1:116" customFormat="1" ht="14.4" x14ac:dyDescent="0.3">
      <c r="A101" s="6">
        <v>43027</v>
      </c>
      <c r="B101" s="32"/>
      <c r="C101" s="2">
        <v>22.3</v>
      </c>
      <c r="D101" s="2">
        <v>30.33</v>
      </c>
      <c r="E101" s="7" t="s">
        <v>89</v>
      </c>
      <c r="F101" t="s">
        <v>90</v>
      </c>
      <c r="G101" s="1">
        <v>1000</v>
      </c>
      <c r="H101" s="1">
        <v>4.01</v>
      </c>
      <c r="I101" s="14">
        <v>15701</v>
      </c>
      <c r="J101" s="14"/>
      <c r="K101" s="1">
        <v>6.03</v>
      </c>
      <c r="L101" s="1">
        <v>1</v>
      </c>
      <c r="M101" s="7"/>
      <c r="N101" s="2">
        <f t="shared" si="28"/>
        <v>22.3</v>
      </c>
      <c r="O101" s="8">
        <f t="shared" si="27"/>
        <v>0.94627901199999975</v>
      </c>
      <c r="P101" s="9">
        <f t="shared" si="18"/>
        <v>3.9035219702765964E-5</v>
      </c>
      <c r="Q101" s="3"/>
      <c r="R101" s="1"/>
      <c r="S101" s="1"/>
      <c r="V101" s="1"/>
      <c r="W101" s="1"/>
      <c r="X101">
        <f t="shared" si="19"/>
        <v>5.0200000000000006E-4</v>
      </c>
      <c r="Y101" s="16">
        <f t="shared" si="20"/>
        <v>0.21987000000000001</v>
      </c>
      <c r="Z101" s="10">
        <f t="shared" si="21"/>
        <v>0.502</v>
      </c>
      <c r="AA101" s="10">
        <f t="shared" si="22"/>
        <v>219.87</v>
      </c>
      <c r="AB101">
        <f t="shared" si="23"/>
        <v>0.92874499999999993</v>
      </c>
      <c r="AC101" s="33">
        <f t="shared" si="24"/>
        <v>471.39409000000001</v>
      </c>
      <c r="AD101" s="13">
        <f t="shared" si="25"/>
        <v>1.5471885969999999</v>
      </c>
      <c r="AE101" s="13">
        <f t="shared" si="26"/>
        <v>282.22200462000001</v>
      </c>
      <c r="AN101" s="7">
        <v>100</v>
      </c>
    </row>
    <row r="102" spans="1:116" customFormat="1" ht="14.4" x14ac:dyDescent="0.3">
      <c r="A102" s="6">
        <v>43027</v>
      </c>
      <c r="B102" s="32"/>
      <c r="C102" s="2">
        <v>22.3</v>
      </c>
      <c r="D102" s="2">
        <v>30.33</v>
      </c>
      <c r="E102" s="7" t="s">
        <v>89</v>
      </c>
      <c r="F102" t="s">
        <v>90</v>
      </c>
      <c r="G102" s="1">
        <v>1000</v>
      </c>
      <c r="H102" s="1">
        <v>4.45</v>
      </c>
      <c r="I102" s="14">
        <v>15353</v>
      </c>
      <c r="J102" s="14"/>
      <c r="K102" s="1">
        <v>8.01</v>
      </c>
      <c r="L102" s="1">
        <v>1</v>
      </c>
      <c r="M102" s="7"/>
      <c r="N102" s="2">
        <f t="shared" si="28"/>
        <v>22.3</v>
      </c>
      <c r="O102" s="8">
        <f t="shared" si="27"/>
        <v>0.94627901199999975</v>
      </c>
      <c r="P102" s="9">
        <f t="shared" si="18"/>
        <v>3.9035219702765964E-5</v>
      </c>
      <c r="Q102" s="3"/>
      <c r="R102" s="1"/>
      <c r="S102" s="1"/>
      <c r="V102" s="1"/>
      <c r="W102" s="1"/>
      <c r="X102">
        <f t="shared" si="19"/>
        <v>5.9000000000000003E-4</v>
      </c>
      <c r="Y102" s="16">
        <f t="shared" si="20"/>
        <v>0.29709000000000002</v>
      </c>
      <c r="Z102" s="10">
        <f t="shared" si="21"/>
        <v>0.59</v>
      </c>
      <c r="AA102" s="10">
        <f t="shared" si="22"/>
        <v>297.08999999999997</v>
      </c>
      <c r="AB102">
        <f t="shared" si="23"/>
        <v>1.1067250000000002</v>
      </c>
      <c r="AC102" s="33">
        <f t="shared" si="24"/>
        <v>636.92802999999992</v>
      </c>
      <c r="AD102" s="13">
        <f t="shared" si="25"/>
        <v>1.6646009250000002</v>
      </c>
      <c r="AE102" s="13">
        <f t="shared" si="26"/>
        <v>337.55166317999999</v>
      </c>
      <c r="AN102" s="7">
        <v>101</v>
      </c>
    </row>
    <row r="103" spans="1:116" customFormat="1" ht="14.4" x14ac:dyDescent="0.3">
      <c r="A103" s="6">
        <v>43027</v>
      </c>
      <c r="B103" s="32"/>
      <c r="C103" s="2">
        <v>22.3</v>
      </c>
      <c r="D103" s="2">
        <v>30.33</v>
      </c>
      <c r="E103" s="7" t="s">
        <v>89</v>
      </c>
      <c r="F103" t="s">
        <v>90</v>
      </c>
      <c r="G103" s="1">
        <v>1000</v>
      </c>
      <c r="H103" s="1">
        <v>4.16</v>
      </c>
      <c r="I103" s="14">
        <v>15303</v>
      </c>
      <c r="J103" s="14"/>
      <c r="K103" s="1">
        <v>3.51</v>
      </c>
      <c r="L103" s="1">
        <v>1</v>
      </c>
      <c r="M103" s="7"/>
      <c r="N103" s="2">
        <f t="shared" si="28"/>
        <v>22.3</v>
      </c>
      <c r="O103" s="8">
        <f t="shared" si="27"/>
        <v>0.94627901199999975</v>
      </c>
      <c r="P103" s="9">
        <f t="shared" si="18"/>
        <v>3.9035219702765964E-5</v>
      </c>
      <c r="Q103" s="3"/>
      <c r="R103" s="1"/>
      <c r="S103" s="1"/>
      <c r="V103" s="1"/>
      <c r="W103" s="1"/>
      <c r="X103">
        <f t="shared" si="19"/>
        <v>5.3200000000000014E-4</v>
      </c>
      <c r="Y103" s="16">
        <f t="shared" si="20"/>
        <v>0.12158999999999999</v>
      </c>
      <c r="Z103" s="10">
        <f t="shared" si="21"/>
        <v>0.53200000000000014</v>
      </c>
      <c r="AA103" s="10">
        <f t="shared" si="22"/>
        <v>121.58999999999999</v>
      </c>
      <c r="AB103">
        <f t="shared" si="23"/>
        <v>0.98942000000000019</v>
      </c>
      <c r="AC103" s="33">
        <f t="shared" si="24"/>
        <v>260.71452999999997</v>
      </c>
      <c r="AD103" s="13">
        <f t="shared" si="25"/>
        <v>1.5872168320000002</v>
      </c>
      <c r="AE103" s="13">
        <f t="shared" si="26"/>
        <v>212.38985117999999</v>
      </c>
      <c r="AN103" s="7">
        <v>102</v>
      </c>
    </row>
    <row r="104" spans="1:116" customFormat="1" ht="14.4" x14ac:dyDescent="0.3">
      <c r="A104" s="6">
        <v>43027</v>
      </c>
      <c r="B104" s="32"/>
      <c r="C104" s="2">
        <v>22.3</v>
      </c>
      <c r="D104" s="2">
        <v>30.33</v>
      </c>
      <c r="E104" s="7" t="s">
        <v>89</v>
      </c>
      <c r="F104" t="s">
        <v>90</v>
      </c>
      <c r="G104" s="1">
        <v>1000</v>
      </c>
      <c r="H104" s="1">
        <v>5.36</v>
      </c>
      <c r="I104" s="14">
        <v>15512</v>
      </c>
      <c r="J104" s="14"/>
      <c r="K104" s="1">
        <v>3.68</v>
      </c>
      <c r="L104" s="1">
        <v>1</v>
      </c>
      <c r="M104" s="7"/>
      <c r="N104" s="2">
        <f t="shared" si="28"/>
        <v>22.3</v>
      </c>
      <c r="O104" s="8">
        <f t="shared" si="27"/>
        <v>0.94627901199999975</v>
      </c>
      <c r="P104" s="9">
        <f t="shared" si="18"/>
        <v>3.9035219702765964E-5</v>
      </c>
      <c r="Q104" s="3"/>
      <c r="R104" s="1"/>
      <c r="S104" s="1"/>
      <c r="V104" s="1"/>
      <c r="W104" s="1"/>
      <c r="X104">
        <f t="shared" si="19"/>
        <v>7.7200000000000012E-4</v>
      </c>
      <c r="Y104" s="16">
        <f t="shared" si="20"/>
        <v>0.12822</v>
      </c>
      <c r="Z104" s="10">
        <f t="shared" si="21"/>
        <v>0.77200000000000013</v>
      </c>
      <c r="AA104" s="10">
        <f t="shared" si="22"/>
        <v>128.22</v>
      </c>
      <c r="AB104">
        <f t="shared" si="23"/>
        <v>1.4748200000000005</v>
      </c>
      <c r="AC104" s="33">
        <f t="shared" si="24"/>
        <v>274.92704000000003</v>
      </c>
      <c r="AD104" s="13">
        <f t="shared" si="25"/>
        <v>1.907394112</v>
      </c>
      <c r="AE104" s="13">
        <f t="shared" si="26"/>
        <v>217.08005631999998</v>
      </c>
      <c r="AN104" s="7">
        <v>103</v>
      </c>
    </row>
    <row r="105" spans="1:116" customFormat="1" ht="14.4" x14ac:dyDescent="0.3">
      <c r="A105" s="6"/>
      <c r="B105" s="32"/>
      <c r="C105" s="2"/>
      <c r="D105" s="2"/>
      <c r="E105" s="7"/>
      <c r="G105" s="1"/>
      <c r="H105" s="1"/>
      <c r="I105" s="14"/>
      <c r="J105" s="14"/>
      <c r="K105" s="1"/>
      <c r="L105" s="1"/>
      <c r="M105" s="7"/>
      <c r="N105" s="2"/>
      <c r="O105" s="8"/>
      <c r="P105" s="9"/>
      <c r="Q105" s="3"/>
      <c r="R105" s="1"/>
      <c r="S105" s="1"/>
      <c r="V105" s="1"/>
      <c r="W105" s="1"/>
      <c r="Y105" s="16"/>
      <c r="Z105" s="10"/>
      <c r="AA105" s="10"/>
      <c r="AC105" s="33"/>
      <c r="AD105" s="13"/>
      <c r="AE105" s="13"/>
      <c r="AN105" s="7"/>
    </row>
    <row r="106" spans="1:116" customFormat="1" ht="14.4" x14ac:dyDescent="0.3">
      <c r="A106" s="6"/>
      <c r="B106" s="32"/>
      <c r="C106" s="2"/>
      <c r="D106" s="2"/>
      <c r="E106" s="7"/>
      <c r="G106" s="1"/>
      <c r="H106" s="1"/>
      <c r="I106" s="14"/>
      <c r="J106" s="14"/>
      <c r="K106" s="1"/>
      <c r="L106" s="1"/>
      <c r="M106" s="7"/>
      <c r="N106" s="2"/>
      <c r="O106" s="8"/>
      <c r="P106" s="9"/>
      <c r="Q106" s="3"/>
      <c r="R106" s="1"/>
      <c r="S106" s="1"/>
      <c r="V106" s="1"/>
      <c r="W106" s="1"/>
      <c r="Y106" s="16"/>
      <c r="Z106" s="10"/>
      <c r="AA106" s="10"/>
      <c r="AC106" s="33"/>
      <c r="AD106" s="13"/>
      <c r="AE106" s="13"/>
      <c r="AN106" s="7"/>
    </row>
    <row r="107" spans="1:116" customFormat="1" ht="14.4" x14ac:dyDescent="0.3">
      <c r="A107" s="6"/>
      <c r="B107" s="32"/>
      <c r="C107" s="2"/>
      <c r="D107" s="2"/>
      <c r="E107" s="7"/>
      <c r="G107" s="1"/>
      <c r="H107" s="1"/>
      <c r="I107" s="14"/>
      <c r="J107" s="14"/>
      <c r="K107" s="1"/>
      <c r="L107" s="1"/>
      <c r="M107" s="7"/>
      <c r="N107" s="2"/>
      <c r="O107" s="8"/>
      <c r="P107" s="9"/>
      <c r="Q107" s="3"/>
      <c r="R107" s="1"/>
      <c r="S107" s="1"/>
      <c r="V107" s="1"/>
      <c r="W107" s="1"/>
      <c r="Y107" s="16"/>
      <c r="Z107" s="10"/>
      <c r="AA107" s="10"/>
      <c r="AC107" s="33"/>
      <c r="AD107" s="13"/>
      <c r="AE107" s="13"/>
      <c r="AN107" s="7"/>
    </row>
    <row r="108" spans="1:116" customFormat="1" ht="14.4" x14ac:dyDescent="0.3">
      <c r="A108" s="6"/>
      <c r="B108" s="32"/>
      <c r="C108" s="2"/>
      <c r="D108" s="2"/>
      <c r="E108" s="7"/>
      <c r="G108" s="1"/>
      <c r="H108" s="1"/>
      <c r="I108" s="14"/>
      <c r="J108" s="14"/>
      <c r="K108" s="1"/>
      <c r="L108" s="1"/>
      <c r="M108" s="7"/>
      <c r="N108" s="2"/>
      <c r="O108" s="8"/>
      <c r="P108" s="9"/>
      <c r="Q108" s="3"/>
      <c r="R108" s="1"/>
      <c r="S108" s="1"/>
      <c r="V108" s="1"/>
      <c r="W108" s="1"/>
      <c r="Y108" s="16"/>
      <c r="Z108" s="10"/>
      <c r="AA108" s="10"/>
      <c r="AC108" s="33"/>
      <c r="AD108" s="13"/>
      <c r="AE108" s="13"/>
      <c r="AN108" s="7"/>
    </row>
    <row r="109" spans="1:116" s="36" customFormat="1" x14ac:dyDescent="0.25">
      <c r="A109" s="40"/>
      <c r="B109" s="40"/>
      <c r="C109" s="40"/>
      <c r="D109" s="39"/>
      <c r="E109" s="39"/>
      <c r="F109" s="40"/>
      <c r="G109" s="40"/>
      <c r="H109" s="40"/>
      <c r="I109" s="40"/>
      <c r="J109" s="40"/>
      <c r="K109" s="40"/>
      <c r="L109" s="39"/>
      <c r="M109" s="39"/>
      <c r="N109" s="53"/>
      <c r="O109" s="34"/>
      <c r="P109" s="34"/>
      <c r="R109" s="38"/>
      <c r="S109" s="38"/>
      <c r="T109" s="38"/>
      <c r="U109" s="54"/>
      <c r="V109" s="54"/>
      <c r="Y109" s="38"/>
      <c r="AK109" s="55"/>
      <c r="AL109" s="55"/>
      <c r="AM109" s="55"/>
      <c r="AN109" s="53"/>
      <c r="AO109" s="53"/>
      <c r="AP109" s="53"/>
      <c r="AQ109" s="53"/>
      <c r="AR109" s="53"/>
      <c r="AS109" s="53"/>
      <c r="AT109" s="53"/>
      <c r="AU109" s="53"/>
      <c r="AV109" s="53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</row>
    <row r="110" spans="1:116" s="36" customFormat="1" x14ac:dyDescent="0.25">
      <c r="A110" s="40"/>
      <c r="B110" s="40"/>
      <c r="C110" s="40"/>
      <c r="D110" s="39"/>
      <c r="E110" s="39"/>
      <c r="F110" s="40"/>
      <c r="G110" s="40"/>
      <c r="H110" s="40"/>
      <c r="I110" s="40"/>
      <c r="J110" s="40"/>
      <c r="K110" s="40"/>
      <c r="L110" s="39"/>
      <c r="M110" s="39"/>
      <c r="N110" s="53"/>
      <c r="O110" s="34"/>
      <c r="P110" s="34"/>
      <c r="R110" s="38"/>
      <c r="S110" s="38"/>
      <c r="T110" s="38"/>
      <c r="U110" s="54"/>
      <c r="V110" s="54"/>
      <c r="Y110" s="38"/>
      <c r="AK110" s="55"/>
      <c r="AL110" s="55"/>
      <c r="AM110" s="55"/>
      <c r="AN110" s="53"/>
      <c r="AO110" s="53"/>
      <c r="AP110" s="53"/>
      <c r="AQ110" s="53"/>
      <c r="AR110" s="53"/>
      <c r="AS110" s="53"/>
      <c r="AT110" s="53"/>
      <c r="AU110" s="53"/>
      <c r="AV110" s="53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</row>
    <row r="111" spans="1:116" s="36" customFormat="1" x14ac:dyDescent="0.25">
      <c r="A111" s="40"/>
      <c r="B111" s="40"/>
      <c r="C111" s="40"/>
      <c r="D111" s="39"/>
      <c r="E111" s="39"/>
      <c r="F111" s="40"/>
      <c r="G111" s="40"/>
      <c r="H111" s="40"/>
      <c r="I111" s="40"/>
      <c r="J111" s="40"/>
      <c r="K111" s="40"/>
      <c r="L111" s="39"/>
      <c r="M111" s="39"/>
      <c r="N111" s="53"/>
      <c r="O111" s="34"/>
      <c r="P111" s="34"/>
      <c r="R111" s="38"/>
      <c r="S111" s="38"/>
      <c r="T111" s="38"/>
      <c r="U111" s="54"/>
      <c r="V111" s="54"/>
      <c r="Y111" s="38"/>
      <c r="AK111" s="55"/>
      <c r="AL111" s="55"/>
      <c r="AM111" s="55"/>
      <c r="AN111" s="53"/>
      <c r="AO111" s="53"/>
      <c r="AP111" s="53"/>
      <c r="AQ111" s="53"/>
      <c r="AR111" s="53"/>
      <c r="AS111" s="53"/>
      <c r="AT111" s="53"/>
      <c r="AU111" s="53"/>
      <c r="AV111" s="53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</row>
    <row r="112" spans="1:116" s="36" customFormat="1" x14ac:dyDescent="0.25">
      <c r="A112" s="40"/>
      <c r="B112" s="40"/>
      <c r="C112" s="40"/>
      <c r="D112" s="39"/>
      <c r="E112" s="34"/>
      <c r="F112" s="35" t="s">
        <v>40</v>
      </c>
      <c r="H112" s="38">
        <f>AVERAGE(H2:H22)</f>
        <v>4.6855000000000002</v>
      </c>
      <c r="I112" s="38"/>
      <c r="J112" s="38"/>
      <c r="K112" s="38">
        <f>AVERAGE(K2:K22)</f>
        <v>6.6695000000000011</v>
      </c>
      <c r="L112" s="54"/>
      <c r="M112" s="39"/>
      <c r="N112" s="39"/>
      <c r="O112" s="53"/>
      <c r="P112" s="34"/>
      <c r="Q112" s="35"/>
      <c r="S112" s="38"/>
      <c r="T112" s="38"/>
      <c r="U112" s="38"/>
      <c r="V112" s="54"/>
      <c r="W112" s="54" t="s">
        <v>119</v>
      </c>
      <c r="X112" s="57">
        <f t="shared" ref="X112:AC112" si="29">MIN(X2:X22)</f>
        <v>-2.9999999999999997E-4</v>
      </c>
      <c r="Y112" s="57">
        <f t="shared" si="29"/>
        <v>-1.5299999999999999E-2</v>
      </c>
      <c r="Z112" s="57">
        <f t="shared" si="29"/>
        <v>-0.3</v>
      </c>
      <c r="AA112" s="57">
        <f t="shared" si="29"/>
        <v>-15.3</v>
      </c>
      <c r="AB112" s="57">
        <f t="shared" si="29"/>
        <v>-0.69330000000000003</v>
      </c>
      <c r="AC112" s="57">
        <f t="shared" si="29"/>
        <v>-32.731999999999999</v>
      </c>
      <c r="AD112" s="57">
        <f>MIN(AD2:AD24)</f>
        <v>0.47660000000000002</v>
      </c>
      <c r="AE112" s="57">
        <f>MIN(AE2:AE24)</f>
        <v>116.22</v>
      </c>
      <c r="AF112" s="55"/>
      <c r="AN112" s="55">
        <f>MIN(AN2:AN111)</f>
        <v>1</v>
      </c>
      <c r="AO112" s="53"/>
      <c r="AP112" s="53"/>
      <c r="AQ112" s="53"/>
      <c r="AR112" s="53"/>
      <c r="AS112" s="53"/>
      <c r="AT112" s="53"/>
      <c r="AU112" s="53"/>
      <c r="AV112" s="53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</row>
    <row r="113" spans="1:116" s="36" customFormat="1" x14ac:dyDescent="0.25">
      <c r="A113" s="40"/>
      <c r="B113" s="40"/>
      <c r="C113" s="40"/>
      <c r="D113" s="39"/>
      <c r="E113" s="34"/>
      <c r="F113" s="35" t="s">
        <v>91</v>
      </c>
      <c r="H113" s="38">
        <f>STDEV(H2:H22)</f>
        <v>0.92652988704031669</v>
      </c>
      <c r="I113" s="38"/>
      <c r="J113" s="38"/>
      <c r="K113" s="38">
        <f>STDEV(K2:K22)</f>
        <v>4.8688196721587449</v>
      </c>
      <c r="L113" s="54"/>
      <c r="M113" s="39"/>
      <c r="N113" s="39"/>
      <c r="O113" s="53"/>
      <c r="P113" s="34"/>
      <c r="Q113" s="35"/>
      <c r="S113" s="38"/>
      <c r="T113" s="38"/>
      <c r="U113" s="38"/>
      <c r="V113" s="54"/>
      <c r="W113" s="54" t="s">
        <v>120</v>
      </c>
      <c r="X113" s="57">
        <f t="shared" ref="X113:AC113" si="30">MAX(X2:X22)</f>
        <v>1.0680000000000002E-3</v>
      </c>
      <c r="Y113" s="57">
        <f t="shared" si="30"/>
        <v>1.4672680000000002</v>
      </c>
      <c r="Z113" s="57">
        <f t="shared" si="30"/>
        <v>1.0680000000000003</v>
      </c>
      <c r="AA113" s="57">
        <f t="shared" si="30"/>
        <v>1467.2680000000003</v>
      </c>
      <c r="AB113" s="57">
        <f t="shared" si="30"/>
        <v>2.07348</v>
      </c>
      <c r="AC113" s="57">
        <f t="shared" si="30"/>
        <v>3147.8995199999999</v>
      </c>
      <c r="AD113" s="57">
        <f>MAX(AD2:AD24)</f>
        <v>2.302160432</v>
      </c>
      <c r="AE113" s="57">
        <f>MAX(AE2:AE24)</f>
        <v>810.26214942000001</v>
      </c>
      <c r="AF113" s="55"/>
      <c r="AN113" s="55">
        <f>MAX(AN2:AN111)</f>
        <v>103</v>
      </c>
      <c r="AO113" s="53"/>
      <c r="AP113" s="53"/>
      <c r="AQ113" s="53"/>
      <c r="AR113" s="53"/>
      <c r="AS113" s="53"/>
      <c r="AT113" s="53"/>
      <c r="AU113" s="53"/>
      <c r="AV113" s="53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</row>
    <row r="114" spans="1:116" s="36" customFormat="1" x14ac:dyDescent="0.25">
      <c r="A114" s="40"/>
      <c r="B114" s="40"/>
      <c r="C114" s="40"/>
      <c r="D114" s="39"/>
      <c r="E114" s="34" t="s">
        <v>93</v>
      </c>
      <c r="F114" s="35" t="s">
        <v>94</v>
      </c>
      <c r="H114" s="38">
        <f>H112-(2*H113)</f>
        <v>2.8324402259193668</v>
      </c>
      <c r="I114" s="38"/>
      <c r="J114" s="38"/>
      <c r="K114" s="38">
        <f>K112-(2*K113)</f>
        <v>-3.0681393443174887</v>
      </c>
      <c r="N114" s="39"/>
      <c r="O114" s="53"/>
      <c r="P114" s="34"/>
      <c r="Q114" s="35"/>
      <c r="S114" s="38"/>
      <c r="T114" s="38"/>
      <c r="U114" s="38"/>
      <c r="V114" s="38"/>
      <c r="W114" s="36" t="s">
        <v>40</v>
      </c>
      <c r="X114" s="57">
        <f t="shared" ref="X114:AC114" si="31">AVERAGE(X2:X22)</f>
        <v>5.9247619047619058E-4</v>
      </c>
      <c r="Y114" s="57">
        <f t="shared" si="31"/>
        <v>0.25776419047619054</v>
      </c>
      <c r="Z114" s="57">
        <f t="shared" si="31"/>
        <v>0.5924761904761906</v>
      </c>
      <c r="AA114" s="57">
        <f t="shared" si="31"/>
        <v>257.76419047619049</v>
      </c>
      <c r="AB114" s="57">
        <f t="shared" si="31"/>
        <v>1.111733095238095</v>
      </c>
      <c r="AC114" s="57">
        <f t="shared" si="31"/>
        <v>552.74564666666663</v>
      </c>
      <c r="AD114" s="57">
        <f>AVERAGE(AD2:AD24)</f>
        <v>1.6459877177826088</v>
      </c>
      <c r="AE114" s="57">
        <f>AVERAGE(AE2:AE24)</f>
        <v>294.64255918086963</v>
      </c>
      <c r="AN114" s="53"/>
      <c r="AO114" s="53"/>
      <c r="AP114" s="53"/>
      <c r="AQ114" s="53"/>
      <c r="AR114" s="53"/>
      <c r="AS114" s="53"/>
      <c r="AT114" s="53"/>
      <c r="AU114" s="53"/>
      <c r="AV114" s="53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</row>
    <row r="115" spans="1:116" s="36" customFormat="1" x14ac:dyDescent="0.25">
      <c r="A115" s="40"/>
      <c r="B115" s="40"/>
      <c r="C115" s="40"/>
      <c r="D115" s="39"/>
      <c r="F115" s="35" t="s">
        <v>95</v>
      </c>
      <c r="H115" s="38">
        <f>H112+(2*H113)</f>
        <v>6.5385597740806336</v>
      </c>
      <c r="K115" s="38">
        <f>K112+(2*K113)</f>
        <v>16.407139344317493</v>
      </c>
      <c r="N115" s="39"/>
      <c r="O115" s="53"/>
      <c r="P115" s="34"/>
      <c r="Q115" s="35"/>
      <c r="S115" s="38"/>
      <c r="T115" s="38"/>
      <c r="U115" s="38"/>
      <c r="V115" s="38"/>
      <c r="W115" s="36" t="s">
        <v>91</v>
      </c>
      <c r="X115" s="57">
        <f t="shared" ref="X115:AC115" si="32">STDEV(X2:X22)</f>
        <v>2.7283394566065628E-4</v>
      </c>
      <c r="Y115" s="57">
        <f t="shared" si="32"/>
        <v>0.29724211835599934</v>
      </c>
      <c r="Z115" s="57">
        <f t="shared" si="32"/>
        <v>0.272833945660656</v>
      </c>
      <c r="AA115" s="57">
        <f t="shared" si="32"/>
        <v>297.24211835599937</v>
      </c>
      <c r="AB115" s="57">
        <f t="shared" si="32"/>
        <v>0.55180665509867766</v>
      </c>
      <c r="AC115" s="57">
        <f t="shared" si="32"/>
        <v>637.69667051367003</v>
      </c>
      <c r="AD115" s="57">
        <f>STDEV(AD2:AD24)</f>
        <v>0.3549714073934267</v>
      </c>
      <c r="AE115" s="57">
        <f>STDEV(AE2:AE24)</f>
        <v>135.27161965914311</v>
      </c>
      <c r="AN115" s="53"/>
      <c r="AO115" s="53"/>
      <c r="AP115" s="53"/>
      <c r="AQ115" s="53"/>
      <c r="AR115" s="53"/>
      <c r="AS115" s="53"/>
      <c r="AT115" s="53"/>
      <c r="AU115" s="53"/>
      <c r="AV115" s="53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</row>
    <row r="116" spans="1:116" s="36" customFormat="1" x14ac:dyDescent="0.25">
      <c r="A116" s="40"/>
      <c r="B116" s="40"/>
      <c r="C116" s="40"/>
      <c r="D116" s="39"/>
      <c r="E116" s="34" t="s">
        <v>96</v>
      </c>
      <c r="F116" s="35" t="s">
        <v>97</v>
      </c>
      <c r="H116" s="38">
        <f>H112-(3*H113)</f>
        <v>1.9059103388790501</v>
      </c>
      <c r="I116" s="38"/>
      <c r="J116" s="38"/>
      <c r="K116" s="38">
        <f>K112-(3*K113)</f>
        <v>-7.9369590164762336</v>
      </c>
      <c r="N116" s="53"/>
      <c r="O116" s="34"/>
      <c r="P116" s="35"/>
      <c r="R116" s="38"/>
      <c r="S116" s="38"/>
      <c r="T116" s="38"/>
      <c r="U116" s="54"/>
      <c r="V116" s="54"/>
      <c r="W116" s="38" t="s">
        <v>92</v>
      </c>
      <c r="Y116" s="38"/>
      <c r="AD116" s="36">
        <f>100*AD115/AD114</f>
        <v>21.5658600339756</v>
      </c>
      <c r="AE116" s="36">
        <f>100*AE115/AE114</f>
        <v>45.910414311907026</v>
      </c>
      <c r="AG116" s="55"/>
      <c r="AH116" s="55"/>
      <c r="AI116" s="55"/>
      <c r="AJ116" s="55"/>
      <c r="AL116" s="55"/>
      <c r="AM116" s="55"/>
      <c r="AN116" s="53"/>
      <c r="AO116" s="53"/>
      <c r="AP116" s="53"/>
      <c r="AQ116" s="53"/>
      <c r="AR116" s="53"/>
      <c r="AS116" s="53"/>
      <c r="AT116" s="53"/>
      <c r="AU116" s="53"/>
      <c r="AV116" s="53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</row>
    <row r="117" spans="1:116" x14ac:dyDescent="0.25">
      <c r="E117" s="39"/>
      <c r="F117" s="35" t="s">
        <v>98</v>
      </c>
      <c r="G117" s="40"/>
      <c r="H117" s="38">
        <f>H112+(3*H113)</f>
        <v>7.4650896611209507</v>
      </c>
      <c r="I117" s="40"/>
      <c r="J117" s="40"/>
      <c r="K117" s="38">
        <f>K112+(3*K113)</f>
        <v>21.275959016476236</v>
      </c>
      <c r="L117" s="39"/>
      <c r="M117" s="39"/>
      <c r="O117" s="34"/>
      <c r="P117" s="35"/>
      <c r="R117" s="38"/>
      <c r="S117" s="38"/>
      <c r="T117" s="38"/>
      <c r="U117" s="54"/>
      <c r="V117" s="54"/>
      <c r="W117" s="36" t="s">
        <v>99</v>
      </c>
      <c r="Y117" s="38"/>
      <c r="AD117" s="36">
        <f>COUNT(AD2:AD111)</f>
        <v>103</v>
      </c>
      <c r="AE117" s="36">
        <f>COUNT(AE2:AE111)</f>
        <v>102</v>
      </c>
      <c r="AG117" s="55"/>
      <c r="AH117" s="55"/>
      <c r="AI117" s="55"/>
      <c r="AJ117" s="55"/>
      <c r="AK117" s="36"/>
      <c r="AL117" s="55"/>
      <c r="AM117" s="55"/>
    </row>
    <row r="118" spans="1:116" x14ac:dyDescent="0.25">
      <c r="W118" s="38" t="s">
        <v>43</v>
      </c>
      <c r="AD118" s="36">
        <f>TINV(0.02,(AD117-1))</f>
        <v>2.3634635729126008</v>
      </c>
      <c r="AE118" s="36">
        <f>TINV(0.02,(AE117-1))</f>
        <v>2.3638366810042126</v>
      </c>
    </row>
    <row r="119" spans="1:116" x14ac:dyDescent="0.25">
      <c r="W119" s="36" t="s">
        <v>44</v>
      </c>
      <c r="AD119" s="36">
        <f>AD115*AD118</f>
        <v>0.83896199079988265</v>
      </c>
      <c r="AE119" s="36">
        <f>AE115*AE118</f>
        <v>319.76001644913305</v>
      </c>
    </row>
    <row r="120" spans="1:116" x14ac:dyDescent="0.25">
      <c r="W120" s="36" t="s">
        <v>45</v>
      </c>
      <c r="AD120" s="36">
        <f>AD115*10</f>
        <v>3.549714073934267</v>
      </c>
      <c r="AE120" s="36">
        <f>AE115*10</f>
        <v>1352.7161965914311</v>
      </c>
    </row>
    <row r="135" spans="1:1" x14ac:dyDescent="0.25">
      <c r="A135" s="53" t="s">
        <v>121</v>
      </c>
    </row>
  </sheetData>
  <conditionalFormatting sqref="G26:G28 G73:G104 G64 G45">
    <cfRule type="cellIs" dxfId="10" priority="6" operator="lessThan">
      <formula>26</formula>
    </cfRule>
  </conditionalFormatting>
  <conditionalFormatting sqref="G22:G24">
    <cfRule type="cellIs" dxfId="9" priority="10" operator="lessThan">
      <formula>26</formula>
    </cfRule>
  </conditionalFormatting>
  <conditionalFormatting sqref="G25">
    <cfRule type="cellIs" dxfId="8" priority="9" operator="lessThan">
      <formula>26</formula>
    </cfRule>
  </conditionalFormatting>
  <conditionalFormatting sqref="G33">
    <cfRule type="cellIs" dxfId="7" priority="3" operator="lessThan">
      <formula>26</formula>
    </cfRule>
  </conditionalFormatting>
  <conditionalFormatting sqref="G17:G20">
    <cfRule type="cellIs" dxfId="6" priority="8" operator="lessThan">
      <formula>26</formula>
    </cfRule>
  </conditionalFormatting>
  <conditionalFormatting sqref="G21">
    <cfRule type="cellIs" dxfId="5" priority="7" operator="lessThan">
      <formula>26</formula>
    </cfRule>
  </conditionalFormatting>
  <conditionalFormatting sqref="G30:G32">
    <cfRule type="cellIs" dxfId="4" priority="4" operator="lessThan">
      <formula>26</formula>
    </cfRule>
  </conditionalFormatting>
  <conditionalFormatting sqref="G105:G108 G69:G70 G40:G41 G53:G54 G58:G59 G66:G67 G61:G62">
    <cfRule type="cellIs" dxfId="3" priority="1" operator="lessThan">
      <formula>26</formula>
    </cfRule>
  </conditionalFormatting>
  <conditionalFormatting sqref="G29">
    <cfRule type="cellIs" dxfId="2" priority="5" operator="lessThan">
      <formula>26</formula>
    </cfRule>
  </conditionalFormatting>
  <conditionalFormatting sqref="G34:G39 G68 G71:G72 G42:G44 G55:G57 G65 G60 G63 G46:G52">
    <cfRule type="cellIs" dxfId="1" priority="2" operator="lessThan">
      <formula>26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82A6-A8E4-44D3-80D3-1A822F2C2969}">
  <sheetPr>
    <pageSetUpPr fitToPage="1"/>
  </sheetPr>
  <dimension ref="A1:DM42"/>
  <sheetViews>
    <sheetView zoomScale="75" zoomScaleNormal="85" zoomScalePageLayoutView="85" workbookViewId="0">
      <selection activeCell="K53" sqref="K53"/>
    </sheetView>
  </sheetViews>
  <sheetFormatPr defaultColWidth="8.77734375" defaultRowHeight="15" x14ac:dyDescent="0.25"/>
  <cols>
    <col min="1" max="1" width="14.21875" style="53" customWidth="1"/>
    <col min="2" max="2" width="9.21875" style="53" customWidth="1"/>
    <col min="3" max="3" width="7.77734375" style="53" customWidth="1"/>
    <col min="4" max="4" width="8.77734375" style="53"/>
    <col min="5" max="5" width="21.21875" style="53" customWidth="1"/>
    <col min="6" max="6" width="6.44140625" style="53" customWidth="1"/>
    <col min="7" max="7" width="8.21875" style="53" customWidth="1"/>
    <col min="8" max="8" width="6.77734375" style="53" customWidth="1"/>
    <col min="9" max="9" width="11.77734375" style="53" customWidth="1"/>
    <col min="10" max="10" width="5" style="53" customWidth="1"/>
    <col min="11" max="11" width="8.77734375" style="53" customWidth="1"/>
    <col min="12" max="12" width="7.21875" style="58" customWidth="1"/>
    <col min="13" max="13" width="14.21875" style="58" bestFit="1" customWidth="1"/>
    <col min="14" max="14" width="7.44140625" style="53" customWidth="1"/>
    <col min="15" max="15" width="12" style="36" bestFit="1" customWidth="1"/>
    <col min="16" max="16" width="12.77734375" style="36" customWidth="1"/>
    <col min="17" max="17" width="7.21875" style="36" customWidth="1"/>
    <col min="18" max="20" width="9.21875" style="36" bestFit="1" customWidth="1"/>
    <col min="21" max="21" width="9.77734375" style="36" bestFit="1" customWidth="1"/>
    <col min="22" max="22" width="10.77734375" style="36" bestFit="1" customWidth="1"/>
    <col min="23" max="23" width="9.21875" style="36" bestFit="1" customWidth="1"/>
    <col min="24" max="24" width="11.21875" style="36" bestFit="1" customWidth="1"/>
    <col min="25" max="25" width="9.21875" style="36" bestFit="1" customWidth="1"/>
    <col min="26" max="26" width="8.77734375" style="36"/>
    <col min="27" max="27" width="11.44140625" style="36" customWidth="1"/>
    <col min="28" max="28" width="9.21875" style="36" customWidth="1"/>
    <col min="29" max="29" width="11" style="36" customWidth="1"/>
    <col min="30" max="30" width="9.21875" style="36" customWidth="1"/>
    <col min="31" max="31" width="11.77734375" style="36" customWidth="1"/>
    <col min="32" max="36" width="9.21875" style="36" customWidth="1"/>
    <col min="37" max="48" width="8.77734375" style="53"/>
    <col min="49" max="258" width="8.77734375" style="56"/>
    <col min="259" max="259" width="24.77734375" style="56" customWidth="1"/>
    <col min="260" max="260" width="13.44140625" style="56" customWidth="1"/>
    <col min="261" max="261" width="8.77734375" style="56"/>
    <col min="262" max="262" width="6.77734375" style="56" customWidth="1"/>
    <col min="263" max="263" width="6.44140625" style="56" customWidth="1"/>
    <col min="264" max="264" width="8.21875" style="56" customWidth="1"/>
    <col min="265" max="265" width="6.77734375" style="56" customWidth="1"/>
    <col min="266" max="266" width="4.77734375" style="56" customWidth="1"/>
    <col min="267" max="268" width="5" style="56" customWidth="1"/>
    <col min="269" max="269" width="8.77734375" style="56"/>
    <col min="270" max="270" width="10.44140625" style="56" customWidth="1"/>
    <col min="271" max="271" width="3.77734375" style="56" customWidth="1"/>
    <col min="272" max="273" width="8.77734375" style="56"/>
    <col min="274" max="274" width="3.77734375" style="56" customWidth="1"/>
    <col min="275" max="514" width="8.77734375" style="56"/>
    <col min="515" max="515" width="24.77734375" style="56" customWidth="1"/>
    <col min="516" max="516" width="13.44140625" style="56" customWidth="1"/>
    <col min="517" max="517" width="8.77734375" style="56"/>
    <col min="518" max="518" width="6.77734375" style="56" customWidth="1"/>
    <col min="519" max="519" width="6.44140625" style="56" customWidth="1"/>
    <col min="520" max="520" width="8.21875" style="56" customWidth="1"/>
    <col min="521" max="521" width="6.77734375" style="56" customWidth="1"/>
    <col min="522" max="522" width="4.77734375" style="56" customWidth="1"/>
    <col min="523" max="524" width="5" style="56" customWidth="1"/>
    <col min="525" max="525" width="8.77734375" style="56"/>
    <col min="526" max="526" width="10.44140625" style="56" customWidth="1"/>
    <col min="527" max="527" width="3.77734375" style="56" customWidth="1"/>
    <col min="528" max="529" width="8.77734375" style="56"/>
    <col min="530" max="530" width="3.77734375" style="56" customWidth="1"/>
    <col min="531" max="770" width="8.77734375" style="56"/>
    <col min="771" max="771" width="24.77734375" style="56" customWidth="1"/>
    <col min="772" max="772" width="13.44140625" style="56" customWidth="1"/>
    <col min="773" max="773" width="8.77734375" style="56"/>
    <col min="774" max="774" width="6.77734375" style="56" customWidth="1"/>
    <col min="775" max="775" width="6.44140625" style="56" customWidth="1"/>
    <col min="776" max="776" width="8.21875" style="56" customWidth="1"/>
    <col min="777" max="777" width="6.77734375" style="56" customWidth="1"/>
    <col min="778" max="778" width="4.77734375" style="56" customWidth="1"/>
    <col min="779" max="780" width="5" style="56" customWidth="1"/>
    <col min="781" max="781" width="8.77734375" style="56"/>
    <col min="782" max="782" width="10.44140625" style="56" customWidth="1"/>
    <col min="783" max="783" width="3.77734375" style="56" customWidth="1"/>
    <col min="784" max="785" width="8.77734375" style="56"/>
    <col min="786" max="786" width="3.77734375" style="56" customWidth="1"/>
    <col min="787" max="1026" width="8.77734375" style="56"/>
    <col min="1027" max="1027" width="24.77734375" style="56" customWidth="1"/>
    <col min="1028" max="1028" width="13.44140625" style="56" customWidth="1"/>
    <col min="1029" max="1029" width="8.77734375" style="56"/>
    <col min="1030" max="1030" width="6.77734375" style="56" customWidth="1"/>
    <col min="1031" max="1031" width="6.44140625" style="56" customWidth="1"/>
    <col min="1032" max="1032" width="8.21875" style="56" customWidth="1"/>
    <col min="1033" max="1033" width="6.77734375" style="56" customWidth="1"/>
    <col min="1034" max="1034" width="4.77734375" style="56" customWidth="1"/>
    <col min="1035" max="1036" width="5" style="56" customWidth="1"/>
    <col min="1037" max="1037" width="8.77734375" style="56"/>
    <col min="1038" max="1038" width="10.44140625" style="56" customWidth="1"/>
    <col min="1039" max="1039" width="3.77734375" style="56" customWidth="1"/>
    <col min="1040" max="1041" width="8.77734375" style="56"/>
    <col min="1042" max="1042" width="3.77734375" style="56" customWidth="1"/>
    <col min="1043" max="1282" width="8.77734375" style="56"/>
    <col min="1283" max="1283" width="24.77734375" style="56" customWidth="1"/>
    <col min="1284" max="1284" width="13.44140625" style="56" customWidth="1"/>
    <col min="1285" max="1285" width="8.77734375" style="56"/>
    <col min="1286" max="1286" width="6.77734375" style="56" customWidth="1"/>
    <col min="1287" max="1287" width="6.44140625" style="56" customWidth="1"/>
    <col min="1288" max="1288" width="8.21875" style="56" customWidth="1"/>
    <col min="1289" max="1289" width="6.77734375" style="56" customWidth="1"/>
    <col min="1290" max="1290" width="4.77734375" style="56" customWidth="1"/>
    <col min="1291" max="1292" width="5" style="56" customWidth="1"/>
    <col min="1293" max="1293" width="8.77734375" style="56"/>
    <col min="1294" max="1294" width="10.44140625" style="56" customWidth="1"/>
    <col min="1295" max="1295" width="3.77734375" style="56" customWidth="1"/>
    <col min="1296" max="1297" width="8.77734375" style="56"/>
    <col min="1298" max="1298" width="3.77734375" style="56" customWidth="1"/>
    <col min="1299" max="1538" width="8.77734375" style="56"/>
    <col min="1539" max="1539" width="24.77734375" style="56" customWidth="1"/>
    <col min="1540" max="1540" width="13.44140625" style="56" customWidth="1"/>
    <col min="1541" max="1541" width="8.77734375" style="56"/>
    <col min="1542" max="1542" width="6.77734375" style="56" customWidth="1"/>
    <col min="1543" max="1543" width="6.44140625" style="56" customWidth="1"/>
    <col min="1544" max="1544" width="8.21875" style="56" customWidth="1"/>
    <col min="1545" max="1545" width="6.77734375" style="56" customWidth="1"/>
    <col min="1546" max="1546" width="4.77734375" style="56" customWidth="1"/>
    <col min="1547" max="1548" width="5" style="56" customWidth="1"/>
    <col min="1549" max="1549" width="8.77734375" style="56"/>
    <col min="1550" max="1550" width="10.44140625" style="56" customWidth="1"/>
    <col min="1551" max="1551" width="3.77734375" style="56" customWidth="1"/>
    <col min="1552" max="1553" width="8.77734375" style="56"/>
    <col min="1554" max="1554" width="3.77734375" style="56" customWidth="1"/>
    <col min="1555" max="1794" width="8.77734375" style="56"/>
    <col min="1795" max="1795" width="24.77734375" style="56" customWidth="1"/>
    <col min="1796" max="1796" width="13.44140625" style="56" customWidth="1"/>
    <col min="1797" max="1797" width="8.77734375" style="56"/>
    <col min="1798" max="1798" width="6.77734375" style="56" customWidth="1"/>
    <col min="1799" max="1799" width="6.44140625" style="56" customWidth="1"/>
    <col min="1800" max="1800" width="8.21875" style="56" customWidth="1"/>
    <col min="1801" max="1801" width="6.77734375" style="56" customWidth="1"/>
    <col min="1802" max="1802" width="4.77734375" style="56" customWidth="1"/>
    <col min="1803" max="1804" width="5" style="56" customWidth="1"/>
    <col min="1805" max="1805" width="8.77734375" style="56"/>
    <col min="1806" max="1806" width="10.44140625" style="56" customWidth="1"/>
    <col min="1807" max="1807" width="3.77734375" style="56" customWidth="1"/>
    <col min="1808" max="1809" width="8.77734375" style="56"/>
    <col min="1810" max="1810" width="3.77734375" style="56" customWidth="1"/>
    <col min="1811" max="2050" width="8.77734375" style="56"/>
    <col min="2051" max="2051" width="24.77734375" style="56" customWidth="1"/>
    <col min="2052" max="2052" width="13.44140625" style="56" customWidth="1"/>
    <col min="2053" max="2053" width="8.77734375" style="56"/>
    <col min="2054" max="2054" width="6.77734375" style="56" customWidth="1"/>
    <col min="2055" max="2055" width="6.44140625" style="56" customWidth="1"/>
    <col min="2056" max="2056" width="8.21875" style="56" customWidth="1"/>
    <col min="2057" max="2057" width="6.77734375" style="56" customWidth="1"/>
    <col min="2058" max="2058" width="4.77734375" style="56" customWidth="1"/>
    <col min="2059" max="2060" width="5" style="56" customWidth="1"/>
    <col min="2061" max="2061" width="8.77734375" style="56"/>
    <col min="2062" max="2062" width="10.44140625" style="56" customWidth="1"/>
    <col min="2063" max="2063" width="3.77734375" style="56" customWidth="1"/>
    <col min="2064" max="2065" width="8.77734375" style="56"/>
    <col min="2066" max="2066" width="3.77734375" style="56" customWidth="1"/>
    <col min="2067" max="2306" width="8.77734375" style="56"/>
    <col min="2307" max="2307" width="24.77734375" style="56" customWidth="1"/>
    <col min="2308" max="2308" width="13.44140625" style="56" customWidth="1"/>
    <col min="2309" max="2309" width="8.77734375" style="56"/>
    <col min="2310" max="2310" width="6.77734375" style="56" customWidth="1"/>
    <col min="2311" max="2311" width="6.44140625" style="56" customWidth="1"/>
    <col min="2312" max="2312" width="8.21875" style="56" customWidth="1"/>
    <col min="2313" max="2313" width="6.77734375" style="56" customWidth="1"/>
    <col min="2314" max="2314" width="4.77734375" style="56" customWidth="1"/>
    <col min="2315" max="2316" width="5" style="56" customWidth="1"/>
    <col min="2317" max="2317" width="8.77734375" style="56"/>
    <col min="2318" max="2318" width="10.44140625" style="56" customWidth="1"/>
    <col min="2319" max="2319" width="3.77734375" style="56" customWidth="1"/>
    <col min="2320" max="2321" width="8.77734375" style="56"/>
    <col min="2322" max="2322" width="3.77734375" style="56" customWidth="1"/>
    <col min="2323" max="2562" width="8.77734375" style="56"/>
    <col min="2563" max="2563" width="24.77734375" style="56" customWidth="1"/>
    <col min="2564" max="2564" width="13.44140625" style="56" customWidth="1"/>
    <col min="2565" max="2565" width="8.77734375" style="56"/>
    <col min="2566" max="2566" width="6.77734375" style="56" customWidth="1"/>
    <col min="2567" max="2567" width="6.44140625" style="56" customWidth="1"/>
    <col min="2568" max="2568" width="8.21875" style="56" customWidth="1"/>
    <col min="2569" max="2569" width="6.77734375" style="56" customWidth="1"/>
    <col min="2570" max="2570" width="4.77734375" style="56" customWidth="1"/>
    <col min="2571" max="2572" width="5" style="56" customWidth="1"/>
    <col min="2573" max="2573" width="8.77734375" style="56"/>
    <col min="2574" max="2574" width="10.44140625" style="56" customWidth="1"/>
    <col min="2575" max="2575" width="3.77734375" style="56" customWidth="1"/>
    <col min="2576" max="2577" width="8.77734375" style="56"/>
    <col min="2578" max="2578" width="3.77734375" style="56" customWidth="1"/>
    <col min="2579" max="2818" width="8.77734375" style="56"/>
    <col min="2819" max="2819" width="24.77734375" style="56" customWidth="1"/>
    <col min="2820" max="2820" width="13.44140625" style="56" customWidth="1"/>
    <col min="2821" max="2821" width="8.77734375" style="56"/>
    <col min="2822" max="2822" width="6.77734375" style="56" customWidth="1"/>
    <col min="2823" max="2823" width="6.44140625" style="56" customWidth="1"/>
    <col min="2824" max="2824" width="8.21875" style="56" customWidth="1"/>
    <col min="2825" max="2825" width="6.77734375" style="56" customWidth="1"/>
    <col min="2826" max="2826" width="4.77734375" style="56" customWidth="1"/>
    <col min="2827" max="2828" width="5" style="56" customWidth="1"/>
    <col min="2829" max="2829" width="8.77734375" style="56"/>
    <col min="2830" max="2830" width="10.44140625" style="56" customWidth="1"/>
    <col min="2831" max="2831" width="3.77734375" style="56" customWidth="1"/>
    <col min="2832" max="2833" width="8.77734375" style="56"/>
    <col min="2834" max="2834" width="3.77734375" style="56" customWidth="1"/>
    <col min="2835" max="3074" width="8.77734375" style="56"/>
    <col min="3075" max="3075" width="24.77734375" style="56" customWidth="1"/>
    <col min="3076" max="3076" width="13.44140625" style="56" customWidth="1"/>
    <col min="3077" max="3077" width="8.77734375" style="56"/>
    <col min="3078" max="3078" width="6.77734375" style="56" customWidth="1"/>
    <col min="3079" max="3079" width="6.44140625" style="56" customWidth="1"/>
    <col min="3080" max="3080" width="8.21875" style="56" customWidth="1"/>
    <col min="3081" max="3081" width="6.77734375" style="56" customWidth="1"/>
    <col min="3082" max="3082" width="4.77734375" style="56" customWidth="1"/>
    <col min="3083" max="3084" width="5" style="56" customWidth="1"/>
    <col min="3085" max="3085" width="8.77734375" style="56"/>
    <col min="3086" max="3086" width="10.44140625" style="56" customWidth="1"/>
    <col min="3087" max="3087" width="3.77734375" style="56" customWidth="1"/>
    <col min="3088" max="3089" width="8.77734375" style="56"/>
    <col min="3090" max="3090" width="3.77734375" style="56" customWidth="1"/>
    <col min="3091" max="3330" width="8.77734375" style="56"/>
    <col min="3331" max="3331" width="24.77734375" style="56" customWidth="1"/>
    <col min="3332" max="3332" width="13.44140625" style="56" customWidth="1"/>
    <col min="3333" max="3333" width="8.77734375" style="56"/>
    <col min="3334" max="3334" width="6.77734375" style="56" customWidth="1"/>
    <col min="3335" max="3335" width="6.44140625" style="56" customWidth="1"/>
    <col min="3336" max="3336" width="8.21875" style="56" customWidth="1"/>
    <col min="3337" max="3337" width="6.77734375" style="56" customWidth="1"/>
    <col min="3338" max="3338" width="4.77734375" style="56" customWidth="1"/>
    <col min="3339" max="3340" width="5" style="56" customWidth="1"/>
    <col min="3341" max="3341" width="8.77734375" style="56"/>
    <col min="3342" max="3342" width="10.44140625" style="56" customWidth="1"/>
    <col min="3343" max="3343" width="3.77734375" style="56" customWidth="1"/>
    <col min="3344" max="3345" width="8.77734375" style="56"/>
    <col min="3346" max="3346" width="3.77734375" style="56" customWidth="1"/>
    <col min="3347" max="3586" width="8.77734375" style="56"/>
    <col min="3587" max="3587" width="24.77734375" style="56" customWidth="1"/>
    <col min="3588" max="3588" width="13.44140625" style="56" customWidth="1"/>
    <col min="3589" max="3589" width="8.77734375" style="56"/>
    <col min="3590" max="3590" width="6.77734375" style="56" customWidth="1"/>
    <col min="3591" max="3591" width="6.44140625" style="56" customWidth="1"/>
    <col min="3592" max="3592" width="8.21875" style="56" customWidth="1"/>
    <col min="3593" max="3593" width="6.77734375" style="56" customWidth="1"/>
    <col min="3594" max="3594" width="4.77734375" style="56" customWidth="1"/>
    <col min="3595" max="3596" width="5" style="56" customWidth="1"/>
    <col min="3597" max="3597" width="8.77734375" style="56"/>
    <col min="3598" max="3598" width="10.44140625" style="56" customWidth="1"/>
    <col min="3599" max="3599" width="3.77734375" style="56" customWidth="1"/>
    <col min="3600" max="3601" width="8.77734375" style="56"/>
    <col min="3602" max="3602" width="3.77734375" style="56" customWidth="1"/>
    <col min="3603" max="3842" width="8.77734375" style="56"/>
    <col min="3843" max="3843" width="24.77734375" style="56" customWidth="1"/>
    <col min="3844" max="3844" width="13.44140625" style="56" customWidth="1"/>
    <col min="3845" max="3845" width="8.77734375" style="56"/>
    <col min="3846" max="3846" width="6.77734375" style="56" customWidth="1"/>
    <col min="3847" max="3847" width="6.44140625" style="56" customWidth="1"/>
    <col min="3848" max="3848" width="8.21875" style="56" customWidth="1"/>
    <col min="3849" max="3849" width="6.77734375" style="56" customWidth="1"/>
    <col min="3850" max="3850" width="4.77734375" style="56" customWidth="1"/>
    <col min="3851" max="3852" width="5" style="56" customWidth="1"/>
    <col min="3853" max="3853" width="8.77734375" style="56"/>
    <col min="3854" max="3854" width="10.44140625" style="56" customWidth="1"/>
    <col min="3855" max="3855" width="3.77734375" style="56" customWidth="1"/>
    <col min="3856" max="3857" width="8.77734375" style="56"/>
    <col min="3858" max="3858" width="3.77734375" style="56" customWidth="1"/>
    <col min="3859" max="4098" width="8.77734375" style="56"/>
    <col min="4099" max="4099" width="24.77734375" style="56" customWidth="1"/>
    <col min="4100" max="4100" width="13.44140625" style="56" customWidth="1"/>
    <col min="4101" max="4101" width="8.77734375" style="56"/>
    <col min="4102" max="4102" width="6.77734375" style="56" customWidth="1"/>
    <col min="4103" max="4103" width="6.44140625" style="56" customWidth="1"/>
    <col min="4104" max="4104" width="8.21875" style="56" customWidth="1"/>
    <col min="4105" max="4105" width="6.77734375" style="56" customWidth="1"/>
    <col min="4106" max="4106" width="4.77734375" style="56" customWidth="1"/>
    <col min="4107" max="4108" width="5" style="56" customWidth="1"/>
    <col min="4109" max="4109" width="8.77734375" style="56"/>
    <col min="4110" max="4110" width="10.44140625" style="56" customWidth="1"/>
    <col min="4111" max="4111" width="3.77734375" style="56" customWidth="1"/>
    <col min="4112" max="4113" width="8.77734375" style="56"/>
    <col min="4114" max="4114" width="3.77734375" style="56" customWidth="1"/>
    <col min="4115" max="4354" width="8.77734375" style="56"/>
    <col min="4355" max="4355" width="24.77734375" style="56" customWidth="1"/>
    <col min="4356" max="4356" width="13.44140625" style="56" customWidth="1"/>
    <col min="4357" max="4357" width="8.77734375" style="56"/>
    <col min="4358" max="4358" width="6.77734375" style="56" customWidth="1"/>
    <col min="4359" max="4359" width="6.44140625" style="56" customWidth="1"/>
    <col min="4360" max="4360" width="8.21875" style="56" customWidth="1"/>
    <col min="4361" max="4361" width="6.77734375" style="56" customWidth="1"/>
    <col min="4362" max="4362" width="4.77734375" style="56" customWidth="1"/>
    <col min="4363" max="4364" width="5" style="56" customWidth="1"/>
    <col min="4365" max="4365" width="8.77734375" style="56"/>
    <col min="4366" max="4366" width="10.44140625" style="56" customWidth="1"/>
    <col min="4367" max="4367" width="3.77734375" style="56" customWidth="1"/>
    <col min="4368" max="4369" width="8.77734375" style="56"/>
    <col min="4370" max="4370" width="3.77734375" style="56" customWidth="1"/>
    <col min="4371" max="4610" width="8.77734375" style="56"/>
    <col min="4611" max="4611" width="24.77734375" style="56" customWidth="1"/>
    <col min="4612" max="4612" width="13.44140625" style="56" customWidth="1"/>
    <col min="4613" max="4613" width="8.77734375" style="56"/>
    <col min="4614" max="4614" width="6.77734375" style="56" customWidth="1"/>
    <col min="4615" max="4615" width="6.44140625" style="56" customWidth="1"/>
    <col min="4616" max="4616" width="8.21875" style="56" customWidth="1"/>
    <col min="4617" max="4617" width="6.77734375" style="56" customWidth="1"/>
    <col min="4618" max="4618" width="4.77734375" style="56" customWidth="1"/>
    <col min="4619" max="4620" width="5" style="56" customWidth="1"/>
    <col min="4621" max="4621" width="8.77734375" style="56"/>
    <col min="4622" max="4622" width="10.44140625" style="56" customWidth="1"/>
    <col min="4623" max="4623" width="3.77734375" style="56" customWidth="1"/>
    <col min="4624" max="4625" width="8.77734375" style="56"/>
    <col min="4626" max="4626" width="3.77734375" style="56" customWidth="1"/>
    <col min="4627" max="4866" width="8.77734375" style="56"/>
    <col min="4867" max="4867" width="24.77734375" style="56" customWidth="1"/>
    <col min="4868" max="4868" width="13.44140625" style="56" customWidth="1"/>
    <col min="4869" max="4869" width="8.77734375" style="56"/>
    <col min="4870" max="4870" width="6.77734375" style="56" customWidth="1"/>
    <col min="4871" max="4871" width="6.44140625" style="56" customWidth="1"/>
    <col min="4872" max="4872" width="8.21875" style="56" customWidth="1"/>
    <col min="4873" max="4873" width="6.77734375" style="56" customWidth="1"/>
    <col min="4874" max="4874" width="4.77734375" style="56" customWidth="1"/>
    <col min="4875" max="4876" width="5" style="56" customWidth="1"/>
    <col min="4877" max="4877" width="8.77734375" style="56"/>
    <col min="4878" max="4878" width="10.44140625" style="56" customWidth="1"/>
    <col min="4879" max="4879" width="3.77734375" style="56" customWidth="1"/>
    <col min="4880" max="4881" width="8.77734375" style="56"/>
    <col min="4882" max="4882" width="3.77734375" style="56" customWidth="1"/>
    <col min="4883" max="5122" width="8.77734375" style="56"/>
    <col min="5123" max="5123" width="24.77734375" style="56" customWidth="1"/>
    <col min="5124" max="5124" width="13.44140625" style="56" customWidth="1"/>
    <col min="5125" max="5125" width="8.77734375" style="56"/>
    <col min="5126" max="5126" width="6.77734375" style="56" customWidth="1"/>
    <col min="5127" max="5127" width="6.44140625" style="56" customWidth="1"/>
    <col min="5128" max="5128" width="8.21875" style="56" customWidth="1"/>
    <col min="5129" max="5129" width="6.77734375" style="56" customWidth="1"/>
    <col min="5130" max="5130" width="4.77734375" style="56" customWidth="1"/>
    <col min="5131" max="5132" width="5" style="56" customWidth="1"/>
    <col min="5133" max="5133" width="8.77734375" style="56"/>
    <col min="5134" max="5134" width="10.44140625" style="56" customWidth="1"/>
    <col min="5135" max="5135" width="3.77734375" style="56" customWidth="1"/>
    <col min="5136" max="5137" width="8.77734375" style="56"/>
    <col min="5138" max="5138" width="3.77734375" style="56" customWidth="1"/>
    <col min="5139" max="5378" width="8.77734375" style="56"/>
    <col min="5379" max="5379" width="24.77734375" style="56" customWidth="1"/>
    <col min="5380" max="5380" width="13.44140625" style="56" customWidth="1"/>
    <col min="5381" max="5381" width="8.77734375" style="56"/>
    <col min="5382" max="5382" width="6.77734375" style="56" customWidth="1"/>
    <col min="5383" max="5383" width="6.44140625" style="56" customWidth="1"/>
    <col min="5384" max="5384" width="8.21875" style="56" customWidth="1"/>
    <col min="5385" max="5385" width="6.77734375" style="56" customWidth="1"/>
    <col min="5386" max="5386" width="4.77734375" style="56" customWidth="1"/>
    <col min="5387" max="5388" width="5" style="56" customWidth="1"/>
    <col min="5389" max="5389" width="8.77734375" style="56"/>
    <col min="5390" max="5390" width="10.44140625" style="56" customWidth="1"/>
    <col min="5391" max="5391" width="3.77734375" style="56" customWidth="1"/>
    <col min="5392" max="5393" width="8.77734375" style="56"/>
    <col min="5394" max="5394" width="3.77734375" style="56" customWidth="1"/>
    <col min="5395" max="5634" width="8.77734375" style="56"/>
    <col min="5635" max="5635" width="24.77734375" style="56" customWidth="1"/>
    <col min="5636" max="5636" width="13.44140625" style="56" customWidth="1"/>
    <col min="5637" max="5637" width="8.77734375" style="56"/>
    <col min="5638" max="5638" width="6.77734375" style="56" customWidth="1"/>
    <col min="5639" max="5639" width="6.44140625" style="56" customWidth="1"/>
    <col min="5640" max="5640" width="8.21875" style="56" customWidth="1"/>
    <col min="5641" max="5641" width="6.77734375" style="56" customWidth="1"/>
    <col min="5642" max="5642" width="4.77734375" style="56" customWidth="1"/>
    <col min="5643" max="5644" width="5" style="56" customWidth="1"/>
    <col min="5645" max="5645" width="8.77734375" style="56"/>
    <col min="5646" max="5646" width="10.44140625" style="56" customWidth="1"/>
    <col min="5647" max="5647" width="3.77734375" style="56" customWidth="1"/>
    <col min="5648" max="5649" width="8.77734375" style="56"/>
    <col min="5650" max="5650" width="3.77734375" style="56" customWidth="1"/>
    <col min="5651" max="5890" width="8.77734375" style="56"/>
    <col min="5891" max="5891" width="24.77734375" style="56" customWidth="1"/>
    <col min="5892" max="5892" width="13.44140625" style="56" customWidth="1"/>
    <col min="5893" max="5893" width="8.77734375" style="56"/>
    <col min="5894" max="5894" width="6.77734375" style="56" customWidth="1"/>
    <col min="5895" max="5895" width="6.44140625" style="56" customWidth="1"/>
    <col min="5896" max="5896" width="8.21875" style="56" customWidth="1"/>
    <col min="5897" max="5897" width="6.77734375" style="56" customWidth="1"/>
    <col min="5898" max="5898" width="4.77734375" style="56" customWidth="1"/>
    <col min="5899" max="5900" width="5" style="56" customWidth="1"/>
    <col min="5901" max="5901" width="8.77734375" style="56"/>
    <col min="5902" max="5902" width="10.44140625" style="56" customWidth="1"/>
    <col min="5903" max="5903" width="3.77734375" style="56" customWidth="1"/>
    <col min="5904" max="5905" width="8.77734375" style="56"/>
    <col min="5906" max="5906" width="3.77734375" style="56" customWidth="1"/>
    <col min="5907" max="6146" width="8.77734375" style="56"/>
    <col min="6147" max="6147" width="24.77734375" style="56" customWidth="1"/>
    <col min="6148" max="6148" width="13.44140625" style="56" customWidth="1"/>
    <col min="6149" max="6149" width="8.77734375" style="56"/>
    <col min="6150" max="6150" width="6.77734375" style="56" customWidth="1"/>
    <col min="6151" max="6151" width="6.44140625" style="56" customWidth="1"/>
    <col min="6152" max="6152" width="8.21875" style="56" customWidth="1"/>
    <col min="6153" max="6153" width="6.77734375" style="56" customWidth="1"/>
    <col min="6154" max="6154" width="4.77734375" style="56" customWidth="1"/>
    <col min="6155" max="6156" width="5" style="56" customWidth="1"/>
    <col min="6157" max="6157" width="8.77734375" style="56"/>
    <col min="6158" max="6158" width="10.44140625" style="56" customWidth="1"/>
    <col min="6159" max="6159" width="3.77734375" style="56" customWidth="1"/>
    <col min="6160" max="6161" width="8.77734375" style="56"/>
    <col min="6162" max="6162" width="3.77734375" style="56" customWidth="1"/>
    <col min="6163" max="6402" width="8.77734375" style="56"/>
    <col min="6403" max="6403" width="24.77734375" style="56" customWidth="1"/>
    <col min="6404" max="6404" width="13.44140625" style="56" customWidth="1"/>
    <col min="6405" max="6405" width="8.77734375" style="56"/>
    <col min="6406" max="6406" width="6.77734375" style="56" customWidth="1"/>
    <col min="6407" max="6407" width="6.44140625" style="56" customWidth="1"/>
    <col min="6408" max="6408" width="8.21875" style="56" customWidth="1"/>
    <col min="6409" max="6409" width="6.77734375" style="56" customWidth="1"/>
    <col min="6410" max="6410" width="4.77734375" style="56" customWidth="1"/>
    <col min="6411" max="6412" width="5" style="56" customWidth="1"/>
    <col min="6413" max="6413" width="8.77734375" style="56"/>
    <col min="6414" max="6414" width="10.44140625" style="56" customWidth="1"/>
    <col min="6415" max="6415" width="3.77734375" style="56" customWidth="1"/>
    <col min="6416" max="6417" width="8.77734375" style="56"/>
    <col min="6418" max="6418" width="3.77734375" style="56" customWidth="1"/>
    <col min="6419" max="6658" width="8.77734375" style="56"/>
    <col min="6659" max="6659" width="24.77734375" style="56" customWidth="1"/>
    <col min="6660" max="6660" width="13.44140625" style="56" customWidth="1"/>
    <col min="6661" max="6661" width="8.77734375" style="56"/>
    <col min="6662" max="6662" width="6.77734375" style="56" customWidth="1"/>
    <col min="6663" max="6663" width="6.44140625" style="56" customWidth="1"/>
    <col min="6664" max="6664" width="8.21875" style="56" customWidth="1"/>
    <col min="6665" max="6665" width="6.77734375" style="56" customWidth="1"/>
    <col min="6666" max="6666" width="4.77734375" style="56" customWidth="1"/>
    <col min="6667" max="6668" width="5" style="56" customWidth="1"/>
    <col min="6669" max="6669" width="8.77734375" style="56"/>
    <col min="6670" max="6670" width="10.44140625" style="56" customWidth="1"/>
    <col min="6671" max="6671" width="3.77734375" style="56" customWidth="1"/>
    <col min="6672" max="6673" width="8.77734375" style="56"/>
    <col min="6674" max="6674" width="3.77734375" style="56" customWidth="1"/>
    <col min="6675" max="6914" width="8.77734375" style="56"/>
    <col min="6915" max="6915" width="24.77734375" style="56" customWidth="1"/>
    <col min="6916" max="6916" width="13.44140625" style="56" customWidth="1"/>
    <col min="6917" max="6917" width="8.77734375" style="56"/>
    <col min="6918" max="6918" width="6.77734375" style="56" customWidth="1"/>
    <col min="6919" max="6919" width="6.44140625" style="56" customWidth="1"/>
    <col min="6920" max="6920" width="8.21875" style="56" customWidth="1"/>
    <col min="6921" max="6921" width="6.77734375" style="56" customWidth="1"/>
    <col min="6922" max="6922" width="4.77734375" style="56" customWidth="1"/>
    <col min="6923" max="6924" width="5" style="56" customWidth="1"/>
    <col min="6925" max="6925" width="8.77734375" style="56"/>
    <col min="6926" max="6926" width="10.44140625" style="56" customWidth="1"/>
    <col min="6927" max="6927" width="3.77734375" style="56" customWidth="1"/>
    <col min="6928" max="6929" width="8.77734375" style="56"/>
    <col min="6930" max="6930" width="3.77734375" style="56" customWidth="1"/>
    <col min="6931" max="7170" width="8.77734375" style="56"/>
    <col min="7171" max="7171" width="24.77734375" style="56" customWidth="1"/>
    <col min="7172" max="7172" width="13.44140625" style="56" customWidth="1"/>
    <col min="7173" max="7173" width="8.77734375" style="56"/>
    <col min="7174" max="7174" width="6.77734375" style="56" customWidth="1"/>
    <col min="7175" max="7175" width="6.44140625" style="56" customWidth="1"/>
    <col min="7176" max="7176" width="8.21875" style="56" customWidth="1"/>
    <col min="7177" max="7177" width="6.77734375" style="56" customWidth="1"/>
    <col min="7178" max="7178" width="4.77734375" style="56" customWidth="1"/>
    <col min="7179" max="7180" width="5" style="56" customWidth="1"/>
    <col min="7181" max="7181" width="8.77734375" style="56"/>
    <col min="7182" max="7182" width="10.44140625" style="56" customWidth="1"/>
    <col min="7183" max="7183" width="3.77734375" style="56" customWidth="1"/>
    <col min="7184" max="7185" width="8.77734375" style="56"/>
    <col min="7186" max="7186" width="3.77734375" style="56" customWidth="1"/>
    <col min="7187" max="7426" width="8.77734375" style="56"/>
    <col min="7427" max="7427" width="24.77734375" style="56" customWidth="1"/>
    <col min="7428" max="7428" width="13.44140625" style="56" customWidth="1"/>
    <col min="7429" max="7429" width="8.77734375" style="56"/>
    <col min="7430" max="7430" width="6.77734375" style="56" customWidth="1"/>
    <col min="7431" max="7431" width="6.44140625" style="56" customWidth="1"/>
    <col min="7432" max="7432" width="8.21875" style="56" customWidth="1"/>
    <col min="7433" max="7433" width="6.77734375" style="56" customWidth="1"/>
    <col min="7434" max="7434" width="4.77734375" style="56" customWidth="1"/>
    <col min="7435" max="7436" width="5" style="56" customWidth="1"/>
    <col min="7437" max="7437" width="8.77734375" style="56"/>
    <col min="7438" max="7438" width="10.44140625" style="56" customWidth="1"/>
    <col min="7439" max="7439" width="3.77734375" style="56" customWidth="1"/>
    <col min="7440" max="7441" width="8.77734375" style="56"/>
    <col min="7442" max="7442" width="3.77734375" style="56" customWidth="1"/>
    <col min="7443" max="7682" width="8.77734375" style="56"/>
    <col min="7683" max="7683" width="24.77734375" style="56" customWidth="1"/>
    <col min="7684" max="7684" width="13.44140625" style="56" customWidth="1"/>
    <col min="7685" max="7685" width="8.77734375" style="56"/>
    <col min="7686" max="7686" width="6.77734375" style="56" customWidth="1"/>
    <col min="7687" max="7687" width="6.44140625" style="56" customWidth="1"/>
    <col min="7688" max="7688" width="8.21875" style="56" customWidth="1"/>
    <col min="7689" max="7689" width="6.77734375" style="56" customWidth="1"/>
    <col min="7690" max="7690" width="4.77734375" style="56" customWidth="1"/>
    <col min="7691" max="7692" width="5" style="56" customWidth="1"/>
    <col min="7693" max="7693" width="8.77734375" style="56"/>
    <col min="7694" max="7694" width="10.44140625" style="56" customWidth="1"/>
    <col min="7695" max="7695" width="3.77734375" style="56" customWidth="1"/>
    <col min="7696" max="7697" width="8.77734375" style="56"/>
    <col min="7698" max="7698" width="3.77734375" style="56" customWidth="1"/>
    <col min="7699" max="7938" width="8.77734375" style="56"/>
    <col min="7939" max="7939" width="24.77734375" style="56" customWidth="1"/>
    <col min="7940" max="7940" width="13.44140625" style="56" customWidth="1"/>
    <col min="7941" max="7941" width="8.77734375" style="56"/>
    <col min="7942" max="7942" width="6.77734375" style="56" customWidth="1"/>
    <col min="7943" max="7943" width="6.44140625" style="56" customWidth="1"/>
    <col min="7944" max="7944" width="8.21875" style="56" customWidth="1"/>
    <col min="7945" max="7945" width="6.77734375" style="56" customWidth="1"/>
    <col min="7946" max="7946" width="4.77734375" style="56" customWidth="1"/>
    <col min="7947" max="7948" width="5" style="56" customWidth="1"/>
    <col min="7949" max="7949" width="8.77734375" style="56"/>
    <col min="7950" max="7950" width="10.44140625" style="56" customWidth="1"/>
    <col min="7951" max="7951" width="3.77734375" style="56" customWidth="1"/>
    <col min="7952" max="7953" width="8.77734375" style="56"/>
    <col min="7954" max="7954" width="3.77734375" style="56" customWidth="1"/>
    <col min="7955" max="8194" width="8.77734375" style="56"/>
    <col min="8195" max="8195" width="24.77734375" style="56" customWidth="1"/>
    <col min="8196" max="8196" width="13.44140625" style="56" customWidth="1"/>
    <col min="8197" max="8197" width="8.77734375" style="56"/>
    <col min="8198" max="8198" width="6.77734375" style="56" customWidth="1"/>
    <col min="8199" max="8199" width="6.44140625" style="56" customWidth="1"/>
    <col min="8200" max="8200" width="8.21875" style="56" customWidth="1"/>
    <col min="8201" max="8201" width="6.77734375" style="56" customWidth="1"/>
    <col min="8202" max="8202" width="4.77734375" style="56" customWidth="1"/>
    <col min="8203" max="8204" width="5" style="56" customWidth="1"/>
    <col min="8205" max="8205" width="8.77734375" style="56"/>
    <col min="8206" max="8206" width="10.44140625" style="56" customWidth="1"/>
    <col min="8207" max="8207" width="3.77734375" style="56" customWidth="1"/>
    <col min="8208" max="8209" width="8.77734375" style="56"/>
    <col min="8210" max="8210" width="3.77734375" style="56" customWidth="1"/>
    <col min="8211" max="8450" width="8.77734375" style="56"/>
    <col min="8451" max="8451" width="24.77734375" style="56" customWidth="1"/>
    <col min="8452" max="8452" width="13.44140625" style="56" customWidth="1"/>
    <col min="8453" max="8453" width="8.77734375" style="56"/>
    <col min="8454" max="8454" width="6.77734375" style="56" customWidth="1"/>
    <col min="8455" max="8455" width="6.44140625" style="56" customWidth="1"/>
    <col min="8456" max="8456" width="8.21875" style="56" customWidth="1"/>
    <col min="8457" max="8457" width="6.77734375" style="56" customWidth="1"/>
    <col min="8458" max="8458" width="4.77734375" style="56" customWidth="1"/>
    <col min="8459" max="8460" width="5" style="56" customWidth="1"/>
    <col min="8461" max="8461" width="8.77734375" style="56"/>
    <col min="8462" max="8462" width="10.44140625" style="56" customWidth="1"/>
    <col min="8463" max="8463" width="3.77734375" style="56" customWidth="1"/>
    <col min="8464" max="8465" width="8.77734375" style="56"/>
    <col min="8466" max="8466" width="3.77734375" style="56" customWidth="1"/>
    <col min="8467" max="8706" width="8.77734375" style="56"/>
    <col min="8707" max="8707" width="24.77734375" style="56" customWidth="1"/>
    <col min="8708" max="8708" width="13.44140625" style="56" customWidth="1"/>
    <col min="8709" max="8709" width="8.77734375" style="56"/>
    <col min="8710" max="8710" width="6.77734375" style="56" customWidth="1"/>
    <col min="8711" max="8711" width="6.44140625" style="56" customWidth="1"/>
    <col min="8712" max="8712" width="8.21875" style="56" customWidth="1"/>
    <col min="8713" max="8713" width="6.77734375" style="56" customWidth="1"/>
    <col min="8714" max="8714" width="4.77734375" style="56" customWidth="1"/>
    <col min="8715" max="8716" width="5" style="56" customWidth="1"/>
    <col min="8717" max="8717" width="8.77734375" style="56"/>
    <col min="8718" max="8718" width="10.44140625" style="56" customWidth="1"/>
    <col min="8719" max="8719" width="3.77734375" style="56" customWidth="1"/>
    <col min="8720" max="8721" width="8.77734375" style="56"/>
    <col min="8722" max="8722" width="3.77734375" style="56" customWidth="1"/>
    <col min="8723" max="8962" width="8.77734375" style="56"/>
    <col min="8963" max="8963" width="24.77734375" style="56" customWidth="1"/>
    <col min="8964" max="8964" width="13.44140625" style="56" customWidth="1"/>
    <col min="8965" max="8965" width="8.77734375" style="56"/>
    <col min="8966" max="8966" width="6.77734375" style="56" customWidth="1"/>
    <col min="8967" max="8967" width="6.44140625" style="56" customWidth="1"/>
    <col min="8968" max="8968" width="8.21875" style="56" customWidth="1"/>
    <col min="8969" max="8969" width="6.77734375" style="56" customWidth="1"/>
    <col min="8970" max="8970" width="4.77734375" style="56" customWidth="1"/>
    <col min="8971" max="8972" width="5" style="56" customWidth="1"/>
    <col min="8973" max="8973" width="8.77734375" style="56"/>
    <col min="8974" max="8974" width="10.44140625" style="56" customWidth="1"/>
    <col min="8975" max="8975" width="3.77734375" style="56" customWidth="1"/>
    <col min="8976" max="8977" width="8.77734375" style="56"/>
    <col min="8978" max="8978" width="3.77734375" style="56" customWidth="1"/>
    <col min="8979" max="9218" width="8.77734375" style="56"/>
    <col min="9219" max="9219" width="24.77734375" style="56" customWidth="1"/>
    <col min="9220" max="9220" width="13.44140625" style="56" customWidth="1"/>
    <col min="9221" max="9221" width="8.77734375" style="56"/>
    <col min="9222" max="9222" width="6.77734375" style="56" customWidth="1"/>
    <col min="9223" max="9223" width="6.44140625" style="56" customWidth="1"/>
    <col min="9224" max="9224" width="8.21875" style="56" customWidth="1"/>
    <col min="9225" max="9225" width="6.77734375" style="56" customWidth="1"/>
    <col min="9226" max="9226" width="4.77734375" style="56" customWidth="1"/>
    <col min="9227" max="9228" width="5" style="56" customWidth="1"/>
    <col min="9229" max="9229" width="8.77734375" style="56"/>
    <col min="9230" max="9230" width="10.44140625" style="56" customWidth="1"/>
    <col min="9231" max="9231" width="3.77734375" style="56" customWidth="1"/>
    <col min="9232" max="9233" width="8.77734375" style="56"/>
    <col min="9234" max="9234" width="3.77734375" style="56" customWidth="1"/>
    <col min="9235" max="9474" width="8.77734375" style="56"/>
    <col min="9475" max="9475" width="24.77734375" style="56" customWidth="1"/>
    <col min="9476" max="9476" width="13.44140625" style="56" customWidth="1"/>
    <col min="9477" max="9477" width="8.77734375" style="56"/>
    <col min="9478" max="9478" width="6.77734375" style="56" customWidth="1"/>
    <col min="9479" max="9479" width="6.44140625" style="56" customWidth="1"/>
    <col min="9480" max="9480" width="8.21875" style="56" customWidth="1"/>
    <col min="9481" max="9481" width="6.77734375" style="56" customWidth="1"/>
    <col min="9482" max="9482" width="4.77734375" style="56" customWidth="1"/>
    <col min="9483" max="9484" width="5" style="56" customWidth="1"/>
    <col min="9485" max="9485" width="8.77734375" style="56"/>
    <col min="9486" max="9486" width="10.44140625" style="56" customWidth="1"/>
    <col min="9487" max="9487" width="3.77734375" style="56" customWidth="1"/>
    <col min="9488" max="9489" width="8.77734375" style="56"/>
    <col min="9490" max="9490" width="3.77734375" style="56" customWidth="1"/>
    <col min="9491" max="9730" width="8.77734375" style="56"/>
    <col min="9731" max="9731" width="24.77734375" style="56" customWidth="1"/>
    <col min="9732" max="9732" width="13.44140625" style="56" customWidth="1"/>
    <col min="9733" max="9733" width="8.77734375" style="56"/>
    <col min="9734" max="9734" width="6.77734375" style="56" customWidth="1"/>
    <col min="9735" max="9735" width="6.44140625" style="56" customWidth="1"/>
    <col min="9736" max="9736" width="8.21875" style="56" customWidth="1"/>
    <col min="9737" max="9737" width="6.77734375" style="56" customWidth="1"/>
    <col min="9738" max="9738" width="4.77734375" style="56" customWidth="1"/>
    <col min="9739" max="9740" width="5" style="56" customWidth="1"/>
    <col min="9741" max="9741" width="8.77734375" style="56"/>
    <col min="9742" max="9742" width="10.44140625" style="56" customWidth="1"/>
    <col min="9743" max="9743" width="3.77734375" style="56" customWidth="1"/>
    <col min="9744" max="9745" width="8.77734375" style="56"/>
    <col min="9746" max="9746" width="3.77734375" style="56" customWidth="1"/>
    <col min="9747" max="9986" width="8.77734375" style="56"/>
    <col min="9987" max="9987" width="24.77734375" style="56" customWidth="1"/>
    <col min="9988" max="9988" width="13.44140625" style="56" customWidth="1"/>
    <col min="9989" max="9989" width="8.77734375" style="56"/>
    <col min="9990" max="9990" width="6.77734375" style="56" customWidth="1"/>
    <col min="9991" max="9991" width="6.44140625" style="56" customWidth="1"/>
    <col min="9992" max="9992" width="8.21875" style="56" customWidth="1"/>
    <col min="9993" max="9993" width="6.77734375" style="56" customWidth="1"/>
    <col min="9994" max="9994" width="4.77734375" style="56" customWidth="1"/>
    <col min="9995" max="9996" width="5" style="56" customWidth="1"/>
    <col min="9997" max="9997" width="8.77734375" style="56"/>
    <col min="9998" max="9998" width="10.44140625" style="56" customWidth="1"/>
    <col min="9999" max="9999" width="3.77734375" style="56" customWidth="1"/>
    <col min="10000" max="10001" width="8.77734375" style="56"/>
    <col min="10002" max="10002" width="3.77734375" style="56" customWidth="1"/>
    <col min="10003" max="10242" width="8.77734375" style="56"/>
    <col min="10243" max="10243" width="24.77734375" style="56" customWidth="1"/>
    <col min="10244" max="10244" width="13.44140625" style="56" customWidth="1"/>
    <col min="10245" max="10245" width="8.77734375" style="56"/>
    <col min="10246" max="10246" width="6.77734375" style="56" customWidth="1"/>
    <col min="10247" max="10247" width="6.44140625" style="56" customWidth="1"/>
    <col min="10248" max="10248" width="8.21875" style="56" customWidth="1"/>
    <col min="10249" max="10249" width="6.77734375" style="56" customWidth="1"/>
    <col min="10250" max="10250" width="4.77734375" style="56" customWidth="1"/>
    <col min="10251" max="10252" width="5" style="56" customWidth="1"/>
    <col min="10253" max="10253" width="8.77734375" style="56"/>
    <col min="10254" max="10254" width="10.44140625" style="56" customWidth="1"/>
    <col min="10255" max="10255" width="3.77734375" style="56" customWidth="1"/>
    <col min="10256" max="10257" width="8.77734375" style="56"/>
    <col min="10258" max="10258" width="3.77734375" style="56" customWidth="1"/>
    <col min="10259" max="10498" width="8.77734375" style="56"/>
    <col min="10499" max="10499" width="24.77734375" style="56" customWidth="1"/>
    <col min="10500" max="10500" width="13.44140625" style="56" customWidth="1"/>
    <col min="10501" max="10501" width="8.77734375" style="56"/>
    <col min="10502" max="10502" width="6.77734375" style="56" customWidth="1"/>
    <col min="10503" max="10503" width="6.44140625" style="56" customWidth="1"/>
    <col min="10504" max="10504" width="8.21875" style="56" customWidth="1"/>
    <col min="10505" max="10505" width="6.77734375" style="56" customWidth="1"/>
    <col min="10506" max="10506" width="4.77734375" style="56" customWidth="1"/>
    <col min="10507" max="10508" width="5" style="56" customWidth="1"/>
    <col min="10509" max="10509" width="8.77734375" style="56"/>
    <col min="10510" max="10510" width="10.44140625" style="56" customWidth="1"/>
    <col min="10511" max="10511" width="3.77734375" style="56" customWidth="1"/>
    <col min="10512" max="10513" width="8.77734375" style="56"/>
    <col min="10514" max="10514" width="3.77734375" style="56" customWidth="1"/>
    <col min="10515" max="10754" width="8.77734375" style="56"/>
    <col min="10755" max="10755" width="24.77734375" style="56" customWidth="1"/>
    <col min="10756" max="10756" width="13.44140625" style="56" customWidth="1"/>
    <col min="10757" max="10757" width="8.77734375" style="56"/>
    <col min="10758" max="10758" width="6.77734375" style="56" customWidth="1"/>
    <col min="10759" max="10759" width="6.44140625" style="56" customWidth="1"/>
    <col min="10760" max="10760" width="8.21875" style="56" customWidth="1"/>
    <col min="10761" max="10761" width="6.77734375" style="56" customWidth="1"/>
    <col min="10762" max="10762" width="4.77734375" style="56" customWidth="1"/>
    <col min="10763" max="10764" width="5" style="56" customWidth="1"/>
    <col min="10765" max="10765" width="8.77734375" style="56"/>
    <col min="10766" max="10766" width="10.44140625" style="56" customWidth="1"/>
    <col min="10767" max="10767" width="3.77734375" style="56" customWidth="1"/>
    <col min="10768" max="10769" width="8.77734375" style="56"/>
    <col min="10770" max="10770" width="3.77734375" style="56" customWidth="1"/>
    <col min="10771" max="11010" width="8.77734375" style="56"/>
    <col min="11011" max="11011" width="24.77734375" style="56" customWidth="1"/>
    <col min="11012" max="11012" width="13.44140625" style="56" customWidth="1"/>
    <col min="11013" max="11013" width="8.77734375" style="56"/>
    <col min="11014" max="11014" width="6.77734375" style="56" customWidth="1"/>
    <col min="11015" max="11015" width="6.44140625" style="56" customWidth="1"/>
    <col min="11016" max="11016" width="8.21875" style="56" customWidth="1"/>
    <col min="11017" max="11017" width="6.77734375" style="56" customWidth="1"/>
    <col min="11018" max="11018" width="4.77734375" style="56" customWidth="1"/>
    <col min="11019" max="11020" width="5" style="56" customWidth="1"/>
    <col min="11021" max="11021" width="8.77734375" style="56"/>
    <col min="11022" max="11022" width="10.44140625" style="56" customWidth="1"/>
    <col min="11023" max="11023" width="3.77734375" style="56" customWidth="1"/>
    <col min="11024" max="11025" width="8.77734375" style="56"/>
    <col min="11026" max="11026" width="3.77734375" style="56" customWidth="1"/>
    <col min="11027" max="11266" width="8.77734375" style="56"/>
    <col min="11267" max="11267" width="24.77734375" style="56" customWidth="1"/>
    <col min="11268" max="11268" width="13.44140625" style="56" customWidth="1"/>
    <col min="11269" max="11269" width="8.77734375" style="56"/>
    <col min="11270" max="11270" width="6.77734375" style="56" customWidth="1"/>
    <col min="11271" max="11271" width="6.44140625" style="56" customWidth="1"/>
    <col min="11272" max="11272" width="8.21875" style="56" customWidth="1"/>
    <col min="11273" max="11273" width="6.77734375" style="56" customWidth="1"/>
    <col min="11274" max="11274" width="4.77734375" style="56" customWidth="1"/>
    <col min="11275" max="11276" width="5" style="56" customWidth="1"/>
    <col min="11277" max="11277" width="8.77734375" style="56"/>
    <col min="11278" max="11278" width="10.44140625" style="56" customWidth="1"/>
    <col min="11279" max="11279" width="3.77734375" style="56" customWidth="1"/>
    <col min="11280" max="11281" width="8.77734375" style="56"/>
    <col min="11282" max="11282" width="3.77734375" style="56" customWidth="1"/>
    <col min="11283" max="11522" width="8.77734375" style="56"/>
    <col min="11523" max="11523" width="24.77734375" style="56" customWidth="1"/>
    <col min="11524" max="11524" width="13.44140625" style="56" customWidth="1"/>
    <col min="11525" max="11525" width="8.77734375" style="56"/>
    <col min="11526" max="11526" width="6.77734375" style="56" customWidth="1"/>
    <col min="11527" max="11527" width="6.44140625" style="56" customWidth="1"/>
    <col min="11528" max="11528" width="8.21875" style="56" customWidth="1"/>
    <col min="11529" max="11529" width="6.77734375" style="56" customWidth="1"/>
    <col min="11530" max="11530" width="4.77734375" style="56" customWidth="1"/>
    <col min="11531" max="11532" width="5" style="56" customWidth="1"/>
    <col min="11533" max="11533" width="8.77734375" style="56"/>
    <col min="11534" max="11534" width="10.44140625" style="56" customWidth="1"/>
    <col min="11535" max="11535" width="3.77734375" style="56" customWidth="1"/>
    <col min="11536" max="11537" width="8.77734375" style="56"/>
    <col min="11538" max="11538" width="3.77734375" style="56" customWidth="1"/>
    <col min="11539" max="11778" width="8.77734375" style="56"/>
    <col min="11779" max="11779" width="24.77734375" style="56" customWidth="1"/>
    <col min="11780" max="11780" width="13.44140625" style="56" customWidth="1"/>
    <col min="11781" max="11781" width="8.77734375" style="56"/>
    <col min="11782" max="11782" width="6.77734375" style="56" customWidth="1"/>
    <col min="11783" max="11783" width="6.44140625" style="56" customWidth="1"/>
    <col min="11784" max="11784" width="8.21875" style="56" customWidth="1"/>
    <col min="11785" max="11785" width="6.77734375" style="56" customWidth="1"/>
    <col min="11786" max="11786" width="4.77734375" style="56" customWidth="1"/>
    <col min="11787" max="11788" width="5" style="56" customWidth="1"/>
    <col min="11789" max="11789" width="8.77734375" style="56"/>
    <col min="11790" max="11790" width="10.44140625" style="56" customWidth="1"/>
    <col min="11791" max="11791" width="3.77734375" style="56" customWidth="1"/>
    <col min="11792" max="11793" width="8.77734375" style="56"/>
    <col min="11794" max="11794" width="3.77734375" style="56" customWidth="1"/>
    <col min="11795" max="12034" width="8.77734375" style="56"/>
    <col min="12035" max="12035" width="24.77734375" style="56" customWidth="1"/>
    <col min="12036" max="12036" width="13.44140625" style="56" customWidth="1"/>
    <col min="12037" max="12037" width="8.77734375" style="56"/>
    <col min="12038" max="12038" width="6.77734375" style="56" customWidth="1"/>
    <col min="12039" max="12039" width="6.44140625" style="56" customWidth="1"/>
    <col min="12040" max="12040" width="8.21875" style="56" customWidth="1"/>
    <col min="12041" max="12041" width="6.77734375" style="56" customWidth="1"/>
    <col min="12042" max="12042" width="4.77734375" style="56" customWidth="1"/>
    <col min="12043" max="12044" width="5" style="56" customWidth="1"/>
    <col min="12045" max="12045" width="8.77734375" style="56"/>
    <col min="12046" max="12046" width="10.44140625" style="56" customWidth="1"/>
    <col min="12047" max="12047" width="3.77734375" style="56" customWidth="1"/>
    <col min="12048" max="12049" width="8.77734375" style="56"/>
    <col min="12050" max="12050" width="3.77734375" style="56" customWidth="1"/>
    <col min="12051" max="12290" width="8.77734375" style="56"/>
    <col min="12291" max="12291" width="24.77734375" style="56" customWidth="1"/>
    <col min="12292" max="12292" width="13.44140625" style="56" customWidth="1"/>
    <col min="12293" max="12293" width="8.77734375" style="56"/>
    <col min="12294" max="12294" width="6.77734375" style="56" customWidth="1"/>
    <col min="12295" max="12295" width="6.44140625" style="56" customWidth="1"/>
    <col min="12296" max="12296" width="8.21875" style="56" customWidth="1"/>
    <col min="12297" max="12297" width="6.77734375" style="56" customWidth="1"/>
    <col min="12298" max="12298" width="4.77734375" style="56" customWidth="1"/>
    <col min="12299" max="12300" width="5" style="56" customWidth="1"/>
    <col min="12301" max="12301" width="8.77734375" style="56"/>
    <col min="12302" max="12302" width="10.44140625" style="56" customWidth="1"/>
    <col min="12303" max="12303" width="3.77734375" style="56" customWidth="1"/>
    <col min="12304" max="12305" width="8.77734375" style="56"/>
    <col min="12306" max="12306" width="3.77734375" style="56" customWidth="1"/>
    <col min="12307" max="12546" width="8.77734375" style="56"/>
    <col min="12547" max="12547" width="24.77734375" style="56" customWidth="1"/>
    <col min="12548" max="12548" width="13.44140625" style="56" customWidth="1"/>
    <col min="12549" max="12549" width="8.77734375" style="56"/>
    <col min="12550" max="12550" width="6.77734375" style="56" customWidth="1"/>
    <col min="12551" max="12551" width="6.44140625" style="56" customWidth="1"/>
    <col min="12552" max="12552" width="8.21875" style="56" customWidth="1"/>
    <col min="12553" max="12553" width="6.77734375" style="56" customWidth="1"/>
    <col min="12554" max="12554" width="4.77734375" style="56" customWidth="1"/>
    <col min="12555" max="12556" width="5" style="56" customWidth="1"/>
    <col min="12557" max="12557" width="8.77734375" style="56"/>
    <col min="12558" max="12558" width="10.44140625" style="56" customWidth="1"/>
    <col min="12559" max="12559" width="3.77734375" style="56" customWidth="1"/>
    <col min="12560" max="12561" width="8.77734375" style="56"/>
    <col min="12562" max="12562" width="3.77734375" style="56" customWidth="1"/>
    <col min="12563" max="12802" width="8.77734375" style="56"/>
    <col min="12803" max="12803" width="24.77734375" style="56" customWidth="1"/>
    <col min="12804" max="12804" width="13.44140625" style="56" customWidth="1"/>
    <col min="12805" max="12805" width="8.77734375" style="56"/>
    <col min="12806" max="12806" width="6.77734375" style="56" customWidth="1"/>
    <col min="12807" max="12807" width="6.44140625" style="56" customWidth="1"/>
    <col min="12808" max="12808" width="8.21875" style="56" customWidth="1"/>
    <col min="12809" max="12809" width="6.77734375" style="56" customWidth="1"/>
    <col min="12810" max="12810" width="4.77734375" style="56" customWidth="1"/>
    <col min="12811" max="12812" width="5" style="56" customWidth="1"/>
    <col min="12813" max="12813" width="8.77734375" style="56"/>
    <col min="12814" max="12814" width="10.44140625" style="56" customWidth="1"/>
    <col min="12815" max="12815" width="3.77734375" style="56" customWidth="1"/>
    <col min="12816" max="12817" width="8.77734375" style="56"/>
    <col min="12818" max="12818" width="3.77734375" style="56" customWidth="1"/>
    <col min="12819" max="13058" width="8.77734375" style="56"/>
    <col min="13059" max="13059" width="24.77734375" style="56" customWidth="1"/>
    <col min="13060" max="13060" width="13.44140625" style="56" customWidth="1"/>
    <col min="13061" max="13061" width="8.77734375" style="56"/>
    <col min="13062" max="13062" width="6.77734375" style="56" customWidth="1"/>
    <col min="13063" max="13063" width="6.44140625" style="56" customWidth="1"/>
    <col min="13064" max="13064" width="8.21875" style="56" customWidth="1"/>
    <col min="13065" max="13065" width="6.77734375" style="56" customWidth="1"/>
    <col min="13066" max="13066" width="4.77734375" style="56" customWidth="1"/>
    <col min="13067" max="13068" width="5" style="56" customWidth="1"/>
    <col min="13069" max="13069" width="8.77734375" style="56"/>
    <col min="13070" max="13070" width="10.44140625" style="56" customWidth="1"/>
    <col min="13071" max="13071" width="3.77734375" style="56" customWidth="1"/>
    <col min="13072" max="13073" width="8.77734375" style="56"/>
    <col min="13074" max="13074" width="3.77734375" style="56" customWidth="1"/>
    <col min="13075" max="13314" width="8.77734375" style="56"/>
    <col min="13315" max="13315" width="24.77734375" style="56" customWidth="1"/>
    <col min="13316" max="13316" width="13.44140625" style="56" customWidth="1"/>
    <col min="13317" max="13317" width="8.77734375" style="56"/>
    <col min="13318" max="13318" width="6.77734375" style="56" customWidth="1"/>
    <col min="13319" max="13319" width="6.44140625" style="56" customWidth="1"/>
    <col min="13320" max="13320" width="8.21875" style="56" customWidth="1"/>
    <col min="13321" max="13321" width="6.77734375" style="56" customWidth="1"/>
    <col min="13322" max="13322" width="4.77734375" style="56" customWidth="1"/>
    <col min="13323" max="13324" width="5" style="56" customWidth="1"/>
    <col min="13325" max="13325" width="8.77734375" style="56"/>
    <col min="13326" max="13326" width="10.44140625" style="56" customWidth="1"/>
    <col min="13327" max="13327" width="3.77734375" style="56" customWidth="1"/>
    <col min="13328" max="13329" width="8.77734375" style="56"/>
    <col min="13330" max="13330" width="3.77734375" style="56" customWidth="1"/>
    <col min="13331" max="13570" width="8.77734375" style="56"/>
    <col min="13571" max="13571" width="24.77734375" style="56" customWidth="1"/>
    <col min="13572" max="13572" width="13.44140625" style="56" customWidth="1"/>
    <col min="13573" max="13573" width="8.77734375" style="56"/>
    <col min="13574" max="13574" width="6.77734375" style="56" customWidth="1"/>
    <col min="13575" max="13575" width="6.44140625" style="56" customWidth="1"/>
    <col min="13576" max="13576" width="8.21875" style="56" customWidth="1"/>
    <col min="13577" max="13577" width="6.77734375" style="56" customWidth="1"/>
    <col min="13578" max="13578" width="4.77734375" style="56" customWidth="1"/>
    <col min="13579" max="13580" width="5" style="56" customWidth="1"/>
    <col min="13581" max="13581" width="8.77734375" style="56"/>
    <col min="13582" max="13582" width="10.44140625" style="56" customWidth="1"/>
    <col min="13583" max="13583" width="3.77734375" style="56" customWidth="1"/>
    <col min="13584" max="13585" width="8.77734375" style="56"/>
    <col min="13586" max="13586" width="3.77734375" style="56" customWidth="1"/>
    <col min="13587" max="13826" width="8.77734375" style="56"/>
    <col min="13827" max="13827" width="24.77734375" style="56" customWidth="1"/>
    <col min="13828" max="13828" width="13.44140625" style="56" customWidth="1"/>
    <col min="13829" max="13829" width="8.77734375" style="56"/>
    <col min="13830" max="13830" width="6.77734375" style="56" customWidth="1"/>
    <col min="13831" max="13831" width="6.44140625" style="56" customWidth="1"/>
    <col min="13832" max="13832" width="8.21875" style="56" customWidth="1"/>
    <col min="13833" max="13833" width="6.77734375" style="56" customWidth="1"/>
    <col min="13834" max="13834" width="4.77734375" style="56" customWidth="1"/>
    <col min="13835" max="13836" width="5" style="56" customWidth="1"/>
    <col min="13837" max="13837" width="8.77734375" style="56"/>
    <col min="13838" max="13838" width="10.44140625" style="56" customWidth="1"/>
    <col min="13839" max="13839" width="3.77734375" style="56" customWidth="1"/>
    <col min="13840" max="13841" width="8.77734375" style="56"/>
    <col min="13842" max="13842" width="3.77734375" style="56" customWidth="1"/>
    <col min="13843" max="14082" width="8.77734375" style="56"/>
    <col min="14083" max="14083" width="24.77734375" style="56" customWidth="1"/>
    <col min="14084" max="14084" width="13.44140625" style="56" customWidth="1"/>
    <col min="14085" max="14085" width="8.77734375" style="56"/>
    <col min="14086" max="14086" width="6.77734375" style="56" customWidth="1"/>
    <col min="14087" max="14087" width="6.44140625" style="56" customWidth="1"/>
    <col min="14088" max="14088" width="8.21875" style="56" customWidth="1"/>
    <col min="14089" max="14089" width="6.77734375" style="56" customWidth="1"/>
    <col min="14090" max="14090" width="4.77734375" style="56" customWidth="1"/>
    <col min="14091" max="14092" width="5" style="56" customWidth="1"/>
    <col min="14093" max="14093" width="8.77734375" style="56"/>
    <col min="14094" max="14094" width="10.44140625" style="56" customWidth="1"/>
    <col min="14095" max="14095" width="3.77734375" style="56" customWidth="1"/>
    <col min="14096" max="14097" width="8.77734375" style="56"/>
    <col min="14098" max="14098" width="3.77734375" style="56" customWidth="1"/>
    <col min="14099" max="14338" width="8.77734375" style="56"/>
    <col min="14339" max="14339" width="24.77734375" style="56" customWidth="1"/>
    <col min="14340" max="14340" width="13.44140625" style="56" customWidth="1"/>
    <col min="14341" max="14341" width="8.77734375" style="56"/>
    <col min="14342" max="14342" width="6.77734375" style="56" customWidth="1"/>
    <col min="14343" max="14343" width="6.44140625" style="56" customWidth="1"/>
    <col min="14344" max="14344" width="8.21875" style="56" customWidth="1"/>
    <col min="14345" max="14345" width="6.77734375" style="56" customWidth="1"/>
    <col min="14346" max="14346" width="4.77734375" style="56" customWidth="1"/>
    <col min="14347" max="14348" width="5" style="56" customWidth="1"/>
    <col min="14349" max="14349" width="8.77734375" style="56"/>
    <col min="14350" max="14350" width="10.44140625" style="56" customWidth="1"/>
    <col min="14351" max="14351" width="3.77734375" style="56" customWidth="1"/>
    <col min="14352" max="14353" width="8.77734375" style="56"/>
    <col min="14354" max="14354" width="3.77734375" style="56" customWidth="1"/>
    <col min="14355" max="14594" width="8.77734375" style="56"/>
    <col min="14595" max="14595" width="24.77734375" style="56" customWidth="1"/>
    <col min="14596" max="14596" width="13.44140625" style="56" customWidth="1"/>
    <col min="14597" max="14597" width="8.77734375" style="56"/>
    <col min="14598" max="14598" width="6.77734375" style="56" customWidth="1"/>
    <col min="14599" max="14599" width="6.44140625" style="56" customWidth="1"/>
    <col min="14600" max="14600" width="8.21875" style="56" customWidth="1"/>
    <col min="14601" max="14601" width="6.77734375" style="56" customWidth="1"/>
    <col min="14602" max="14602" width="4.77734375" style="56" customWidth="1"/>
    <col min="14603" max="14604" width="5" style="56" customWidth="1"/>
    <col min="14605" max="14605" width="8.77734375" style="56"/>
    <col min="14606" max="14606" width="10.44140625" style="56" customWidth="1"/>
    <col min="14607" max="14607" width="3.77734375" style="56" customWidth="1"/>
    <col min="14608" max="14609" width="8.77734375" style="56"/>
    <col min="14610" max="14610" width="3.77734375" style="56" customWidth="1"/>
    <col min="14611" max="14850" width="8.77734375" style="56"/>
    <col min="14851" max="14851" width="24.77734375" style="56" customWidth="1"/>
    <col min="14852" max="14852" width="13.44140625" style="56" customWidth="1"/>
    <col min="14853" max="14853" width="8.77734375" style="56"/>
    <col min="14854" max="14854" width="6.77734375" style="56" customWidth="1"/>
    <col min="14855" max="14855" width="6.44140625" style="56" customWidth="1"/>
    <col min="14856" max="14856" width="8.21875" style="56" customWidth="1"/>
    <col min="14857" max="14857" width="6.77734375" style="56" customWidth="1"/>
    <col min="14858" max="14858" width="4.77734375" style="56" customWidth="1"/>
    <col min="14859" max="14860" width="5" style="56" customWidth="1"/>
    <col min="14861" max="14861" width="8.77734375" style="56"/>
    <col min="14862" max="14862" width="10.44140625" style="56" customWidth="1"/>
    <col min="14863" max="14863" width="3.77734375" style="56" customWidth="1"/>
    <col min="14864" max="14865" width="8.77734375" style="56"/>
    <col min="14866" max="14866" width="3.77734375" style="56" customWidth="1"/>
    <col min="14867" max="15106" width="8.77734375" style="56"/>
    <col min="15107" max="15107" width="24.77734375" style="56" customWidth="1"/>
    <col min="15108" max="15108" width="13.44140625" style="56" customWidth="1"/>
    <col min="15109" max="15109" width="8.77734375" style="56"/>
    <col min="15110" max="15110" width="6.77734375" style="56" customWidth="1"/>
    <col min="15111" max="15111" width="6.44140625" style="56" customWidth="1"/>
    <col min="15112" max="15112" width="8.21875" style="56" customWidth="1"/>
    <col min="15113" max="15113" width="6.77734375" style="56" customWidth="1"/>
    <col min="15114" max="15114" width="4.77734375" style="56" customWidth="1"/>
    <col min="15115" max="15116" width="5" style="56" customWidth="1"/>
    <col min="15117" max="15117" width="8.77734375" style="56"/>
    <col min="15118" max="15118" width="10.44140625" style="56" customWidth="1"/>
    <col min="15119" max="15119" width="3.77734375" style="56" customWidth="1"/>
    <col min="15120" max="15121" width="8.77734375" style="56"/>
    <col min="15122" max="15122" width="3.77734375" style="56" customWidth="1"/>
    <col min="15123" max="15362" width="8.77734375" style="56"/>
    <col min="15363" max="15363" width="24.77734375" style="56" customWidth="1"/>
    <col min="15364" max="15364" width="13.44140625" style="56" customWidth="1"/>
    <col min="15365" max="15365" width="8.77734375" style="56"/>
    <col min="15366" max="15366" width="6.77734375" style="56" customWidth="1"/>
    <col min="15367" max="15367" width="6.44140625" style="56" customWidth="1"/>
    <col min="15368" max="15368" width="8.21875" style="56" customWidth="1"/>
    <col min="15369" max="15369" width="6.77734375" style="56" customWidth="1"/>
    <col min="15370" max="15370" width="4.77734375" style="56" customWidth="1"/>
    <col min="15371" max="15372" width="5" style="56" customWidth="1"/>
    <col min="15373" max="15373" width="8.77734375" style="56"/>
    <col min="15374" max="15374" width="10.44140625" style="56" customWidth="1"/>
    <col min="15375" max="15375" width="3.77734375" style="56" customWidth="1"/>
    <col min="15376" max="15377" width="8.77734375" style="56"/>
    <col min="15378" max="15378" width="3.77734375" style="56" customWidth="1"/>
    <col min="15379" max="15618" width="8.77734375" style="56"/>
    <col min="15619" max="15619" width="24.77734375" style="56" customWidth="1"/>
    <col min="15620" max="15620" width="13.44140625" style="56" customWidth="1"/>
    <col min="15621" max="15621" width="8.77734375" style="56"/>
    <col min="15622" max="15622" width="6.77734375" style="56" customWidth="1"/>
    <col min="15623" max="15623" width="6.44140625" style="56" customWidth="1"/>
    <col min="15624" max="15624" width="8.21875" style="56" customWidth="1"/>
    <col min="15625" max="15625" width="6.77734375" style="56" customWidth="1"/>
    <col min="15626" max="15626" width="4.77734375" style="56" customWidth="1"/>
    <col min="15627" max="15628" width="5" style="56" customWidth="1"/>
    <col min="15629" max="15629" width="8.77734375" style="56"/>
    <col min="15630" max="15630" width="10.44140625" style="56" customWidth="1"/>
    <col min="15631" max="15631" width="3.77734375" style="56" customWidth="1"/>
    <col min="15632" max="15633" width="8.77734375" style="56"/>
    <col min="15634" max="15634" width="3.77734375" style="56" customWidth="1"/>
    <col min="15635" max="15874" width="8.77734375" style="56"/>
    <col min="15875" max="15875" width="24.77734375" style="56" customWidth="1"/>
    <col min="15876" max="15876" width="13.44140625" style="56" customWidth="1"/>
    <col min="15877" max="15877" width="8.77734375" style="56"/>
    <col min="15878" max="15878" width="6.77734375" style="56" customWidth="1"/>
    <col min="15879" max="15879" width="6.44140625" style="56" customWidth="1"/>
    <col min="15880" max="15880" width="8.21875" style="56" customWidth="1"/>
    <col min="15881" max="15881" width="6.77734375" style="56" customWidth="1"/>
    <col min="15882" max="15882" width="4.77734375" style="56" customWidth="1"/>
    <col min="15883" max="15884" width="5" style="56" customWidth="1"/>
    <col min="15885" max="15885" width="8.77734375" style="56"/>
    <col min="15886" max="15886" width="10.44140625" style="56" customWidth="1"/>
    <col min="15887" max="15887" width="3.77734375" style="56" customWidth="1"/>
    <col min="15888" max="15889" width="8.77734375" style="56"/>
    <col min="15890" max="15890" width="3.77734375" style="56" customWidth="1"/>
    <col min="15891" max="16130" width="8.77734375" style="56"/>
    <col min="16131" max="16131" width="24.77734375" style="56" customWidth="1"/>
    <col min="16132" max="16132" width="13.44140625" style="56" customWidth="1"/>
    <col min="16133" max="16133" width="8.77734375" style="56"/>
    <col min="16134" max="16134" width="6.77734375" style="56" customWidth="1"/>
    <col min="16135" max="16135" width="6.44140625" style="56" customWidth="1"/>
    <col min="16136" max="16136" width="8.21875" style="56" customWidth="1"/>
    <col min="16137" max="16137" width="6.77734375" style="56" customWidth="1"/>
    <col min="16138" max="16138" width="4.77734375" style="56" customWidth="1"/>
    <col min="16139" max="16140" width="5" style="56" customWidth="1"/>
    <col min="16141" max="16141" width="8.77734375" style="56"/>
    <col min="16142" max="16142" width="10.44140625" style="56" customWidth="1"/>
    <col min="16143" max="16143" width="3.77734375" style="56" customWidth="1"/>
    <col min="16144" max="16145" width="8.77734375" style="56"/>
    <col min="16146" max="16146" width="3.77734375" style="56" customWidth="1"/>
    <col min="16147" max="16384" width="8.77734375" style="56"/>
  </cols>
  <sheetData>
    <row r="1" spans="1:116" s="1" customFormat="1" ht="144" x14ac:dyDescent="0.3">
      <c r="A1" s="1" t="s">
        <v>0</v>
      </c>
      <c r="B1" s="1" t="s">
        <v>62</v>
      </c>
      <c r="C1" s="2" t="s">
        <v>1</v>
      </c>
      <c r="D1" s="2" t="s">
        <v>63</v>
      </c>
      <c r="E1" s="7" t="s">
        <v>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7" t="s">
        <v>71</v>
      </c>
      <c r="N1" s="1" t="s">
        <v>3</v>
      </c>
      <c r="O1" s="1" t="s">
        <v>241</v>
      </c>
      <c r="P1" s="3" t="s">
        <v>4</v>
      </c>
      <c r="Q1" s="3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4" t="s">
        <v>80</v>
      </c>
      <c r="Y1" s="4" t="s">
        <v>81</v>
      </c>
      <c r="Z1" s="5" t="s">
        <v>82</v>
      </c>
      <c r="AA1" s="5" t="s">
        <v>83</v>
      </c>
      <c r="AB1" s="1" t="s">
        <v>84</v>
      </c>
      <c r="AC1" s="1" t="s">
        <v>85</v>
      </c>
      <c r="AD1" s="1" t="s">
        <v>100</v>
      </c>
      <c r="AE1" s="2" t="s">
        <v>87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</row>
    <row r="2" spans="1:116" s="1" customFormat="1" ht="14.4" x14ac:dyDescent="0.3">
      <c r="C2" s="2"/>
      <c r="D2" s="2"/>
      <c r="E2" s="7"/>
      <c r="M2" s="7"/>
      <c r="O2" s="8"/>
      <c r="P2" s="3"/>
      <c r="Q2" s="3"/>
      <c r="X2" s="4"/>
      <c r="Y2" s="4"/>
      <c r="Z2" s="5"/>
      <c r="AA2" s="5"/>
      <c r="AE2" s="2"/>
    </row>
    <row r="3" spans="1:116" s="1" customFormat="1" ht="14.4" x14ac:dyDescent="0.3">
      <c r="A3" s="6">
        <v>43362</v>
      </c>
      <c r="C3" s="2">
        <v>21.3</v>
      </c>
      <c r="D3" s="2">
        <v>29.85</v>
      </c>
      <c r="E3" s="1" t="s">
        <v>342</v>
      </c>
      <c r="G3" s="7">
        <v>1000</v>
      </c>
      <c r="H3" s="1">
        <v>4.83</v>
      </c>
      <c r="I3" s="1">
        <v>14701</v>
      </c>
      <c r="K3" s="1">
        <v>5.66</v>
      </c>
      <c r="M3" s="7"/>
      <c r="N3" s="43">
        <f t="shared" ref="N3:N4" si="0">C3</f>
        <v>21.3</v>
      </c>
      <c r="O3" s="8">
        <f>0.001316*((D3*25.4)-(2.5*2053/100))</f>
        <v>0.93023433999999983</v>
      </c>
      <c r="P3" s="45">
        <f t="shared" ref="P3:P4" si="1">(O3*(G3/1000000))/(0.08205*(N3+273.15))</f>
        <v>3.8503678606733199E-5</v>
      </c>
      <c r="Q3" s="3"/>
      <c r="X3" s="101">
        <f t="shared" ref="X3:X4" si="2">IF(H3&lt;50,((-0.0000004*H3^2)+(0.0003*H3)-0.0005),(IF(H3&lt;10000,((0.0002*H3)+0.0162),((-0.000000003*H3^2)+(0.0004*H3)-0.9856))))</f>
        <v>9.3966844000000003E-4</v>
      </c>
      <c r="Y3" s="75">
        <f t="shared" ref="Y3:Y4" si="3">IF(K3&lt;1,"BD",(IF(K3&lt;15,((0.001*K3^2)+(0.0195*K3)+0.0121),((0.0404*K3)+0.0553))))</f>
        <v>0.15450559999999999</v>
      </c>
      <c r="Z3" s="47">
        <f t="shared" ref="Z3:Z4" si="4">X3*1000000/G3</f>
        <v>0.93966844000000005</v>
      </c>
      <c r="AA3" s="47">
        <f t="shared" ref="AA3:AA4" si="5">Y3*1000000/G3</f>
        <v>154.50560000000002</v>
      </c>
      <c r="AB3" s="7">
        <f t="shared" ref="AB3:AB4" si="6">IF(H3&lt;30,((0.4045*H3)-0.6933),(IF(H3&lt;5000,((0.3645*H3)+10.283),((0.5183*H3)+143.13))))</f>
        <v>1.2604350000000002</v>
      </c>
      <c r="AC3" s="48">
        <f t="shared" ref="AC3:AC4" si="7">IF(K3&lt;15,((83.603*K3)-32.732),((78.096*K3)+1244.7))</f>
        <v>440.46097999999995</v>
      </c>
      <c r="AD3" s="13">
        <f t="shared" ref="AD3:AD4" si="8">(X3/12)/P3</f>
        <v>2.0337200539493359</v>
      </c>
      <c r="AE3" s="43">
        <f t="shared" ref="AE3:AE4" si="9">(Y3/12)/P3</f>
        <v>334.39575470628182</v>
      </c>
      <c r="AN3" s="1">
        <v>1</v>
      </c>
    </row>
    <row r="4" spans="1:116" s="1" customFormat="1" ht="14.4" x14ac:dyDescent="0.3">
      <c r="A4" s="6">
        <v>43362</v>
      </c>
      <c r="C4" s="2">
        <v>21.3</v>
      </c>
      <c r="D4" s="2">
        <v>29.85</v>
      </c>
      <c r="E4" s="1" t="s">
        <v>342</v>
      </c>
      <c r="G4" s="7">
        <v>1000</v>
      </c>
      <c r="H4" s="1">
        <v>4.5</v>
      </c>
      <c r="I4" s="1">
        <v>14730</v>
      </c>
      <c r="K4" s="1">
        <v>5</v>
      </c>
      <c r="M4" s="7"/>
      <c r="N4" s="43">
        <f t="shared" si="0"/>
        <v>21.3</v>
      </c>
      <c r="O4" s="8">
        <f t="shared" ref="O4:O11" si="10">0.001316*((D4*25.4)-(2.5*2053/100))</f>
        <v>0.93023433999999983</v>
      </c>
      <c r="P4" s="45">
        <f t="shared" si="1"/>
        <v>3.8503678606733199E-5</v>
      </c>
      <c r="Q4" s="3"/>
      <c r="X4" s="101">
        <f t="shared" si="2"/>
        <v>8.4189999999999981E-4</v>
      </c>
      <c r="Y4" s="75">
        <f t="shared" si="3"/>
        <v>0.1346</v>
      </c>
      <c r="Z4" s="47">
        <f t="shared" si="4"/>
        <v>0.84189999999999987</v>
      </c>
      <c r="AA4" s="47">
        <f t="shared" si="5"/>
        <v>134.6</v>
      </c>
      <c r="AB4" s="7">
        <f t="shared" si="6"/>
        <v>1.1269500000000001</v>
      </c>
      <c r="AC4" s="48">
        <f t="shared" si="7"/>
        <v>385.28300000000002</v>
      </c>
      <c r="AD4" s="13">
        <f t="shared" si="8"/>
        <v>1.8221202719333063</v>
      </c>
      <c r="AE4" s="43">
        <f t="shared" si="9"/>
        <v>291.31415679085762</v>
      </c>
      <c r="AN4" s="1">
        <v>2</v>
      </c>
    </row>
    <row r="5" spans="1:116" s="7" customFormat="1" ht="14.4" x14ac:dyDescent="0.3">
      <c r="A5" s="41">
        <v>43375</v>
      </c>
      <c r="B5" s="42"/>
      <c r="C5" s="43">
        <v>21.7</v>
      </c>
      <c r="D5" s="43">
        <v>30.24</v>
      </c>
      <c r="E5" s="7" t="s">
        <v>89</v>
      </c>
      <c r="F5" s="7" t="s">
        <v>90</v>
      </c>
      <c r="G5" s="7">
        <v>1000</v>
      </c>
      <c r="H5" s="49">
        <v>3.95</v>
      </c>
      <c r="I5" s="15">
        <v>15459</v>
      </c>
      <c r="J5" s="15"/>
      <c r="K5" s="49">
        <v>8.16</v>
      </c>
      <c r="L5" s="49"/>
      <c r="M5" s="49"/>
      <c r="N5" s="43">
        <f t="shared" ref="N5:N11" si="11">C5</f>
        <v>21.7</v>
      </c>
      <c r="O5" s="8">
        <f t="shared" si="10"/>
        <v>0.94327063599999972</v>
      </c>
      <c r="P5" s="45">
        <f t="shared" ref="P5:P11" si="12">(O5*(G5/1000000))/(0.08205*(N5+273.15))</f>
        <v>3.8990301868031715E-5</v>
      </c>
      <c r="Q5" s="45"/>
      <c r="X5" s="101">
        <f t="shared" ref="X5:X11" si="13">IF(H5&lt;50,((-0.0000004*H5^2)+(0.0003*H5)-0.0005),(IF(H5&lt;10000,((0.0002*H5)+0.0162),((-0.000000003*H5^2)+(0.0004*H5)-0.9856))))</f>
        <v>6.7875899999999992E-4</v>
      </c>
      <c r="Y5" s="75">
        <f t="shared" ref="Y5:Y11" si="14">IF(K5&lt;1,"BD",(IF(K5&lt;15,((0.001*K5^2)+(0.0195*K5)+0.0121),((0.0404*K5)+0.0553))))</f>
        <v>0.23780560000000001</v>
      </c>
      <c r="Z5" s="47">
        <f t="shared" ref="Z5:Z11" si="15">X5*1000000/G5</f>
        <v>0.67875899999999989</v>
      </c>
      <c r="AA5" s="47">
        <f t="shared" ref="AA5:AA11" si="16">Y5*1000000/G5</f>
        <v>237.8056</v>
      </c>
      <c r="AB5" s="7">
        <f t="shared" ref="AB5:AB11" si="17">IF(H5&lt;30,((0.4045*H5)-0.6933),(IF(H5&lt;5000,((0.3645*H5)+10.283),((0.5183*H5)+143.13))))</f>
        <v>0.90447500000000014</v>
      </c>
      <c r="AC5" s="48">
        <f t="shared" ref="AC5:AC11" si="18">IF(K5&lt;15,((83.603*K5)-32.732),((78.096*K5)+1244.7))</f>
        <v>649.46848</v>
      </c>
      <c r="AD5" s="13">
        <f t="shared" ref="AD5:AD11" si="19">(X5/12)/P5</f>
        <v>1.4507004893536461</v>
      </c>
      <c r="AE5" s="43">
        <f t="shared" ref="AE5:AE11" si="20">(Y5/12)/P5</f>
        <v>508.25801247723786</v>
      </c>
      <c r="AN5" s="1">
        <v>3</v>
      </c>
      <c r="AR5" s="49"/>
      <c r="AS5" s="15"/>
    </row>
    <row r="6" spans="1:116" s="7" customFormat="1" ht="14.4" x14ac:dyDescent="0.3">
      <c r="A6" s="102">
        <v>43420</v>
      </c>
      <c r="B6" s="101"/>
      <c r="C6" s="101">
        <v>24</v>
      </c>
      <c r="D6" s="101">
        <v>29.95</v>
      </c>
      <c r="E6" s="101" t="s">
        <v>89</v>
      </c>
      <c r="F6" s="101"/>
      <c r="G6" s="7">
        <v>1000</v>
      </c>
      <c r="H6" s="101">
        <v>3.36</v>
      </c>
      <c r="I6" s="101">
        <v>14048</v>
      </c>
      <c r="J6" s="101"/>
      <c r="K6" s="101">
        <v>11.32</v>
      </c>
      <c r="N6" s="43">
        <f t="shared" si="11"/>
        <v>24</v>
      </c>
      <c r="O6" s="8">
        <f t="shared" si="10"/>
        <v>0.93357697999999978</v>
      </c>
      <c r="P6" s="45">
        <f t="shared" si="12"/>
        <v>3.8290921175502022E-5</v>
      </c>
      <c r="Q6" s="45"/>
      <c r="X6" s="101">
        <f t="shared" si="13"/>
        <v>5.034841599999998E-4</v>
      </c>
      <c r="Y6" s="75">
        <f t="shared" si="14"/>
        <v>0.36098240000000004</v>
      </c>
      <c r="Z6" s="47">
        <f t="shared" si="15"/>
        <v>0.50348415999999985</v>
      </c>
      <c r="AA6" s="47">
        <f t="shared" si="16"/>
        <v>360.98240000000004</v>
      </c>
      <c r="AB6" s="7">
        <f t="shared" si="17"/>
        <v>0.66582000000000008</v>
      </c>
      <c r="AC6" s="48">
        <f t="shared" si="18"/>
        <v>913.65395999999998</v>
      </c>
      <c r="AD6" s="13">
        <f t="shared" si="19"/>
        <v>1.0957431173052272</v>
      </c>
      <c r="AE6" s="43">
        <f t="shared" si="20"/>
        <v>785.61355389675532</v>
      </c>
      <c r="AN6" s="1">
        <v>4</v>
      </c>
      <c r="AR6" s="49"/>
      <c r="AS6" s="15"/>
    </row>
    <row r="7" spans="1:116" s="7" customFormat="1" ht="14.4" x14ac:dyDescent="0.3">
      <c r="A7" s="102">
        <v>43420</v>
      </c>
      <c r="B7" s="101"/>
      <c r="C7" s="101">
        <v>24</v>
      </c>
      <c r="D7" s="101">
        <v>29.95</v>
      </c>
      <c r="E7" s="101" t="s">
        <v>89</v>
      </c>
      <c r="F7" s="101"/>
      <c r="G7" s="7">
        <v>1000</v>
      </c>
      <c r="H7" s="101">
        <v>4.01</v>
      </c>
      <c r="I7" s="101">
        <v>13072</v>
      </c>
      <c r="J7" s="101"/>
      <c r="K7" s="101">
        <v>8.73</v>
      </c>
      <c r="N7" s="43">
        <f t="shared" si="11"/>
        <v>24</v>
      </c>
      <c r="O7" s="8">
        <f t="shared" si="10"/>
        <v>0.93357697999999978</v>
      </c>
      <c r="P7" s="45">
        <f t="shared" si="12"/>
        <v>3.8290921175502022E-5</v>
      </c>
      <c r="Q7" s="45"/>
      <c r="X7" s="101">
        <f t="shared" si="13"/>
        <v>6.9656795999999978E-4</v>
      </c>
      <c r="Y7" s="75">
        <f t="shared" si="14"/>
        <v>0.2585479</v>
      </c>
      <c r="Z7" s="47">
        <f t="shared" si="15"/>
        <v>0.69656795999999976</v>
      </c>
      <c r="AA7" s="47">
        <f t="shared" si="16"/>
        <v>258.54789999999997</v>
      </c>
      <c r="AB7" s="7">
        <f t="shared" si="17"/>
        <v>0.92874499999999993</v>
      </c>
      <c r="AC7" s="48">
        <f t="shared" si="18"/>
        <v>697.12219000000005</v>
      </c>
      <c r="AD7" s="13">
        <f t="shared" si="19"/>
        <v>1.5159554332460883</v>
      </c>
      <c r="AE7" s="43">
        <f t="shared" si="20"/>
        <v>562.68320719110648</v>
      </c>
      <c r="AN7" s="1">
        <v>5</v>
      </c>
      <c r="AR7" s="49"/>
      <c r="AS7" s="15"/>
    </row>
    <row r="8" spans="1:116" s="7" customFormat="1" ht="14.4" x14ac:dyDescent="0.3">
      <c r="A8" s="102">
        <v>43420</v>
      </c>
      <c r="B8" s="101"/>
      <c r="C8" s="101">
        <v>24</v>
      </c>
      <c r="D8" s="101">
        <v>29.95</v>
      </c>
      <c r="E8" s="101" t="s">
        <v>89</v>
      </c>
      <c r="F8" s="101"/>
      <c r="G8" s="7">
        <v>1000</v>
      </c>
      <c r="H8" s="101">
        <v>3.58</v>
      </c>
      <c r="I8" s="101">
        <v>14172</v>
      </c>
      <c r="J8" s="101"/>
      <c r="K8" s="101">
        <v>6.31</v>
      </c>
      <c r="N8" s="43">
        <f t="shared" si="11"/>
        <v>24</v>
      </c>
      <c r="O8" s="8">
        <f t="shared" si="10"/>
        <v>0.93357697999999978</v>
      </c>
      <c r="P8" s="45">
        <f t="shared" si="12"/>
        <v>3.8290921175502022E-5</v>
      </c>
      <c r="Q8" s="45"/>
      <c r="X8" s="101">
        <f t="shared" si="13"/>
        <v>5.6887343999999988E-4</v>
      </c>
      <c r="Y8" s="75">
        <f t="shared" si="14"/>
        <v>0.17496109999999998</v>
      </c>
      <c r="Z8" s="47">
        <f t="shared" si="15"/>
        <v>0.56887343999999984</v>
      </c>
      <c r="AA8" s="47">
        <f t="shared" si="16"/>
        <v>174.96109999999999</v>
      </c>
      <c r="AB8" s="7">
        <f t="shared" si="17"/>
        <v>0.7548100000000002</v>
      </c>
      <c r="AC8" s="48">
        <f t="shared" si="18"/>
        <v>494.80292999999995</v>
      </c>
      <c r="AD8" s="13">
        <f t="shared" si="19"/>
        <v>1.2380511762231967</v>
      </c>
      <c r="AE8" s="43">
        <f t="shared" si="20"/>
        <v>380.7715045517055</v>
      </c>
      <c r="AN8" s="1">
        <v>6</v>
      </c>
      <c r="AR8" s="49"/>
      <c r="AS8" s="15"/>
    </row>
    <row r="9" spans="1:116" s="7" customFormat="1" ht="14.4" x14ac:dyDescent="0.3">
      <c r="A9" s="41">
        <v>43424</v>
      </c>
      <c r="B9" s="42"/>
      <c r="C9" s="43">
        <v>22.4</v>
      </c>
      <c r="D9" s="43">
        <v>29.87</v>
      </c>
      <c r="E9" s="7" t="s">
        <v>89</v>
      </c>
      <c r="F9" s="7" t="s">
        <v>90</v>
      </c>
      <c r="G9" s="7">
        <v>1000</v>
      </c>
      <c r="H9" s="49">
        <v>3.93</v>
      </c>
      <c r="I9" s="15">
        <v>15331</v>
      </c>
      <c r="J9" s="15"/>
      <c r="K9" s="49">
        <v>6.33</v>
      </c>
      <c r="L9" s="49"/>
      <c r="M9" s="49"/>
      <c r="N9" s="43">
        <f t="shared" si="11"/>
        <v>22.4</v>
      </c>
      <c r="O9" s="8">
        <f t="shared" si="10"/>
        <v>0.93090286799999988</v>
      </c>
      <c r="P9" s="45">
        <f t="shared" si="12"/>
        <v>3.838794105248573E-5</v>
      </c>
      <c r="Q9" s="45"/>
      <c r="X9" s="101">
        <f t="shared" si="13"/>
        <v>6.7282203999999984E-4</v>
      </c>
      <c r="Y9" s="75">
        <f t="shared" si="14"/>
        <v>0.17560390000000001</v>
      </c>
      <c r="Z9" s="47">
        <f t="shared" si="15"/>
        <v>0.67282203999999979</v>
      </c>
      <c r="AA9" s="47">
        <f t="shared" si="16"/>
        <v>175.60389999999998</v>
      </c>
      <c r="AB9" s="7">
        <f t="shared" si="17"/>
        <v>0.89638500000000021</v>
      </c>
      <c r="AC9" s="48">
        <f t="shared" si="18"/>
        <v>496.47499000000005</v>
      </c>
      <c r="AD9" s="13">
        <f t="shared" si="19"/>
        <v>1.4605759464065531</v>
      </c>
      <c r="AE9" s="43">
        <f t="shared" si="20"/>
        <v>381.20456404071098</v>
      </c>
      <c r="AN9" s="1">
        <v>7</v>
      </c>
      <c r="AQ9" s="46"/>
      <c r="AR9" s="49"/>
      <c r="AS9" s="15"/>
    </row>
    <row r="10" spans="1:116" s="7" customFormat="1" ht="14.4" x14ac:dyDescent="0.3">
      <c r="A10" s="41">
        <v>43424</v>
      </c>
      <c r="B10" s="42"/>
      <c r="C10" s="43">
        <v>22.4</v>
      </c>
      <c r="D10" s="43">
        <v>29.87</v>
      </c>
      <c r="E10" s="7" t="s">
        <v>89</v>
      </c>
      <c r="F10" s="7" t="s">
        <v>90</v>
      </c>
      <c r="G10" s="7">
        <v>1000</v>
      </c>
      <c r="H10" s="49">
        <v>2.74</v>
      </c>
      <c r="I10" s="15">
        <v>12210</v>
      </c>
      <c r="J10" s="15"/>
      <c r="K10" s="49">
        <v>4.54</v>
      </c>
      <c r="L10" s="49"/>
      <c r="M10" s="49"/>
      <c r="N10" s="43">
        <f t="shared" si="11"/>
        <v>22.4</v>
      </c>
      <c r="O10" s="8">
        <f t="shared" si="10"/>
        <v>0.93090286799999988</v>
      </c>
      <c r="P10" s="45">
        <f t="shared" si="12"/>
        <v>3.838794105248573E-5</v>
      </c>
      <c r="Q10" s="45"/>
      <c r="X10" s="101">
        <f t="shared" si="13"/>
        <v>3.1899696000000006E-4</v>
      </c>
      <c r="Y10" s="75">
        <f t="shared" si="14"/>
        <v>0.1212416</v>
      </c>
      <c r="Z10" s="47">
        <f t="shared" si="15"/>
        <v>0.31899696000000005</v>
      </c>
      <c r="AA10" s="47">
        <f t="shared" si="16"/>
        <v>121.24160000000001</v>
      </c>
      <c r="AB10" s="7">
        <f t="shared" si="17"/>
        <v>0.41503000000000023</v>
      </c>
      <c r="AC10" s="48">
        <f t="shared" si="18"/>
        <v>346.82561999999996</v>
      </c>
      <c r="AD10" s="13">
        <f t="shared" si="19"/>
        <v>0.69248517297800405</v>
      </c>
      <c r="AE10" s="43">
        <f t="shared" si="20"/>
        <v>263.19376318862089</v>
      </c>
      <c r="AN10" s="1">
        <v>8</v>
      </c>
      <c r="AQ10" s="46"/>
      <c r="AR10" s="49"/>
      <c r="AS10" s="15"/>
    </row>
    <row r="11" spans="1:116" s="7" customFormat="1" ht="14.4" x14ac:dyDescent="0.3">
      <c r="A11" s="41">
        <v>43424</v>
      </c>
      <c r="B11" s="42"/>
      <c r="C11" s="43">
        <v>22.4</v>
      </c>
      <c r="D11" s="43">
        <v>29.87</v>
      </c>
      <c r="E11" s="7" t="s">
        <v>89</v>
      </c>
      <c r="F11" s="7" t="s">
        <v>90</v>
      </c>
      <c r="G11" s="7">
        <v>1000</v>
      </c>
      <c r="H11" s="49">
        <v>3.61</v>
      </c>
      <c r="I11" s="15">
        <v>14951</v>
      </c>
      <c r="J11" s="15"/>
      <c r="K11" s="49">
        <v>5.78</v>
      </c>
      <c r="L11" s="49"/>
      <c r="M11" s="49"/>
      <c r="N11" s="43">
        <f t="shared" si="11"/>
        <v>22.4</v>
      </c>
      <c r="O11" s="8">
        <f t="shared" si="10"/>
        <v>0.93090286799999988</v>
      </c>
      <c r="P11" s="45">
        <f t="shared" si="12"/>
        <v>3.838794105248573E-5</v>
      </c>
      <c r="Q11" s="45"/>
      <c r="X11" s="101">
        <f t="shared" si="13"/>
        <v>5.7778715999999976E-4</v>
      </c>
      <c r="Y11" s="75">
        <f t="shared" si="14"/>
        <v>0.15821840000000001</v>
      </c>
      <c r="Z11" s="47">
        <f t="shared" si="15"/>
        <v>0.57778715999999974</v>
      </c>
      <c r="AA11" s="47">
        <f t="shared" si="16"/>
        <v>158.21840000000003</v>
      </c>
      <c r="AB11" s="7">
        <f t="shared" si="17"/>
        <v>0.76694499999999999</v>
      </c>
      <c r="AC11" s="48">
        <f t="shared" si="18"/>
        <v>450.49333999999999</v>
      </c>
      <c r="AD11" s="13">
        <f t="shared" si="19"/>
        <v>1.2542722709240535</v>
      </c>
      <c r="AE11" s="43">
        <f t="shared" si="20"/>
        <v>343.46376245185229</v>
      </c>
      <c r="AN11" s="1">
        <v>9</v>
      </c>
      <c r="AQ11" s="46"/>
      <c r="AR11" s="49"/>
      <c r="AS11" s="15"/>
    </row>
    <row r="12" spans="1:116" customFormat="1" ht="14.4" x14ac:dyDescent="0.3">
      <c r="A12" s="6"/>
      <c r="B12" s="32"/>
      <c r="C12" s="2"/>
      <c r="D12" s="2"/>
      <c r="E12" s="7"/>
      <c r="G12" s="1"/>
      <c r="H12" s="1"/>
      <c r="I12" s="14"/>
      <c r="J12" s="14"/>
      <c r="K12" s="1"/>
      <c r="L12" s="1"/>
      <c r="M12" s="7"/>
      <c r="N12" s="2"/>
      <c r="O12" s="8"/>
      <c r="P12" s="9"/>
      <c r="Q12" s="3"/>
      <c r="R12" s="1"/>
      <c r="S12" s="1"/>
      <c r="V12" s="1"/>
      <c r="W12" s="1"/>
      <c r="Y12" s="16"/>
      <c r="Z12" s="10"/>
      <c r="AA12" s="10"/>
      <c r="AC12" s="33"/>
      <c r="AD12" s="13"/>
      <c r="AE12" s="13"/>
      <c r="AN12" s="7"/>
    </row>
    <row r="13" spans="1:116" customFormat="1" ht="14.4" x14ac:dyDescent="0.3">
      <c r="A13" s="6"/>
      <c r="B13" s="32"/>
      <c r="C13" s="2"/>
      <c r="D13" s="2"/>
      <c r="E13" s="7"/>
      <c r="G13" s="1"/>
      <c r="H13" s="1"/>
      <c r="I13" s="14"/>
      <c r="J13" s="14"/>
      <c r="K13" s="1"/>
      <c r="L13" s="1"/>
      <c r="M13" s="7"/>
      <c r="N13" s="2"/>
      <c r="O13" s="8"/>
      <c r="P13" s="9"/>
      <c r="Q13" s="3"/>
      <c r="R13" s="1"/>
      <c r="S13" s="1"/>
      <c r="V13" s="1"/>
      <c r="W13" s="1"/>
      <c r="Y13" s="16"/>
      <c r="Z13" s="10"/>
      <c r="AA13" s="10"/>
      <c r="AC13" s="33"/>
      <c r="AD13" s="13"/>
      <c r="AE13" s="13"/>
      <c r="AN13" s="7"/>
    </row>
    <row r="14" spans="1:116" customFormat="1" ht="14.4" x14ac:dyDescent="0.3">
      <c r="A14" s="6"/>
      <c r="B14" s="32"/>
      <c r="C14" s="2"/>
      <c r="D14" s="2"/>
      <c r="E14" s="7"/>
      <c r="G14" s="1"/>
      <c r="H14" s="1"/>
      <c r="I14" s="14"/>
      <c r="J14" s="14"/>
      <c r="K14" s="1"/>
      <c r="L14" s="1"/>
      <c r="M14" s="7"/>
      <c r="N14" s="2"/>
      <c r="O14" s="8"/>
      <c r="P14" s="9"/>
      <c r="Q14" s="3"/>
      <c r="R14" s="1"/>
      <c r="S14" s="1"/>
      <c r="V14" s="1"/>
      <c r="W14" s="1"/>
      <c r="Y14" s="16"/>
      <c r="Z14" s="10"/>
      <c r="AA14" s="10"/>
      <c r="AC14" s="33"/>
      <c r="AD14" s="13"/>
      <c r="AE14" s="13"/>
      <c r="AN14" s="7"/>
    </row>
    <row r="15" spans="1:116" customFormat="1" ht="14.4" x14ac:dyDescent="0.3">
      <c r="A15" s="6"/>
      <c r="B15" s="32"/>
      <c r="C15" s="2"/>
      <c r="D15" s="2"/>
      <c r="E15" s="7"/>
      <c r="G15" s="1"/>
      <c r="H15" s="1"/>
      <c r="I15" s="14"/>
      <c r="J15" s="14"/>
      <c r="K15" s="1"/>
      <c r="L15" s="1"/>
      <c r="M15" s="7"/>
      <c r="N15" s="2"/>
      <c r="O15" s="8"/>
      <c r="P15" s="9"/>
      <c r="Q15" s="3"/>
      <c r="R15" s="1"/>
      <c r="S15" s="1"/>
      <c r="V15" s="1"/>
      <c r="W15" s="1"/>
      <c r="Y15" s="16"/>
      <c r="Z15" s="10"/>
      <c r="AA15" s="10"/>
      <c r="AC15" s="33"/>
      <c r="AD15" s="13"/>
      <c r="AE15" s="13"/>
      <c r="AN15" s="7"/>
    </row>
    <row r="16" spans="1:116" s="36" customFormat="1" x14ac:dyDescent="0.25">
      <c r="A16" s="40"/>
      <c r="B16" s="40"/>
      <c r="C16" s="40"/>
      <c r="D16" s="39"/>
      <c r="E16" s="39"/>
      <c r="F16" s="40"/>
      <c r="G16" s="40"/>
      <c r="H16" s="40"/>
      <c r="I16" s="40"/>
      <c r="J16" s="40"/>
      <c r="K16" s="40"/>
      <c r="L16" s="39"/>
      <c r="M16" s="39"/>
      <c r="N16" s="53"/>
      <c r="O16" s="34"/>
      <c r="P16" s="34"/>
      <c r="R16" s="38"/>
      <c r="S16" s="38"/>
      <c r="T16" s="38"/>
      <c r="U16" s="54"/>
      <c r="V16" s="54"/>
      <c r="Y16" s="38"/>
      <c r="AK16" s="55"/>
      <c r="AL16" s="55"/>
      <c r="AM16" s="55"/>
      <c r="AN16" s="53"/>
      <c r="AO16" s="53"/>
      <c r="AP16" s="53"/>
      <c r="AQ16" s="53"/>
      <c r="AR16" s="53"/>
      <c r="AS16" s="53"/>
      <c r="AT16" s="53"/>
      <c r="AU16" s="53"/>
      <c r="AV16" s="53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</row>
    <row r="17" spans="1:116" s="36" customFormat="1" x14ac:dyDescent="0.25">
      <c r="A17" s="40"/>
      <c r="B17" s="40"/>
      <c r="C17" s="40"/>
      <c r="D17" s="39"/>
      <c r="E17" s="39"/>
      <c r="F17" s="40"/>
      <c r="G17" s="40"/>
      <c r="H17" s="40"/>
      <c r="I17" s="40"/>
      <c r="J17" s="40"/>
      <c r="K17" s="40"/>
      <c r="L17" s="39"/>
      <c r="M17" s="39"/>
      <c r="N17" s="53"/>
      <c r="O17" s="34"/>
      <c r="P17" s="34"/>
      <c r="R17" s="38"/>
      <c r="S17" s="38"/>
      <c r="T17" s="38"/>
      <c r="U17" s="54"/>
      <c r="V17" s="54"/>
      <c r="Y17" s="38"/>
      <c r="AK17" s="55"/>
      <c r="AL17" s="55"/>
      <c r="AM17" s="55"/>
      <c r="AN17" s="53"/>
      <c r="AO17" s="53"/>
      <c r="AP17" s="53"/>
      <c r="AQ17" s="53"/>
      <c r="AR17" s="53"/>
      <c r="AS17" s="53"/>
      <c r="AT17" s="53"/>
      <c r="AU17" s="53"/>
      <c r="AV17" s="53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</row>
    <row r="18" spans="1:116" s="36" customFormat="1" x14ac:dyDescent="0.25">
      <c r="A18" s="40"/>
      <c r="B18" s="40"/>
      <c r="C18" s="40"/>
      <c r="D18" s="39"/>
      <c r="E18" s="39"/>
      <c r="F18" s="40"/>
      <c r="G18" s="40"/>
      <c r="H18" s="40"/>
      <c r="I18" s="40"/>
      <c r="J18" s="40"/>
      <c r="K18" s="40"/>
      <c r="L18" s="39"/>
      <c r="M18" s="39"/>
      <c r="N18" s="53"/>
      <c r="O18" s="34"/>
      <c r="P18" s="34"/>
      <c r="R18" s="38"/>
      <c r="S18" s="38"/>
      <c r="T18" s="38"/>
      <c r="U18" s="54"/>
      <c r="V18" s="54"/>
      <c r="Y18" s="38"/>
      <c r="AK18" s="55"/>
      <c r="AL18" s="55"/>
      <c r="AM18" s="55"/>
      <c r="AN18" s="53"/>
      <c r="AO18" s="53"/>
      <c r="AP18" s="53"/>
      <c r="AQ18" s="53"/>
      <c r="AR18" s="53"/>
      <c r="AS18" s="53"/>
      <c r="AT18" s="53"/>
      <c r="AU18" s="53"/>
      <c r="AV18" s="53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</row>
    <row r="19" spans="1:116" s="36" customFormat="1" x14ac:dyDescent="0.25">
      <c r="A19" s="40"/>
      <c r="B19" s="40"/>
      <c r="C19" s="40"/>
      <c r="D19" s="39"/>
      <c r="E19" s="34"/>
      <c r="F19" s="35" t="s">
        <v>40</v>
      </c>
      <c r="H19" s="38">
        <f>AVERAGE(H5:H11)</f>
        <v>3.597142857142857</v>
      </c>
      <c r="I19" s="38"/>
      <c r="J19" s="38"/>
      <c r="K19" s="38">
        <f>AVERAGE(K5:K11)</f>
        <v>7.3100000000000005</v>
      </c>
      <c r="L19" s="54"/>
      <c r="M19" s="39"/>
      <c r="N19" s="39"/>
      <c r="O19" s="53"/>
      <c r="P19" s="34"/>
      <c r="Q19" s="35"/>
      <c r="S19" s="38"/>
      <c r="T19" s="38"/>
      <c r="U19" s="38"/>
      <c r="V19" s="54"/>
      <c r="W19" s="54" t="s">
        <v>119</v>
      </c>
      <c r="X19" s="57"/>
      <c r="Y19" s="57"/>
      <c r="Z19" s="57"/>
      <c r="AA19" s="57"/>
      <c r="AB19" s="57"/>
      <c r="AC19" s="57"/>
      <c r="AD19" s="86">
        <f>MIN(AD5:AD18)</f>
        <v>0.69248517297800405</v>
      </c>
      <c r="AE19" s="86">
        <f>MIN(AE5:AE18)</f>
        <v>263.19376318862089</v>
      </c>
      <c r="AF19" s="55"/>
      <c r="AN19" s="55">
        <f>MIN(AN5:AN18)</f>
        <v>3</v>
      </c>
      <c r="AO19" s="53"/>
      <c r="AP19" s="53"/>
      <c r="AQ19" s="53"/>
      <c r="AR19" s="53"/>
      <c r="AS19" s="53"/>
      <c r="AT19" s="53"/>
      <c r="AU19" s="53"/>
      <c r="AV19" s="53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</row>
    <row r="20" spans="1:116" s="36" customFormat="1" x14ac:dyDescent="0.25">
      <c r="A20" s="40"/>
      <c r="B20" s="40"/>
      <c r="C20" s="40"/>
      <c r="D20" s="39"/>
      <c r="E20" s="34"/>
      <c r="F20" s="35" t="s">
        <v>91</v>
      </c>
      <c r="H20" s="38">
        <f>STDEV(H5:H11)</f>
        <v>0.44668088108157344</v>
      </c>
      <c r="I20" s="38"/>
      <c r="J20" s="38"/>
      <c r="K20" s="38">
        <f>STDEV(K5:K11)</f>
        <v>2.2654359403876319</v>
      </c>
      <c r="L20" s="54"/>
      <c r="M20" s="39"/>
      <c r="N20" s="39"/>
      <c r="O20" s="53"/>
      <c r="P20" s="34"/>
      <c r="Q20" s="35"/>
      <c r="S20" s="38"/>
      <c r="T20" s="38"/>
      <c r="U20" s="38"/>
      <c r="V20" s="54"/>
      <c r="W20" s="54" t="s">
        <v>120</v>
      </c>
      <c r="X20" s="57"/>
      <c r="Y20" s="57"/>
      <c r="Z20" s="57"/>
      <c r="AA20" s="57"/>
      <c r="AB20" s="57"/>
      <c r="AC20" s="57"/>
      <c r="AD20" s="86">
        <f>MAX(AD5:AD18)</f>
        <v>1.5159554332460883</v>
      </c>
      <c r="AE20" s="86">
        <f>MAX(AE5:AE18)</f>
        <v>785.61355389675532</v>
      </c>
      <c r="AF20" s="55"/>
      <c r="AN20" s="55">
        <f>MAX(AN5:AN18)</f>
        <v>9</v>
      </c>
      <c r="AO20" s="53"/>
      <c r="AP20" s="53"/>
      <c r="AQ20" s="53"/>
      <c r="AR20" s="53"/>
      <c r="AS20" s="53"/>
      <c r="AT20" s="53"/>
      <c r="AU20" s="53"/>
      <c r="AV20" s="53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</row>
    <row r="21" spans="1:116" s="36" customFormat="1" x14ac:dyDescent="0.25">
      <c r="A21" s="40"/>
      <c r="B21" s="40"/>
      <c r="C21" s="40"/>
      <c r="D21" s="39"/>
      <c r="E21" s="34" t="s">
        <v>93</v>
      </c>
      <c r="F21" s="35" t="s">
        <v>94</v>
      </c>
      <c r="H21" s="38">
        <f>H19-(2*H20)</f>
        <v>2.7037810949797101</v>
      </c>
      <c r="I21" s="38"/>
      <c r="J21" s="38"/>
      <c r="K21" s="38">
        <f>K19-(2*K20)</f>
        <v>2.7791281192247368</v>
      </c>
      <c r="N21" s="39"/>
      <c r="O21" s="53"/>
      <c r="P21" s="34"/>
      <c r="Q21" s="35"/>
      <c r="S21" s="38"/>
      <c r="T21" s="38"/>
      <c r="U21" s="38"/>
      <c r="V21" s="38"/>
      <c r="W21" s="36" t="s">
        <v>40</v>
      </c>
      <c r="X21" s="57"/>
      <c r="Y21" s="57"/>
      <c r="Z21" s="57"/>
      <c r="AA21" s="57"/>
      <c r="AB21" s="57"/>
      <c r="AC21" s="57"/>
      <c r="AD21" s="86">
        <f>AVERAGE(AD5:AD18)</f>
        <v>1.2439690866338242</v>
      </c>
      <c r="AE21" s="86">
        <f>AVERAGE(AE5:AE18)</f>
        <v>460.74119539971269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</row>
    <row r="22" spans="1:116" s="36" customFormat="1" x14ac:dyDescent="0.25">
      <c r="A22" s="40"/>
      <c r="B22" s="40"/>
      <c r="C22" s="40"/>
      <c r="D22" s="39"/>
      <c r="F22" s="35" t="s">
        <v>95</v>
      </c>
      <c r="H22" s="38">
        <f>H19+(2*H20)</f>
        <v>4.4905046193060034</v>
      </c>
      <c r="K22" s="38">
        <f>K19+(2*K20)</f>
        <v>11.840871880775264</v>
      </c>
      <c r="N22" s="39"/>
      <c r="O22" s="53"/>
      <c r="P22" s="34"/>
      <c r="Q22" s="35"/>
      <c r="S22" s="38"/>
      <c r="T22" s="38"/>
      <c r="U22" s="38"/>
      <c r="V22" s="38"/>
      <c r="W22" s="36" t="s">
        <v>91</v>
      </c>
      <c r="X22" s="57"/>
      <c r="Y22" s="57"/>
      <c r="Z22" s="57"/>
      <c r="AA22" s="57"/>
      <c r="AB22" s="57"/>
      <c r="AC22" s="57"/>
      <c r="AD22" s="86">
        <f>STDEV(AD5:AD18)</f>
        <v>0.28573869169495913</v>
      </c>
      <c r="AE22" s="86">
        <f>STDEV(AE5:AE18)</f>
        <v>174.97251328088942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</row>
    <row r="23" spans="1:116" s="36" customFormat="1" x14ac:dyDescent="0.25">
      <c r="A23" s="40"/>
      <c r="B23" s="40"/>
      <c r="C23" s="40"/>
      <c r="D23" s="39"/>
      <c r="E23" s="34" t="s">
        <v>96</v>
      </c>
      <c r="F23" s="35" t="s">
        <v>97</v>
      </c>
      <c r="H23" s="38">
        <f>H19-(3*H20)</f>
        <v>2.2571002138981369</v>
      </c>
      <c r="I23" s="38"/>
      <c r="J23" s="38"/>
      <c r="K23" s="38">
        <f>K19-(3*K20)</f>
        <v>0.51369217883710494</v>
      </c>
      <c r="N23" s="53"/>
      <c r="O23" s="34"/>
      <c r="P23" s="35"/>
      <c r="R23" s="38"/>
      <c r="S23" s="38"/>
      <c r="T23" s="38"/>
      <c r="U23" s="54"/>
      <c r="V23" s="54"/>
      <c r="W23" s="38" t="s">
        <v>92</v>
      </c>
      <c r="Y23" s="38"/>
      <c r="AD23" s="90">
        <f>100*AD22/AD21</f>
        <v>22.969919008853104</v>
      </c>
      <c r="AE23" s="90">
        <f>100*AE22/AE21</f>
        <v>37.976311870505363</v>
      </c>
      <c r="AG23" s="55"/>
      <c r="AH23" s="55"/>
      <c r="AI23" s="55"/>
      <c r="AJ23" s="55"/>
      <c r="AL23" s="55"/>
      <c r="AM23" s="55"/>
      <c r="AN23" s="53"/>
      <c r="AO23" s="53"/>
      <c r="AP23" s="53"/>
      <c r="AQ23" s="53"/>
      <c r="AR23" s="53"/>
      <c r="AS23" s="53"/>
      <c r="AT23" s="53"/>
      <c r="AU23" s="53"/>
      <c r="AV23" s="53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</row>
    <row r="24" spans="1:116" x14ac:dyDescent="0.25">
      <c r="E24" s="39"/>
      <c r="F24" s="35" t="s">
        <v>98</v>
      </c>
      <c r="G24" s="40"/>
      <c r="H24" s="38">
        <f>H19+(3*H20)</f>
        <v>4.9371855003875771</v>
      </c>
      <c r="I24" s="40"/>
      <c r="J24" s="40"/>
      <c r="K24" s="38">
        <f>K19+(3*K20)</f>
        <v>14.106307821162897</v>
      </c>
      <c r="L24" s="39"/>
      <c r="M24" s="39"/>
      <c r="O24" s="34"/>
      <c r="P24" s="35"/>
      <c r="R24" s="38"/>
      <c r="S24" s="38"/>
      <c r="T24" s="38"/>
      <c r="U24" s="54"/>
      <c r="V24" s="54"/>
      <c r="W24" s="36" t="s">
        <v>99</v>
      </c>
      <c r="Y24" s="38"/>
      <c r="AD24" s="90">
        <f>COUNT(AD5:AD18)</f>
        <v>7</v>
      </c>
      <c r="AE24" s="90">
        <f>COUNT(AE5:AE18)</f>
        <v>7</v>
      </c>
      <c r="AG24" s="55"/>
      <c r="AH24" s="55"/>
      <c r="AI24" s="55"/>
      <c r="AJ24" s="55"/>
      <c r="AK24" s="36"/>
      <c r="AL24" s="55"/>
      <c r="AM24" s="55"/>
    </row>
    <row r="25" spans="1:116" x14ac:dyDescent="0.25">
      <c r="W25" s="38" t="s">
        <v>43</v>
      </c>
      <c r="AD25" s="90">
        <f>TINV(0.02,(AD24-1))</f>
        <v>3.1426684032909828</v>
      </c>
      <c r="AE25" s="90">
        <f>TINV(0.02,(AE24-1))</f>
        <v>3.1426684032909828</v>
      </c>
    </row>
    <row r="26" spans="1:116" x14ac:dyDescent="0.25">
      <c r="W26" s="36" t="s">
        <v>44</v>
      </c>
      <c r="AD26" s="90">
        <f>AD22*AD25</f>
        <v>0.89798195798745162</v>
      </c>
      <c r="AE26" s="90">
        <f>AE22*AE25</f>
        <v>549.88058893226298</v>
      </c>
    </row>
    <row r="27" spans="1:116" x14ac:dyDescent="0.25">
      <c r="W27" s="36" t="s">
        <v>45</v>
      </c>
      <c r="AD27" s="90">
        <f>AD22*10</f>
        <v>2.8573869169495913</v>
      </c>
      <c r="AE27" s="90">
        <f>AE22*10</f>
        <v>1749.7251328088942</v>
      </c>
    </row>
    <row r="42" spans="12:117" s="53" customFormat="1" x14ac:dyDescent="0.25">
      <c r="L42" s="58"/>
      <c r="M42" s="58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</row>
  </sheetData>
  <sortState ref="A5:AO11">
    <sortCondition ref="A5:A11"/>
  </sortState>
  <conditionalFormatting sqref="G12:G15">
    <cfRule type="cellIs" dxfId="0" priority="1" operator="lessThan">
      <formula>26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F105-7C32-4B00-8D47-7BA1F6854201}">
  <sheetPr>
    <pageSetUpPr fitToPage="1"/>
  </sheetPr>
  <dimension ref="A18:CP104"/>
  <sheetViews>
    <sheetView topLeftCell="AE46" zoomScaleNormal="100" zoomScalePageLayoutView="85" workbookViewId="0">
      <selection activeCell="AO94" sqref="AO94"/>
    </sheetView>
  </sheetViews>
  <sheetFormatPr defaultColWidth="8.77734375" defaultRowHeight="15" x14ac:dyDescent="0.25"/>
  <cols>
    <col min="1" max="1" width="9.21875" style="53" customWidth="1"/>
    <col min="2" max="2" width="27.77734375" style="53" customWidth="1"/>
    <col min="3" max="4" width="17.44140625" style="53" customWidth="1"/>
    <col min="5" max="5" width="8.77734375" style="53"/>
    <col min="6" max="6" width="7.5546875" style="53" customWidth="1"/>
    <col min="7" max="7" width="6.44140625" style="53" customWidth="1"/>
    <col min="8" max="9" width="10.77734375" style="53" customWidth="1"/>
    <col min="10" max="10" width="11.77734375" style="53" customWidth="1"/>
    <col min="11" max="11" width="5" style="53" customWidth="1"/>
    <col min="12" max="12" width="8.77734375" style="53" customWidth="1"/>
    <col min="13" max="13" width="22.5546875" style="58" customWidth="1"/>
    <col min="14" max="15" width="16.44140625" style="58" customWidth="1"/>
    <col min="16" max="16" width="12.77734375" style="53" customWidth="1"/>
    <col min="17" max="17" width="7.21875" style="36" customWidth="1"/>
    <col min="18" max="18" width="9.21875" style="36" bestFit="1" customWidth="1"/>
    <col min="19" max="19" width="7.21875" style="36" customWidth="1"/>
    <col min="20" max="22" width="9.21875" style="36" bestFit="1" customWidth="1"/>
    <col min="23" max="23" width="9.77734375" style="36" bestFit="1" customWidth="1"/>
    <col min="24" max="30" width="8.77734375" style="53"/>
    <col min="31" max="31" width="24.5546875" style="53" customWidth="1"/>
    <col min="32" max="32" width="17.5546875" style="53" customWidth="1"/>
    <col min="33" max="33" width="8.77734375" style="53"/>
    <col min="34" max="35" width="8.77734375" style="56"/>
    <col min="36" max="36" width="11.21875" style="56" customWidth="1"/>
    <col min="37" max="37" width="10.77734375" style="56" customWidth="1"/>
    <col min="38" max="46" width="8.77734375" style="56"/>
    <col min="47" max="47" width="11.5546875" style="56" customWidth="1"/>
    <col min="48" max="236" width="8.77734375" style="56"/>
    <col min="237" max="237" width="24.77734375" style="56" customWidth="1"/>
    <col min="238" max="238" width="13.44140625" style="56" customWidth="1"/>
    <col min="239" max="239" width="8.77734375" style="56"/>
    <col min="240" max="240" width="6.77734375" style="56" customWidth="1"/>
    <col min="241" max="241" width="6.44140625" style="56" customWidth="1"/>
    <col min="242" max="242" width="8.21875" style="56" customWidth="1"/>
    <col min="243" max="243" width="6.77734375" style="56" customWidth="1"/>
    <col min="244" max="244" width="4.77734375" style="56" customWidth="1"/>
    <col min="245" max="246" width="5" style="56" customWidth="1"/>
    <col min="247" max="247" width="8.77734375" style="56"/>
    <col min="248" max="248" width="10.44140625" style="56" customWidth="1"/>
    <col min="249" max="249" width="3.77734375" style="56" customWidth="1"/>
    <col min="250" max="251" width="8.77734375" style="56"/>
    <col min="252" max="252" width="3.77734375" style="56" customWidth="1"/>
    <col min="253" max="492" width="8.77734375" style="56"/>
    <col min="493" max="493" width="24.77734375" style="56" customWidth="1"/>
    <col min="494" max="494" width="13.44140625" style="56" customWidth="1"/>
    <col min="495" max="495" width="8.77734375" style="56"/>
    <col min="496" max="496" width="6.77734375" style="56" customWidth="1"/>
    <col min="497" max="497" width="6.44140625" style="56" customWidth="1"/>
    <col min="498" max="498" width="8.21875" style="56" customWidth="1"/>
    <col min="499" max="499" width="6.77734375" style="56" customWidth="1"/>
    <col min="500" max="500" width="4.77734375" style="56" customWidth="1"/>
    <col min="501" max="502" width="5" style="56" customWidth="1"/>
    <col min="503" max="503" width="8.77734375" style="56"/>
    <col min="504" max="504" width="10.44140625" style="56" customWidth="1"/>
    <col min="505" max="505" width="3.77734375" style="56" customWidth="1"/>
    <col min="506" max="507" width="8.77734375" style="56"/>
    <col min="508" max="508" width="3.77734375" style="56" customWidth="1"/>
    <col min="509" max="748" width="8.77734375" style="56"/>
    <col min="749" max="749" width="24.77734375" style="56" customWidth="1"/>
    <col min="750" max="750" width="13.44140625" style="56" customWidth="1"/>
    <col min="751" max="751" width="8.77734375" style="56"/>
    <col min="752" max="752" width="6.77734375" style="56" customWidth="1"/>
    <col min="753" max="753" width="6.44140625" style="56" customWidth="1"/>
    <col min="754" max="754" width="8.21875" style="56" customWidth="1"/>
    <col min="755" max="755" width="6.77734375" style="56" customWidth="1"/>
    <col min="756" max="756" width="4.77734375" style="56" customWidth="1"/>
    <col min="757" max="758" width="5" style="56" customWidth="1"/>
    <col min="759" max="759" width="8.77734375" style="56"/>
    <col min="760" max="760" width="10.44140625" style="56" customWidth="1"/>
    <col min="761" max="761" width="3.77734375" style="56" customWidth="1"/>
    <col min="762" max="763" width="8.77734375" style="56"/>
    <col min="764" max="764" width="3.77734375" style="56" customWidth="1"/>
    <col min="765" max="1004" width="8.77734375" style="56"/>
    <col min="1005" max="1005" width="24.77734375" style="56" customWidth="1"/>
    <col min="1006" max="1006" width="13.44140625" style="56" customWidth="1"/>
    <col min="1007" max="1007" width="8.77734375" style="56"/>
    <col min="1008" max="1008" width="6.77734375" style="56" customWidth="1"/>
    <col min="1009" max="1009" width="6.44140625" style="56" customWidth="1"/>
    <col min="1010" max="1010" width="8.21875" style="56" customWidth="1"/>
    <col min="1011" max="1011" width="6.77734375" style="56" customWidth="1"/>
    <col min="1012" max="1012" width="4.77734375" style="56" customWidth="1"/>
    <col min="1013" max="1014" width="5" style="56" customWidth="1"/>
    <col min="1015" max="1015" width="8.77734375" style="56"/>
    <col min="1016" max="1016" width="10.44140625" style="56" customWidth="1"/>
    <col min="1017" max="1017" width="3.77734375" style="56" customWidth="1"/>
    <col min="1018" max="1019" width="8.77734375" style="56"/>
    <col min="1020" max="1020" width="3.77734375" style="56" customWidth="1"/>
    <col min="1021" max="1260" width="8.77734375" style="56"/>
    <col min="1261" max="1261" width="24.77734375" style="56" customWidth="1"/>
    <col min="1262" max="1262" width="13.44140625" style="56" customWidth="1"/>
    <col min="1263" max="1263" width="8.77734375" style="56"/>
    <col min="1264" max="1264" width="6.77734375" style="56" customWidth="1"/>
    <col min="1265" max="1265" width="6.44140625" style="56" customWidth="1"/>
    <col min="1266" max="1266" width="8.21875" style="56" customWidth="1"/>
    <col min="1267" max="1267" width="6.77734375" style="56" customWidth="1"/>
    <col min="1268" max="1268" width="4.77734375" style="56" customWidth="1"/>
    <col min="1269" max="1270" width="5" style="56" customWidth="1"/>
    <col min="1271" max="1271" width="8.77734375" style="56"/>
    <col min="1272" max="1272" width="10.44140625" style="56" customWidth="1"/>
    <col min="1273" max="1273" width="3.77734375" style="56" customWidth="1"/>
    <col min="1274" max="1275" width="8.77734375" style="56"/>
    <col min="1276" max="1276" width="3.77734375" style="56" customWidth="1"/>
    <col min="1277" max="1516" width="8.77734375" style="56"/>
    <col min="1517" max="1517" width="24.77734375" style="56" customWidth="1"/>
    <col min="1518" max="1518" width="13.44140625" style="56" customWidth="1"/>
    <col min="1519" max="1519" width="8.77734375" style="56"/>
    <col min="1520" max="1520" width="6.77734375" style="56" customWidth="1"/>
    <col min="1521" max="1521" width="6.44140625" style="56" customWidth="1"/>
    <col min="1522" max="1522" width="8.21875" style="56" customWidth="1"/>
    <col min="1523" max="1523" width="6.77734375" style="56" customWidth="1"/>
    <col min="1524" max="1524" width="4.77734375" style="56" customWidth="1"/>
    <col min="1525" max="1526" width="5" style="56" customWidth="1"/>
    <col min="1527" max="1527" width="8.77734375" style="56"/>
    <col min="1528" max="1528" width="10.44140625" style="56" customWidth="1"/>
    <col min="1529" max="1529" width="3.77734375" style="56" customWidth="1"/>
    <col min="1530" max="1531" width="8.77734375" style="56"/>
    <col min="1532" max="1532" width="3.77734375" style="56" customWidth="1"/>
    <col min="1533" max="1772" width="8.77734375" style="56"/>
    <col min="1773" max="1773" width="24.77734375" style="56" customWidth="1"/>
    <col min="1774" max="1774" width="13.44140625" style="56" customWidth="1"/>
    <col min="1775" max="1775" width="8.77734375" style="56"/>
    <col min="1776" max="1776" width="6.77734375" style="56" customWidth="1"/>
    <col min="1777" max="1777" width="6.44140625" style="56" customWidth="1"/>
    <col min="1778" max="1778" width="8.21875" style="56" customWidth="1"/>
    <col min="1779" max="1779" width="6.77734375" style="56" customWidth="1"/>
    <col min="1780" max="1780" width="4.77734375" style="56" customWidth="1"/>
    <col min="1781" max="1782" width="5" style="56" customWidth="1"/>
    <col min="1783" max="1783" width="8.77734375" style="56"/>
    <col min="1784" max="1784" width="10.44140625" style="56" customWidth="1"/>
    <col min="1785" max="1785" width="3.77734375" style="56" customWidth="1"/>
    <col min="1786" max="1787" width="8.77734375" style="56"/>
    <col min="1788" max="1788" width="3.77734375" style="56" customWidth="1"/>
    <col min="1789" max="2028" width="8.77734375" style="56"/>
    <col min="2029" max="2029" width="24.77734375" style="56" customWidth="1"/>
    <col min="2030" max="2030" width="13.44140625" style="56" customWidth="1"/>
    <col min="2031" max="2031" width="8.77734375" style="56"/>
    <col min="2032" max="2032" width="6.77734375" style="56" customWidth="1"/>
    <col min="2033" max="2033" width="6.44140625" style="56" customWidth="1"/>
    <col min="2034" max="2034" width="8.21875" style="56" customWidth="1"/>
    <col min="2035" max="2035" width="6.77734375" style="56" customWidth="1"/>
    <col min="2036" max="2036" width="4.77734375" style="56" customWidth="1"/>
    <col min="2037" max="2038" width="5" style="56" customWidth="1"/>
    <col min="2039" max="2039" width="8.77734375" style="56"/>
    <col min="2040" max="2040" width="10.44140625" style="56" customWidth="1"/>
    <col min="2041" max="2041" width="3.77734375" style="56" customWidth="1"/>
    <col min="2042" max="2043" width="8.77734375" style="56"/>
    <col min="2044" max="2044" width="3.77734375" style="56" customWidth="1"/>
    <col min="2045" max="2284" width="8.77734375" style="56"/>
    <col min="2285" max="2285" width="24.77734375" style="56" customWidth="1"/>
    <col min="2286" max="2286" width="13.44140625" style="56" customWidth="1"/>
    <col min="2287" max="2287" width="8.77734375" style="56"/>
    <col min="2288" max="2288" width="6.77734375" style="56" customWidth="1"/>
    <col min="2289" max="2289" width="6.44140625" style="56" customWidth="1"/>
    <col min="2290" max="2290" width="8.21875" style="56" customWidth="1"/>
    <col min="2291" max="2291" width="6.77734375" style="56" customWidth="1"/>
    <col min="2292" max="2292" width="4.77734375" style="56" customWidth="1"/>
    <col min="2293" max="2294" width="5" style="56" customWidth="1"/>
    <col min="2295" max="2295" width="8.77734375" style="56"/>
    <col min="2296" max="2296" width="10.44140625" style="56" customWidth="1"/>
    <col min="2297" max="2297" width="3.77734375" style="56" customWidth="1"/>
    <col min="2298" max="2299" width="8.77734375" style="56"/>
    <col min="2300" max="2300" width="3.77734375" style="56" customWidth="1"/>
    <col min="2301" max="2540" width="8.77734375" style="56"/>
    <col min="2541" max="2541" width="24.77734375" style="56" customWidth="1"/>
    <col min="2542" max="2542" width="13.44140625" style="56" customWidth="1"/>
    <col min="2543" max="2543" width="8.77734375" style="56"/>
    <col min="2544" max="2544" width="6.77734375" style="56" customWidth="1"/>
    <col min="2545" max="2545" width="6.44140625" style="56" customWidth="1"/>
    <col min="2546" max="2546" width="8.21875" style="56" customWidth="1"/>
    <col min="2547" max="2547" width="6.77734375" style="56" customWidth="1"/>
    <col min="2548" max="2548" width="4.77734375" style="56" customWidth="1"/>
    <col min="2549" max="2550" width="5" style="56" customWidth="1"/>
    <col min="2551" max="2551" width="8.77734375" style="56"/>
    <col min="2552" max="2552" width="10.44140625" style="56" customWidth="1"/>
    <col min="2553" max="2553" width="3.77734375" style="56" customWidth="1"/>
    <col min="2554" max="2555" width="8.77734375" style="56"/>
    <col min="2556" max="2556" width="3.77734375" style="56" customWidth="1"/>
    <col min="2557" max="2796" width="8.77734375" style="56"/>
    <col min="2797" max="2797" width="24.77734375" style="56" customWidth="1"/>
    <col min="2798" max="2798" width="13.44140625" style="56" customWidth="1"/>
    <col min="2799" max="2799" width="8.77734375" style="56"/>
    <col min="2800" max="2800" width="6.77734375" style="56" customWidth="1"/>
    <col min="2801" max="2801" width="6.44140625" style="56" customWidth="1"/>
    <col min="2802" max="2802" width="8.21875" style="56" customWidth="1"/>
    <col min="2803" max="2803" width="6.77734375" style="56" customWidth="1"/>
    <col min="2804" max="2804" width="4.77734375" style="56" customWidth="1"/>
    <col min="2805" max="2806" width="5" style="56" customWidth="1"/>
    <col min="2807" max="2807" width="8.77734375" style="56"/>
    <col min="2808" max="2808" width="10.44140625" style="56" customWidth="1"/>
    <col min="2809" max="2809" width="3.77734375" style="56" customWidth="1"/>
    <col min="2810" max="2811" width="8.77734375" style="56"/>
    <col min="2812" max="2812" width="3.77734375" style="56" customWidth="1"/>
    <col min="2813" max="3052" width="8.77734375" style="56"/>
    <col min="3053" max="3053" width="24.77734375" style="56" customWidth="1"/>
    <col min="3054" max="3054" width="13.44140625" style="56" customWidth="1"/>
    <col min="3055" max="3055" width="8.77734375" style="56"/>
    <col min="3056" max="3056" width="6.77734375" style="56" customWidth="1"/>
    <col min="3057" max="3057" width="6.44140625" style="56" customWidth="1"/>
    <col min="3058" max="3058" width="8.21875" style="56" customWidth="1"/>
    <col min="3059" max="3059" width="6.77734375" style="56" customWidth="1"/>
    <col min="3060" max="3060" width="4.77734375" style="56" customWidth="1"/>
    <col min="3061" max="3062" width="5" style="56" customWidth="1"/>
    <col min="3063" max="3063" width="8.77734375" style="56"/>
    <col min="3064" max="3064" width="10.44140625" style="56" customWidth="1"/>
    <col min="3065" max="3065" width="3.77734375" style="56" customWidth="1"/>
    <col min="3066" max="3067" width="8.77734375" style="56"/>
    <col min="3068" max="3068" width="3.77734375" style="56" customWidth="1"/>
    <col min="3069" max="3308" width="8.77734375" style="56"/>
    <col min="3309" max="3309" width="24.77734375" style="56" customWidth="1"/>
    <col min="3310" max="3310" width="13.44140625" style="56" customWidth="1"/>
    <col min="3311" max="3311" width="8.77734375" style="56"/>
    <col min="3312" max="3312" width="6.77734375" style="56" customWidth="1"/>
    <col min="3313" max="3313" width="6.44140625" style="56" customWidth="1"/>
    <col min="3314" max="3314" width="8.21875" style="56" customWidth="1"/>
    <col min="3315" max="3315" width="6.77734375" style="56" customWidth="1"/>
    <col min="3316" max="3316" width="4.77734375" style="56" customWidth="1"/>
    <col min="3317" max="3318" width="5" style="56" customWidth="1"/>
    <col min="3319" max="3319" width="8.77734375" style="56"/>
    <col min="3320" max="3320" width="10.44140625" style="56" customWidth="1"/>
    <col min="3321" max="3321" width="3.77734375" style="56" customWidth="1"/>
    <col min="3322" max="3323" width="8.77734375" style="56"/>
    <col min="3324" max="3324" width="3.77734375" style="56" customWidth="1"/>
    <col min="3325" max="3564" width="8.77734375" style="56"/>
    <col min="3565" max="3565" width="24.77734375" style="56" customWidth="1"/>
    <col min="3566" max="3566" width="13.44140625" style="56" customWidth="1"/>
    <col min="3567" max="3567" width="8.77734375" style="56"/>
    <col min="3568" max="3568" width="6.77734375" style="56" customWidth="1"/>
    <col min="3569" max="3569" width="6.44140625" style="56" customWidth="1"/>
    <col min="3570" max="3570" width="8.21875" style="56" customWidth="1"/>
    <col min="3571" max="3571" width="6.77734375" style="56" customWidth="1"/>
    <col min="3572" max="3572" width="4.77734375" style="56" customWidth="1"/>
    <col min="3573" max="3574" width="5" style="56" customWidth="1"/>
    <col min="3575" max="3575" width="8.77734375" style="56"/>
    <col min="3576" max="3576" width="10.44140625" style="56" customWidth="1"/>
    <col min="3577" max="3577" width="3.77734375" style="56" customWidth="1"/>
    <col min="3578" max="3579" width="8.77734375" style="56"/>
    <col min="3580" max="3580" width="3.77734375" style="56" customWidth="1"/>
    <col min="3581" max="3820" width="8.77734375" style="56"/>
    <col min="3821" max="3821" width="24.77734375" style="56" customWidth="1"/>
    <col min="3822" max="3822" width="13.44140625" style="56" customWidth="1"/>
    <col min="3823" max="3823" width="8.77734375" style="56"/>
    <col min="3824" max="3824" width="6.77734375" style="56" customWidth="1"/>
    <col min="3825" max="3825" width="6.44140625" style="56" customWidth="1"/>
    <col min="3826" max="3826" width="8.21875" style="56" customWidth="1"/>
    <col min="3827" max="3827" width="6.77734375" style="56" customWidth="1"/>
    <col min="3828" max="3828" width="4.77734375" style="56" customWidth="1"/>
    <col min="3829" max="3830" width="5" style="56" customWidth="1"/>
    <col min="3831" max="3831" width="8.77734375" style="56"/>
    <col min="3832" max="3832" width="10.44140625" style="56" customWidth="1"/>
    <col min="3833" max="3833" width="3.77734375" style="56" customWidth="1"/>
    <col min="3834" max="3835" width="8.77734375" style="56"/>
    <col min="3836" max="3836" width="3.77734375" style="56" customWidth="1"/>
    <col min="3837" max="4076" width="8.77734375" style="56"/>
    <col min="4077" max="4077" width="24.77734375" style="56" customWidth="1"/>
    <col min="4078" max="4078" width="13.44140625" style="56" customWidth="1"/>
    <col min="4079" max="4079" width="8.77734375" style="56"/>
    <col min="4080" max="4080" width="6.77734375" style="56" customWidth="1"/>
    <col min="4081" max="4081" width="6.44140625" style="56" customWidth="1"/>
    <col min="4082" max="4082" width="8.21875" style="56" customWidth="1"/>
    <col min="4083" max="4083" width="6.77734375" style="56" customWidth="1"/>
    <col min="4084" max="4084" width="4.77734375" style="56" customWidth="1"/>
    <col min="4085" max="4086" width="5" style="56" customWidth="1"/>
    <col min="4087" max="4087" width="8.77734375" style="56"/>
    <col min="4088" max="4088" width="10.44140625" style="56" customWidth="1"/>
    <col min="4089" max="4089" width="3.77734375" style="56" customWidth="1"/>
    <col min="4090" max="4091" width="8.77734375" style="56"/>
    <col min="4092" max="4092" width="3.77734375" style="56" customWidth="1"/>
    <col min="4093" max="4332" width="8.77734375" style="56"/>
    <col min="4333" max="4333" width="24.77734375" style="56" customWidth="1"/>
    <col min="4334" max="4334" width="13.44140625" style="56" customWidth="1"/>
    <col min="4335" max="4335" width="8.77734375" style="56"/>
    <col min="4336" max="4336" width="6.77734375" style="56" customWidth="1"/>
    <col min="4337" max="4337" width="6.44140625" style="56" customWidth="1"/>
    <col min="4338" max="4338" width="8.21875" style="56" customWidth="1"/>
    <col min="4339" max="4339" width="6.77734375" style="56" customWidth="1"/>
    <col min="4340" max="4340" width="4.77734375" style="56" customWidth="1"/>
    <col min="4341" max="4342" width="5" style="56" customWidth="1"/>
    <col min="4343" max="4343" width="8.77734375" style="56"/>
    <col min="4344" max="4344" width="10.44140625" style="56" customWidth="1"/>
    <col min="4345" max="4345" width="3.77734375" style="56" customWidth="1"/>
    <col min="4346" max="4347" width="8.77734375" style="56"/>
    <col min="4348" max="4348" width="3.77734375" style="56" customWidth="1"/>
    <col min="4349" max="4588" width="8.77734375" style="56"/>
    <col min="4589" max="4589" width="24.77734375" style="56" customWidth="1"/>
    <col min="4590" max="4590" width="13.44140625" style="56" customWidth="1"/>
    <col min="4591" max="4591" width="8.77734375" style="56"/>
    <col min="4592" max="4592" width="6.77734375" style="56" customWidth="1"/>
    <col min="4593" max="4593" width="6.44140625" style="56" customWidth="1"/>
    <col min="4594" max="4594" width="8.21875" style="56" customWidth="1"/>
    <col min="4595" max="4595" width="6.77734375" style="56" customWidth="1"/>
    <col min="4596" max="4596" width="4.77734375" style="56" customWidth="1"/>
    <col min="4597" max="4598" width="5" style="56" customWidth="1"/>
    <col min="4599" max="4599" width="8.77734375" style="56"/>
    <col min="4600" max="4600" width="10.44140625" style="56" customWidth="1"/>
    <col min="4601" max="4601" width="3.77734375" style="56" customWidth="1"/>
    <col min="4602" max="4603" width="8.77734375" style="56"/>
    <col min="4604" max="4604" width="3.77734375" style="56" customWidth="1"/>
    <col min="4605" max="4844" width="8.77734375" style="56"/>
    <col min="4845" max="4845" width="24.77734375" style="56" customWidth="1"/>
    <col min="4846" max="4846" width="13.44140625" style="56" customWidth="1"/>
    <col min="4847" max="4847" width="8.77734375" style="56"/>
    <col min="4848" max="4848" width="6.77734375" style="56" customWidth="1"/>
    <col min="4849" max="4849" width="6.44140625" style="56" customWidth="1"/>
    <col min="4850" max="4850" width="8.21875" style="56" customWidth="1"/>
    <col min="4851" max="4851" width="6.77734375" style="56" customWidth="1"/>
    <col min="4852" max="4852" width="4.77734375" style="56" customWidth="1"/>
    <col min="4853" max="4854" width="5" style="56" customWidth="1"/>
    <col min="4855" max="4855" width="8.77734375" style="56"/>
    <col min="4856" max="4856" width="10.44140625" style="56" customWidth="1"/>
    <col min="4857" max="4857" width="3.77734375" style="56" customWidth="1"/>
    <col min="4858" max="4859" width="8.77734375" style="56"/>
    <col min="4860" max="4860" width="3.77734375" style="56" customWidth="1"/>
    <col min="4861" max="5100" width="8.77734375" style="56"/>
    <col min="5101" max="5101" width="24.77734375" style="56" customWidth="1"/>
    <col min="5102" max="5102" width="13.44140625" style="56" customWidth="1"/>
    <col min="5103" max="5103" width="8.77734375" style="56"/>
    <col min="5104" max="5104" width="6.77734375" style="56" customWidth="1"/>
    <col min="5105" max="5105" width="6.44140625" style="56" customWidth="1"/>
    <col min="5106" max="5106" width="8.21875" style="56" customWidth="1"/>
    <col min="5107" max="5107" width="6.77734375" style="56" customWidth="1"/>
    <col min="5108" max="5108" width="4.77734375" style="56" customWidth="1"/>
    <col min="5109" max="5110" width="5" style="56" customWidth="1"/>
    <col min="5111" max="5111" width="8.77734375" style="56"/>
    <col min="5112" max="5112" width="10.44140625" style="56" customWidth="1"/>
    <col min="5113" max="5113" width="3.77734375" style="56" customWidth="1"/>
    <col min="5114" max="5115" width="8.77734375" style="56"/>
    <col min="5116" max="5116" width="3.77734375" style="56" customWidth="1"/>
    <col min="5117" max="5356" width="8.77734375" style="56"/>
    <col min="5357" max="5357" width="24.77734375" style="56" customWidth="1"/>
    <col min="5358" max="5358" width="13.44140625" style="56" customWidth="1"/>
    <col min="5359" max="5359" width="8.77734375" style="56"/>
    <col min="5360" max="5360" width="6.77734375" style="56" customWidth="1"/>
    <col min="5361" max="5361" width="6.44140625" style="56" customWidth="1"/>
    <col min="5362" max="5362" width="8.21875" style="56" customWidth="1"/>
    <col min="5363" max="5363" width="6.77734375" style="56" customWidth="1"/>
    <col min="5364" max="5364" width="4.77734375" style="56" customWidth="1"/>
    <col min="5365" max="5366" width="5" style="56" customWidth="1"/>
    <col min="5367" max="5367" width="8.77734375" style="56"/>
    <col min="5368" max="5368" width="10.44140625" style="56" customWidth="1"/>
    <col min="5369" max="5369" width="3.77734375" style="56" customWidth="1"/>
    <col min="5370" max="5371" width="8.77734375" style="56"/>
    <col min="5372" max="5372" width="3.77734375" style="56" customWidth="1"/>
    <col min="5373" max="5612" width="8.77734375" style="56"/>
    <col min="5613" max="5613" width="24.77734375" style="56" customWidth="1"/>
    <col min="5614" max="5614" width="13.44140625" style="56" customWidth="1"/>
    <col min="5615" max="5615" width="8.77734375" style="56"/>
    <col min="5616" max="5616" width="6.77734375" style="56" customWidth="1"/>
    <col min="5617" max="5617" width="6.44140625" style="56" customWidth="1"/>
    <col min="5618" max="5618" width="8.21875" style="56" customWidth="1"/>
    <col min="5619" max="5619" width="6.77734375" style="56" customWidth="1"/>
    <col min="5620" max="5620" width="4.77734375" style="56" customWidth="1"/>
    <col min="5621" max="5622" width="5" style="56" customWidth="1"/>
    <col min="5623" max="5623" width="8.77734375" style="56"/>
    <col min="5624" max="5624" width="10.44140625" style="56" customWidth="1"/>
    <col min="5625" max="5625" width="3.77734375" style="56" customWidth="1"/>
    <col min="5626" max="5627" width="8.77734375" style="56"/>
    <col min="5628" max="5628" width="3.77734375" style="56" customWidth="1"/>
    <col min="5629" max="5868" width="8.77734375" style="56"/>
    <col min="5869" max="5869" width="24.77734375" style="56" customWidth="1"/>
    <col min="5870" max="5870" width="13.44140625" style="56" customWidth="1"/>
    <col min="5871" max="5871" width="8.77734375" style="56"/>
    <col min="5872" max="5872" width="6.77734375" style="56" customWidth="1"/>
    <col min="5873" max="5873" width="6.44140625" style="56" customWidth="1"/>
    <col min="5874" max="5874" width="8.21875" style="56" customWidth="1"/>
    <col min="5875" max="5875" width="6.77734375" style="56" customWidth="1"/>
    <col min="5876" max="5876" width="4.77734375" style="56" customWidth="1"/>
    <col min="5877" max="5878" width="5" style="56" customWidth="1"/>
    <col min="5879" max="5879" width="8.77734375" style="56"/>
    <col min="5880" max="5880" width="10.44140625" style="56" customWidth="1"/>
    <col min="5881" max="5881" width="3.77734375" style="56" customWidth="1"/>
    <col min="5882" max="5883" width="8.77734375" style="56"/>
    <col min="5884" max="5884" width="3.77734375" style="56" customWidth="1"/>
    <col min="5885" max="6124" width="8.77734375" style="56"/>
    <col min="6125" max="6125" width="24.77734375" style="56" customWidth="1"/>
    <col min="6126" max="6126" width="13.44140625" style="56" customWidth="1"/>
    <col min="6127" max="6127" width="8.77734375" style="56"/>
    <col min="6128" max="6128" width="6.77734375" style="56" customWidth="1"/>
    <col min="6129" max="6129" width="6.44140625" style="56" customWidth="1"/>
    <col min="6130" max="6130" width="8.21875" style="56" customWidth="1"/>
    <col min="6131" max="6131" width="6.77734375" style="56" customWidth="1"/>
    <col min="6132" max="6132" width="4.77734375" style="56" customWidth="1"/>
    <col min="6133" max="6134" width="5" style="56" customWidth="1"/>
    <col min="6135" max="6135" width="8.77734375" style="56"/>
    <col min="6136" max="6136" width="10.44140625" style="56" customWidth="1"/>
    <col min="6137" max="6137" width="3.77734375" style="56" customWidth="1"/>
    <col min="6138" max="6139" width="8.77734375" style="56"/>
    <col min="6140" max="6140" width="3.77734375" style="56" customWidth="1"/>
    <col min="6141" max="6380" width="8.77734375" style="56"/>
    <col min="6381" max="6381" width="24.77734375" style="56" customWidth="1"/>
    <col min="6382" max="6382" width="13.44140625" style="56" customWidth="1"/>
    <col min="6383" max="6383" width="8.77734375" style="56"/>
    <col min="6384" max="6384" width="6.77734375" style="56" customWidth="1"/>
    <col min="6385" max="6385" width="6.44140625" style="56" customWidth="1"/>
    <col min="6386" max="6386" width="8.21875" style="56" customWidth="1"/>
    <col min="6387" max="6387" width="6.77734375" style="56" customWidth="1"/>
    <col min="6388" max="6388" width="4.77734375" style="56" customWidth="1"/>
    <col min="6389" max="6390" width="5" style="56" customWidth="1"/>
    <col min="6391" max="6391" width="8.77734375" style="56"/>
    <col min="6392" max="6392" width="10.44140625" style="56" customWidth="1"/>
    <col min="6393" max="6393" width="3.77734375" style="56" customWidth="1"/>
    <col min="6394" max="6395" width="8.77734375" style="56"/>
    <col min="6396" max="6396" width="3.77734375" style="56" customWidth="1"/>
    <col min="6397" max="6636" width="8.77734375" style="56"/>
    <col min="6637" max="6637" width="24.77734375" style="56" customWidth="1"/>
    <col min="6638" max="6638" width="13.44140625" style="56" customWidth="1"/>
    <col min="6639" max="6639" width="8.77734375" style="56"/>
    <col min="6640" max="6640" width="6.77734375" style="56" customWidth="1"/>
    <col min="6641" max="6641" width="6.44140625" style="56" customWidth="1"/>
    <col min="6642" max="6642" width="8.21875" style="56" customWidth="1"/>
    <col min="6643" max="6643" width="6.77734375" style="56" customWidth="1"/>
    <col min="6644" max="6644" width="4.77734375" style="56" customWidth="1"/>
    <col min="6645" max="6646" width="5" style="56" customWidth="1"/>
    <col min="6647" max="6647" width="8.77734375" style="56"/>
    <col min="6648" max="6648" width="10.44140625" style="56" customWidth="1"/>
    <col min="6649" max="6649" width="3.77734375" style="56" customWidth="1"/>
    <col min="6650" max="6651" width="8.77734375" style="56"/>
    <col min="6652" max="6652" width="3.77734375" style="56" customWidth="1"/>
    <col min="6653" max="6892" width="8.77734375" style="56"/>
    <col min="6893" max="6893" width="24.77734375" style="56" customWidth="1"/>
    <col min="6894" max="6894" width="13.44140625" style="56" customWidth="1"/>
    <col min="6895" max="6895" width="8.77734375" style="56"/>
    <col min="6896" max="6896" width="6.77734375" style="56" customWidth="1"/>
    <col min="6897" max="6897" width="6.44140625" style="56" customWidth="1"/>
    <col min="6898" max="6898" width="8.21875" style="56" customWidth="1"/>
    <col min="6899" max="6899" width="6.77734375" style="56" customWidth="1"/>
    <col min="6900" max="6900" width="4.77734375" style="56" customWidth="1"/>
    <col min="6901" max="6902" width="5" style="56" customWidth="1"/>
    <col min="6903" max="6903" width="8.77734375" style="56"/>
    <col min="6904" max="6904" width="10.44140625" style="56" customWidth="1"/>
    <col min="6905" max="6905" width="3.77734375" style="56" customWidth="1"/>
    <col min="6906" max="6907" width="8.77734375" style="56"/>
    <col min="6908" max="6908" width="3.77734375" style="56" customWidth="1"/>
    <col min="6909" max="7148" width="8.77734375" style="56"/>
    <col min="7149" max="7149" width="24.77734375" style="56" customWidth="1"/>
    <col min="7150" max="7150" width="13.44140625" style="56" customWidth="1"/>
    <col min="7151" max="7151" width="8.77734375" style="56"/>
    <col min="7152" max="7152" width="6.77734375" style="56" customWidth="1"/>
    <col min="7153" max="7153" width="6.44140625" style="56" customWidth="1"/>
    <col min="7154" max="7154" width="8.21875" style="56" customWidth="1"/>
    <col min="7155" max="7155" width="6.77734375" style="56" customWidth="1"/>
    <col min="7156" max="7156" width="4.77734375" style="56" customWidth="1"/>
    <col min="7157" max="7158" width="5" style="56" customWidth="1"/>
    <col min="7159" max="7159" width="8.77734375" style="56"/>
    <col min="7160" max="7160" width="10.44140625" style="56" customWidth="1"/>
    <col min="7161" max="7161" width="3.77734375" style="56" customWidth="1"/>
    <col min="7162" max="7163" width="8.77734375" style="56"/>
    <col min="7164" max="7164" width="3.77734375" style="56" customWidth="1"/>
    <col min="7165" max="7404" width="8.77734375" style="56"/>
    <col min="7405" max="7405" width="24.77734375" style="56" customWidth="1"/>
    <col min="7406" max="7406" width="13.44140625" style="56" customWidth="1"/>
    <col min="7407" max="7407" width="8.77734375" style="56"/>
    <col min="7408" max="7408" width="6.77734375" style="56" customWidth="1"/>
    <col min="7409" max="7409" width="6.44140625" style="56" customWidth="1"/>
    <col min="7410" max="7410" width="8.21875" style="56" customWidth="1"/>
    <col min="7411" max="7411" width="6.77734375" style="56" customWidth="1"/>
    <col min="7412" max="7412" width="4.77734375" style="56" customWidth="1"/>
    <col min="7413" max="7414" width="5" style="56" customWidth="1"/>
    <col min="7415" max="7415" width="8.77734375" style="56"/>
    <col min="7416" max="7416" width="10.44140625" style="56" customWidth="1"/>
    <col min="7417" max="7417" width="3.77734375" style="56" customWidth="1"/>
    <col min="7418" max="7419" width="8.77734375" style="56"/>
    <col min="7420" max="7420" width="3.77734375" style="56" customWidth="1"/>
    <col min="7421" max="7660" width="8.77734375" style="56"/>
    <col min="7661" max="7661" width="24.77734375" style="56" customWidth="1"/>
    <col min="7662" max="7662" width="13.44140625" style="56" customWidth="1"/>
    <col min="7663" max="7663" width="8.77734375" style="56"/>
    <col min="7664" max="7664" width="6.77734375" style="56" customWidth="1"/>
    <col min="7665" max="7665" width="6.44140625" style="56" customWidth="1"/>
    <col min="7666" max="7666" width="8.21875" style="56" customWidth="1"/>
    <col min="7667" max="7667" width="6.77734375" style="56" customWidth="1"/>
    <col min="7668" max="7668" width="4.77734375" style="56" customWidth="1"/>
    <col min="7669" max="7670" width="5" style="56" customWidth="1"/>
    <col min="7671" max="7671" width="8.77734375" style="56"/>
    <col min="7672" max="7672" width="10.44140625" style="56" customWidth="1"/>
    <col min="7673" max="7673" width="3.77734375" style="56" customWidth="1"/>
    <col min="7674" max="7675" width="8.77734375" style="56"/>
    <col min="7676" max="7676" width="3.77734375" style="56" customWidth="1"/>
    <col min="7677" max="7916" width="8.77734375" style="56"/>
    <col min="7917" max="7917" width="24.77734375" style="56" customWidth="1"/>
    <col min="7918" max="7918" width="13.44140625" style="56" customWidth="1"/>
    <col min="7919" max="7919" width="8.77734375" style="56"/>
    <col min="7920" max="7920" width="6.77734375" style="56" customWidth="1"/>
    <col min="7921" max="7921" width="6.44140625" style="56" customWidth="1"/>
    <col min="7922" max="7922" width="8.21875" style="56" customWidth="1"/>
    <col min="7923" max="7923" width="6.77734375" style="56" customWidth="1"/>
    <col min="7924" max="7924" width="4.77734375" style="56" customWidth="1"/>
    <col min="7925" max="7926" width="5" style="56" customWidth="1"/>
    <col min="7927" max="7927" width="8.77734375" style="56"/>
    <col min="7928" max="7928" width="10.44140625" style="56" customWidth="1"/>
    <col min="7929" max="7929" width="3.77734375" style="56" customWidth="1"/>
    <col min="7930" max="7931" width="8.77734375" style="56"/>
    <col min="7932" max="7932" width="3.77734375" style="56" customWidth="1"/>
    <col min="7933" max="8172" width="8.77734375" style="56"/>
    <col min="8173" max="8173" width="24.77734375" style="56" customWidth="1"/>
    <col min="8174" max="8174" width="13.44140625" style="56" customWidth="1"/>
    <col min="8175" max="8175" width="8.77734375" style="56"/>
    <col min="8176" max="8176" width="6.77734375" style="56" customWidth="1"/>
    <col min="8177" max="8177" width="6.44140625" style="56" customWidth="1"/>
    <col min="8178" max="8178" width="8.21875" style="56" customWidth="1"/>
    <col min="8179" max="8179" width="6.77734375" style="56" customWidth="1"/>
    <col min="8180" max="8180" width="4.77734375" style="56" customWidth="1"/>
    <col min="8181" max="8182" width="5" style="56" customWidth="1"/>
    <col min="8183" max="8183" width="8.77734375" style="56"/>
    <col min="8184" max="8184" width="10.44140625" style="56" customWidth="1"/>
    <col min="8185" max="8185" width="3.77734375" style="56" customWidth="1"/>
    <col min="8186" max="8187" width="8.77734375" style="56"/>
    <col min="8188" max="8188" width="3.77734375" style="56" customWidth="1"/>
    <col min="8189" max="8428" width="8.77734375" style="56"/>
    <col min="8429" max="8429" width="24.77734375" style="56" customWidth="1"/>
    <col min="8430" max="8430" width="13.44140625" style="56" customWidth="1"/>
    <col min="8431" max="8431" width="8.77734375" style="56"/>
    <col min="8432" max="8432" width="6.77734375" style="56" customWidth="1"/>
    <col min="8433" max="8433" width="6.44140625" style="56" customWidth="1"/>
    <col min="8434" max="8434" width="8.21875" style="56" customWidth="1"/>
    <col min="8435" max="8435" width="6.77734375" style="56" customWidth="1"/>
    <col min="8436" max="8436" width="4.77734375" style="56" customWidth="1"/>
    <col min="8437" max="8438" width="5" style="56" customWidth="1"/>
    <col min="8439" max="8439" width="8.77734375" style="56"/>
    <col min="8440" max="8440" width="10.44140625" style="56" customWidth="1"/>
    <col min="8441" max="8441" width="3.77734375" style="56" customWidth="1"/>
    <col min="8442" max="8443" width="8.77734375" style="56"/>
    <col min="8444" max="8444" width="3.77734375" style="56" customWidth="1"/>
    <col min="8445" max="8684" width="8.77734375" style="56"/>
    <col min="8685" max="8685" width="24.77734375" style="56" customWidth="1"/>
    <col min="8686" max="8686" width="13.44140625" style="56" customWidth="1"/>
    <col min="8687" max="8687" width="8.77734375" style="56"/>
    <col min="8688" max="8688" width="6.77734375" style="56" customWidth="1"/>
    <col min="8689" max="8689" width="6.44140625" style="56" customWidth="1"/>
    <col min="8690" max="8690" width="8.21875" style="56" customWidth="1"/>
    <col min="8691" max="8691" width="6.77734375" style="56" customWidth="1"/>
    <col min="8692" max="8692" width="4.77734375" style="56" customWidth="1"/>
    <col min="8693" max="8694" width="5" style="56" customWidth="1"/>
    <col min="8695" max="8695" width="8.77734375" style="56"/>
    <col min="8696" max="8696" width="10.44140625" style="56" customWidth="1"/>
    <col min="8697" max="8697" width="3.77734375" style="56" customWidth="1"/>
    <col min="8698" max="8699" width="8.77734375" style="56"/>
    <col min="8700" max="8700" width="3.77734375" style="56" customWidth="1"/>
    <col min="8701" max="8940" width="8.77734375" style="56"/>
    <col min="8941" max="8941" width="24.77734375" style="56" customWidth="1"/>
    <col min="8942" max="8942" width="13.44140625" style="56" customWidth="1"/>
    <col min="8943" max="8943" width="8.77734375" style="56"/>
    <col min="8944" max="8944" width="6.77734375" style="56" customWidth="1"/>
    <col min="8945" max="8945" width="6.44140625" style="56" customWidth="1"/>
    <col min="8946" max="8946" width="8.21875" style="56" customWidth="1"/>
    <col min="8947" max="8947" width="6.77734375" style="56" customWidth="1"/>
    <col min="8948" max="8948" width="4.77734375" style="56" customWidth="1"/>
    <col min="8949" max="8950" width="5" style="56" customWidth="1"/>
    <col min="8951" max="8951" width="8.77734375" style="56"/>
    <col min="8952" max="8952" width="10.44140625" style="56" customWidth="1"/>
    <col min="8953" max="8953" width="3.77734375" style="56" customWidth="1"/>
    <col min="8954" max="8955" width="8.77734375" style="56"/>
    <col min="8956" max="8956" width="3.77734375" style="56" customWidth="1"/>
    <col min="8957" max="9196" width="8.77734375" style="56"/>
    <col min="9197" max="9197" width="24.77734375" style="56" customWidth="1"/>
    <col min="9198" max="9198" width="13.44140625" style="56" customWidth="1"/>
    <col min="9199" max="9199" width="8.77734375" style="56"/>
    <col min="9200" max="9200" width="6.77734375" style="56" customWidth="1"/>
    <col min="9201" max="9201" width="6.44140625" style="56" customWidth="1"/>
    <col min="9202" max="9202" width="8.21875" style="56" customWidth="1"/>
    <col min="9203" max="9203" width="6.77734375" style="56" customWidth="1"/>
    <col min="9204" max="9204" width="4.77734375" style="56" customWidth="1"/>
    <col min="9205" max="9206" width="5" style="56" customWidth="1"/>
    <col min="9207" max="9207" width="8.77734375" style="56"/>
    <col min="9208" max="9208" width="10.44140625" style="56" customWidth="1"/>
    <col min="9209" max="9209" width="3.77734375" style="56" customWidth="1"/>
    <col min="9210" max="9211" width="8.77734375" style="56"/>
    <col min="9212" max="9212" width="3.77734375" style="56" customWidth="1"/>
    <col min="9213" max="9452" width="8.77734375" style="56"/>
    <col min="9453" max="9453" width="24.77734375" style="56" customWidth="1"/>
    <col min="9454" max="9454" width="13.44140625" style="56" customWidth="1"/>
    <col min="9455" max="9455" width="8.77734375" style="56"/>
    <col min="9456" max="9456" width="6.77734375" style="56" customWidth="1"/>
    <col min="9457" max="9457" width="6.44140625" style="56" customWidth="1"/>
    <col min="9458" max="9458" width="8.21875" style="56" customWidth="1"/>
    <col min="9459" max="9459" width="6.77734375" style="56" customWidth="1"/>
    <col min="9460" max="9460" width="4.77734375" style="56" customWidth="1"/>
    <col min="9461" max="9462" width="5" style="56" customWidth="1"/>
    <col min="9463" max="9463" width="8.77734375" style="56"/>
    <col min="9464" max="9464" width="10.44140625" style="56" customWidth="1"/>
    <col min="9465" max="9465" width="3.77734375" style="56" customWidth="1"/>
    <col min="9466" max="9467" width="8.77734375" style="56"/>
    <col min="9468" max="9468" width="3.77734375" style="56" customWidth="1"/>
    <col min="9469" max="9708" width="8.77734375" style="56"/>
    <col min="9709" max="9709" width="24.77734375" style="56" customWidth="1"/>
    <col min="9710" max="9710" width="13.44140625" style="56" customWidth="1"/>
    <col min="9711" max="9711" width="8.77734375" style="56"/>
    <col min="9712" max="9712" width="6.77734375" style="56" customWidth="1"/>
    <col min="9713" max="9713" width="6.44140625" style="56" customWidth="1"/>
    <col min="9714" max="9714" width="8.21875" style="56" customWidth="1"/>
    <col min="9715" max="9715" width="6.77734375" style="56" customWidth="1"/>
    <col min="9716" max="9716" width="4.77734375" style="56" customWidth="1"/>
    <col min="9717" max="9718" width="5" style="56" customWidth="1"/>
    <col min="9719" max="9719" width="8.77734375" style="56"/>
    <col min="9720" max="9720" width="10.44140625" style="56" customWidth="1"/>
    <col min="9721" max="9721" width="3.77734375" style="56" customWidth="1"/>
    <col min="9722" max="9723" width="8.77734375" style="56"/>
    <col min="9724" max="9724" width="3.77734375" style="56" customWidth="1"/>
    <col min="9725" max="9964" width="8.77734375" style="56"/>
    <col min="9965" max="9965" width="24.77734375" style="56" customWidth="1"/>
    <col min="9966" max="9966" width="13.44140625" style="56" customWidth="1"/>
    <col min="9967" max="9967" width="8.77734375" style="56"/>
    <col min="9968" max="9968" width="6.77734375" style="56" customWidth="1"/>
    <col min="9969" max="9969" width="6.44140625" style="56" customWidth="1"/>
    <col min="9970" max="9970" width="8.21875" style="56" customWidth="1"/>
    <col min="9971" max="9971" width="6.77734375" style="56" customWidth="1"/>
    <col min="9972" max="9972" width="4.77734375" style="56" customWidth="1"/>
    <col min="9973" max="9974" width="5" style="56" customWidth="1"/>
    <col min="9975" max="9975" width="8.77734375" style="56"/>
    <col min="9976" max="9976" width="10.44140625" style="56" customWidth="1"/>
    <col min="9977" max="9977" width="3.77734375" style="56" customWidth="1"/>
    <col min="9978" max="9979" width="8.77734375" style="56"/>
    <col min="9980" max="9980" width="3.77734375" style="56" customWidth="1"/>
    <col min="9981" max="10220" width="8.77734375" style="56"/>
    <col min="10221" max="10221" width="24.77734375" style="56" customWidth="1"/>
    <col min="10222" max="10222" width="13.44140625" style="56" customWidth="1"/>
    <col min="10223" max="10223" width="8.77734375" style="56"/>
    <col min="10224" max="10224" width="6.77734375" style="56" customWidth="1"/>
    <col min="10225" max="10225" width="6.44140625" style="56" customWidth="1"/>
    <col min="10226" max="10226" width="8.21875" style="56" customWidth="1"/>
    <col min="10227" max="10227" width="6.77734375" style="56" customWidth="1"/>
    <col min="10228" max="10228" width="4.77734375" style="56" customWidth="1"/>
    <col min="10229" max="10230" width="5" style="56" customWidth="1"/>
    <col min="10231" max="10231" width="8.77734375" style="56"/>
    <col min="10232" max="10232" width="10.44140625" style="56" customWidth="1"/>
    <col min="10233" max="10233" width="3.77734375" style="56" customWidth="1"/>
    <col min="10234" max="10235" width="8.77734375" style="56"/>
    <col min="10236" max="10236" width="3.77734375" style="56" customWidth="1"/>
    <col min="10237" max="10476" width="8.77734375" style="56"/>
    <col min="10477" max="10477" width="24.77734375" style="56" customWidth="1"/>
    <col min="10478" max="10478" width="13.44140625" style="56" customWidth="1"/>
    <col min="10479" max="10479" width="8.77734375" style="56"/>
    <col min="10480" max="10480" width="6.77734375" style="56" customWidth="1"/>
    <col min="10481" max="10481" width="6.44140625" style="56" customWidth="1"/>
    <col min="10482" max="10482" width="8.21875" style="56" customWidth="1"/>
    <col min="10483" max="10483" width="6.77734375" style="56" customWidth="1"/>
    <col min="10484" max="10484" width="4.77734375" style="56" customWidth="1"/>
    <col min="10485" max="10486" width="5" style="56" customWidth="1"/>
    <col min="10487" max="10487" width="8.77734375" style="56"/>
    <col min="10488" max="10488" width="10.44140625" style="56" customWidth="1"/>
    <col min="10489" max="10489" width="3.77734375" style="56" customWidth="1"/>
    <col min="10490" max="10491" width="8.77734375" style="56"/>
    <col min="10492" max="10492" width="3.77734375" style="56" customWidth="1"/>
    <col min="10493" max="10732" width="8.77734375" style="56"/>
    <col min="10733" max="10733" width="24.77734375" style="56" customWidth="1"/>
    <col min="10734" max="10734" width="13.44140625" style="56" customWidth="1"/>
    <col min="10735" max="10735" width="8.77734375" style="56"/>
    <col min="10736" max="10736" width="6.77734375" style="56" customWidth="1"/>
    <col min="10737" max="10737" width="6.44140625" style="56" customWidth="1"/>
    <col min="10738" max="10738" width="8.21875" style="56" customWidth="1"/>
    <col min="10739" max="10739" width="6.77734375" style="56" customWidth="1"/>
    <col min="10740" max="10740" width="4.77734375" style="56" customWidth="1"/>
    <col min="10741" max="10742" width="5" style="56" customWidth="1"/>
    <col min="10743" max="10743" width="8.77734375" style="56"/>
    <col min="10744" max="10744" width="10.44140625" style="56" customWidth="1"/>
    <col min="10745" max="10745" width="3.77734375" style="56" customWidth="1"/>
    <col min="10746" max="10747" width="8.77734375" style="56"/>
    <col min="10748" max="10748" width="3.77734375" style="56" customWidth="1"/>
    <col min="10749" max="10988" width="8.77734375" style="56"/>
    <col min="10989" max="10989" width="24.77734375" style="56" customWidth="1"/>
    <col min="10990" max="10990" width="13.44140625" style="56" customWidth="1"/>
    <col min="10991" max="10991" width="8.77734375" style="56"/>
    <col min="10992" max="10992" width="6.77734375" style="56" customWidth="1"/>
    <col min="10993" max="10993" width="6.44140625" style="56" customWidth="1"/>
    <col min="10994" max="10994" width="8.21875" style="56" customWidth="1"/>
    <col min="10995" max="10995" width="6.77734375" style="56" customWidth="1"/>
    <col min="10996" max="10996" width="4.77734375" style="56" customWidth="1"/>
    <col min="10997" max="10998" width="5" style="56" customWidth="1"/>
    <col min="10999" max="10999" width="8.77734375" style="56"/>
    <col min="11000" max="11000" width="10.44140625" style="56" customWidth="1"/>
    <col min="11001" max="11001" width="3.77734375" style="56" customWidth="1"/>
    <col min="11002" max="11003" width="8.77734375" style="56"/>
    <col min="11004" max="11004" width="3.77734375" style="56" customWidth="1"/>
    <col min="11005" max="11244" width="8.77734375" style="56"/>
    <col min="11245" max="11245" width="24.77734375" style="56" customWidth="1"/>
    <col min="11246" max="11246" width="13.44140625" style="56" customWidth="1"/>
    <col min="11247" max="11247" width="8.77734375" style="56"/>
    <col min="11248" max="11248" width="6.77734375" style="56" customWidth="1"/>
    <col min="11249" max="11249" width="6.44140625" style="56" customWidth="1"/>
    <col min="11250" max="11250" width="8.21875" style="56" customWidth="1"/>
    <col min="11251" max="11251" width="6.77734375" style="56" customWidth="1"/>
    <col min="11252" max="11252" width="4.77734375" style="56" customWidth="1"/>
    <col min="11253" max="11254" width="5" style="56" customWidth="1"/>
    <col min="11255" max="11255" width="8.77734375" style="56"/>
    <col min="11256" max="11256" width="10.44140625" style="56" customWidth="1"/>
    <col min="11257" max="11257" width="3.77734375" style="56" customWidth="1"/>
    <col min="11258" max="11259" width="8.77734375" style="56"/>
    <col min="11260" max="11260" width="3.77734375" style="56" customWidth="1"/>
    <col min="11261" max="11500" width="8.77734375" style="56"/>
    <col min="11501" max="11501" width="24.77734375" style="56" customWidth="1"/>
    <col min="11502" max="11502" width="13.44140625" style="56" customWidth="1"/>
    <col min="11503" max="11503" width="8.77734375" style="56"/>
    <col min="11504" max="11504" width="6.77734375" style="56" customWidth="1"/>
    <col min="11505" max="11505" width="6.44140625" style="56" customWidth="1"/>
    <col min="11506" max="11506" width="8.21875" style="56" customWidth="1"/>
    <col min="11507" max="11507" width="6.77734375" style="56" customWidth="1"/>
    <col min="11508" max="11508" width="4.77734375" style="56" customWidth="1"/>
    <col min="11509" max="11510" width="5" style="56" customWidth="1"/>
    <col min="11511" max="11511" width="8.77734375" style="56"/>
    <col min="11512" max="11512" width="10.44140625" style="56" customWidth="1"/>
    <col min="11513" max="11513" width="3.77734375" style="56" customWidth="1"/>
    <col min="11514" max="11515" width="8.77734375" style="56"/>
    <col min="11516" max="11516" width="3.77734375" style="56" customWidth="1"/>
    <col min="11517" max="11756" width="8.77734375" style="56"/>
    <col min="11757" max="11757" width="24.77734375" style="56" customWidth="1"/>
    <col min="11758" max="11758" width="13.44140625" style="56" customWidth="1"/>
    <col min="11759" max="11759" width="8.77734375" style="56"/>
    <col min="11760" max="11760" width="6.77734375" style="56" customWidth="1"/>
    <col min="11761" max="11761" width="6.44140625" style="56" customWidth="1"/>
    <col min="11762" max="11762" width="8.21875" style="56" customWidth="1"/>
    <col min="11763" max="11763" width="6.77734375" style="56" customWidth="1"/>
    <col min="11764" max="11764" width="4.77734375" style="56" customWidth="1"/>
    <col min="11765" max="11766" width="5" style="56" customWidth="1"/>
    <col min="11767" max="11767" width="8.77734375" style="56"/>
    <col min="11768" max="11768" width="10.44140625" style="56" customWidth="1"/>
    <col min="11769" max="11769" width="3.77734375" style="56" customWidth="1"/>
    <col min="11770" max="11771" width="8.77734375" style="56"/>
    <col min="11772" max="11772" width="3.77734375" style="56" customWidth="1"/>
    <col min="11773" max="12012" width="8.77734375" style="56"/>
    <col min="12013" max="12013" width="24.77734375" style="56" customWidth="1"/>
    <col min="12014" max="12014" width="13.44140625" style="56" customWidth="1"/>
    <col min="12015" max="12015" width="8.77734375" style="56"/>
    <col min="12016" max="12016" width="6.77734375" style="56" customWidth="1"/>
    <col min="12017" max="12017" width="6.44140625" style="56" customWidth="1"/>
    <col min="12018" max="12018" width="8.21875" style="56" customWidth="1"/>
    <col min="12019" max="12019" width="6.77734375" style="56" customWidth="1"/>
    <col min="12020" max="12020" width="4.77734375" style="56" customWidth="1"/>
    <col min="12021" max="12022" width="5" style="56" customWidth="1"/>
    <col min="12023" max="12023" width="8.77734375" style="56"/>
    <col min="12024" max="12024" width="10.44140625" style="56" customWidth="1"/>
    <col min="12025" max="12025" width="3.77734375" style="56" customWidth="1"/>
    <col min="12026" max="12027" width="8.77734375" style="56"/>
    <col min="12028" max="12028" width="3.77734375" style="56" customWidth="1"/>
    <col min="12029" max="12268" width="8.77734375" style="56"/>
    <col min="12269" max="12269" width="24.77734375" style="56" customWidth="1"/>
    <col min="12270" max="12270" width="13.44140625" style="56" customWidth="1"/>
    <col min="12271" max="12271" width="8.77734375" style="56"/>
    <col min="12272" max="12272" width="6.77734375" style="56" customWidth="1"/>
    <col min="12273" max="12273" width="6.44140625" style="56" customWidth="1"/>
    <col min="12274" max="12274" width="8.21875" style="56" customWidth="1"/>
    <col min="12275" max="12275" width="6.77734375" style="56" customWidth="1"/>
    <col min="12276" max="12276" width="4.77734375" style="56" customWidth="1"/>
    <col min="12277" max="12278" width="5" style="56" customWidth="1"/>
    <col min="12279" max="12279" width="8.77734375" style="56"/>
    <col min="12280" max="12280" width="10.44140625" style="56" customWidth="1"/>
    <col min="12281" max="12281" width="3.77734375" style="56" customWidth="1"/>
    <col min="12282" max="12283" width="8.77734375" style="56"/>
    <col min="12284" max="12284" width="3.77734375" style="56" customWidth="1"/>
    <col min="12285" max="12524" width="8.77734375" style="56"/>
    <col min="12525" max="12525" width="24.77734375" style="56" customWidth="1"/>
    <col min="12526" max="12526" width="13.44140625" style="56" customWidth="1"/>
    <col min="12527" max="12527" width="8.77734375" style="56"/>
    <col min="12528" max="12528" width="6.77734375" style="56" customWidth="1"/>
    <col min="12529" max="12529" width="6.44140625" style="56" customWidth="1"/>
    <col min="12530" max="12530" width="8.21875" style="56" customWidth="1"/>
    <col min="12531" max="12531" width="6.77734375" style="56" customWidth="1"/>
    <col min="12532" max="12532" width="4.77734375" style="56" customWidth="1"/>
    <col min="12533" max="12534" width="5" style="56" customWidth="1"/>
    <col min="12535" max="12535" width="8.77734375" style="56"/>
    <col min="12536" max="12536" width="10.44140625" style="56" customWidth="1"/>
    <col min="12537" max="12537" width="3.77734375" style="56" customWidth="1"/>
    <col min="12538" max="12539" width="8.77734375" style="56"/>
    <col min="12540" max="12540" width="3.77734375" style="56" customWidth="1"/>
    <col min="12541" max="12780" width="8.77734375" style="56"/>
    <col min="12781" max="12781" width="24.77734375" style="56" customWidth="1"/>
    <col min="12782" max="12782" width="13.44140625" style="56" customWidth="1"/>
    <col min="12783" max="12783" width="8.77734375" style="56"/>
    <col min="12784" max="12784" width="6.77734375" style="56" customWidth="1"/>
    <col min="12785" max="12785" width="6.44140625" style="56" customWidth="1"/>
    <col min="12786" max="12786" width="8.21875" style="56" customWidth="1"/>
    <col min="12787" max="12787" width="6.77734375" style="56" customWidth="1"/>
    <col min="12788" max="12788" width="4.77734375" style="56" customWidth="1"/>
    <col min="12789" max="12790" width="5" style="56" customWidth="1"/>
    <col min="12791" max="12791" width="8.77734375" style="56"/>
    <col min="12792" max="12792" width="10.44140625" style="56" customWidth="1"/>
    <col min="12793" max="12793" width="3.77734375" style="56" customWidth="1"/>
    <col min="12794" max="12795" width="8.77734375" style="56"/>
    <col min="12796" max="12796" width="3.77734375" style="56" customWidth="1"/>
    <col min="12797" max="13036" width="8.77734375" style="56"/>
    <col min="13037" max="13037" width="24.77734375" style="56" customWidth="1"/>
    <col min="13038" max="13038" width="13.44140625" style="56" customWidth="1"/>
    <col min="13039" max="13039" width="8.77734375" style="56"/>
    <col min="13040" max="13040" width="6.77734375" style="56" customWidth="1"/>
    <col min="13041" max="13041" width="6.44140625" style="56" customWidth="1"/>
    <col min="13042" max="13042" width="8.21875" style="56" customWidth="1"/>
    <col min="13043" max="13043" width="6.77734375" style="56" customWidth="1"/>
    <col min="13044" max="13044" width="4.77734375" style="56" customWidth="1"/>
    <col min="13045" max="13046" width="5" style="56" customWidth="1"/>
    <col min="13047" max="13047" width="8.77734375" style="56"/>
    <col min="13048" max="13048" width="10.44140625" style="56" customWidth="1"/>
    <col min="13049" max="13049" width="3.77734375" style="56" customWidth="1"/>
    <col min="13050" max="13051" width="8.77734375" style="56"/>
    <col min="13052" max="13052" width="3.77734375" style="56" customWidth="1"/>
    <col min="13053" max="13292" width="8.77734375" style="56"/>
    <col min="13293" max="13293" width="24.77734375" style="56" customWidth="1"/>
    <col min="13294" max="13294" width="13.44140625" style="56" customWidth="1"/>
    <col min="13295" max="13295" width="8.77734375" style="56"/>
    <col min="13296" max="13296" width="6.77734375" style="56" customWidth="1"/>
    <col min="13297" max="13297" width="6.44140625" style="56" customWidth="1"/>
    <col min="13298" max="13298" width="8.21875" style="56" customWidth="1"/>
    <col min="13299" max="13299" width="6.77734375" style="56" customWidth="1"/>
    <col min="13300" max="13300" width="4.77734375" style="56" customWidth="1"/>
    <col min="13301" max="13302" width="5" style="56" customWidth="1"/>
    <col min="13303" max="13303" width="8.77734375" style="56"/>
    <col min="13304" max="13304" width="10.44140625" style="56" customWidth="1"/>
    <col min="13305" max="13305" width="3.77734375" style="56" customWidth="1"/>
    <col min="13306" max="13307" width="8.77734375" style="56"/>
    <col min="13308" max="13308" width="3.77734375" style="56" customWidth="1"/>
    <col min="13309" max="13548" width="8.77734375" style="56"/>
    <col min="13549" max="13549" width="24.77734375" style="56" customWidth="1"/>
    <col min="13550" max="13550" width="13.44140625" style="56" customWidth="1"/>
    <col min="13551" max="13551" width="8.77734375" style="56"/>
    <col min="13552" max="13552" width="6.77734375" style="56" customWidth="1"/>
    <col min="13553" max="13553" width="6.44140625" style="56" customWidth="1"/>
    <col min="13554" max="13554" width="8.21875" style="56" customWidth="1"/>
    <col min="13555" max="13555" width="6.77734375" style="56" customWidth="1"/>
    <col min="13556" max="13556" width="4.77734375" style="56" customWidth="1"/>
    <col min="13557" max="13558" width="5" style="56" customWidth="1"/>
    <col min="13559" max="13559" width="8.77734375" style="56"/>
    <col min="13560" max="13560" width="10.44140625" style="56" customWidth="1"/>
    <col min="13561" max="13561" width="3.77734375" style="56" customWidth="1"/>
    <col min="13562" max="13563" width="8.77734375" style="56"/>
    <col min="13564" max="13564" width="3.77734375" style="56" customWidth="1"/>
    <col min="13565" max="13804" width="8.77734375" style="56"/>
    <col min="13805" max="13805" width="24.77734375" style="56" customWidth="1"/>
    <col min="13806" max="13806" width="13.44140625" style="56" customWidth="1"/>
    <col min="13807" max="13807" width="8.77734375" style="56"/>
    <col min="13808" max="13808" width="6.77734375" style="56" customWidth="1"/>
    <col min="13809" max="13809" width="6.44140625" style="56" customWidth="1"/>
    <col min="13810" max="13810" width="8.21875" style="56" customWidth="1"/>
    <col min="13811" max="13811" width="6.77734375" style="56" customWidth="1"/>
    <col min="13812" max="13812" width="4.77734375" style="56" customWidth="1"/>
    <col min="13813" max="13814" width="5" style="56" customWidth="1"/>
    <col min="13815" max="13815" width="8.77734375" style="56"/>
    <col min="13816" max="13816" width="10.44140625" style="56" customWidth="1"/>
    <col min="13817" max="13817" width="3.77734375" style="56" customWidth="1"/>
    <col min="13818" max="13819" width="8.77734375" style="56"/>
    <col min="13820" max="13820" width="3.77734375" style="56" customWidth="1"/>
    <col min="13821" max="14060" width="8.77734375" style="56"/>
    <col min="14061" max="14061" width="24.77734375" style="56" customWidth="1"/>
    <col min="14062" max="14062" width="13.44140625" style="56" customWidth="1"/>
    <col min="14063" max="14063" width="8.77734375" style="56"/>
    <col min="14064" max="14064" width="6.77734375" style="56" customWidth="1"/>
    <col min="14065" max="14065" width="6.44140625" style="56" customWidth="1"/>
    <col min="14066" max="14066" width="8.21875" style="56" customWidth="1"/>
    <col min="14067" max="14067" width="6.77734375" style="56" customWidth="1"/>
    <col min="14068" max="14068" width="4.77734375" style="56" customWidth="1"/>
    <col min="14069" max="14070" width="5" style="56" customWidth="1"/>
    <col min="14071" max="14071" width="8.77734375" style="56"/>
    <col min="14072" max="14072" width="10.44140625" style="56" customWidth="1"/>
    <col min="14073" max="14073" width="3.77734375" style="56" customWidth="1"/>
    <col min="14074" max="14075" width="8.77734375" style="56"/>
    <col min="14076" max="14076" width="3.77734375" style="56" customWidth="1"/>
    <col min="14077" max="14316" width="8.77734375" style="56"/>
    <col min="14317" max="14317" width="24.77734375" style="56" customWidth="1"/>
    <col min="14318" max="14318" width="13.44140625" style="56" customWidth="1"/>
    <col min="14319" max="14319" width="8.77734375" style="56"/>
    <col min="14320" max="14320" width="6.77734375" style="56" customWidth="1"/>
    <col min="14321" max="14321" width="6.44140625" style="56" customWidth="1"/>
    <col min="14322" max="14322" width="8.21875" style="56" customWidth="1"/>
    <col min="14323" max="14323" width="6.77734375" style="56" customWidth="1"/>
    <col min="14324" max="14324" width="4.77734375" style="56" customWidth="1"/>
    <col min="14325" max="14326" width="5" style="56" customWidth="1"/>
    <col min="14327" max="14327" width="8.77734375" style="56"/>
    <col min="14328" max="14328" width="10.44140625" style="56" customWidth="1"/>
    <col min="14329" max="14329" width="3.77734375" style="56" customWidth="1"/>
    <col min="14330" max="14331" width="8.77734375" style="56"/>
    <col min="14332" max="14332" width="3.77734375" style="56" customWidth="1"/>
    <col min="14333" max="14572" width="8.77734375" style="56"/>
    <col min="14573" max="14573" width="24.77734375" style="56" customWidth="1"/>
    <col min="14574" max="14574" width="13.44140625" style="56" customWidth="1"/>
    <col min="14575" max="14575" width="8.77734375" style="56"/>
    <col min="14576" max="14576" width="6.77734375" style="56" customWidth="1"/>
    <col min="14577" max="14577" width="6.44140625" style="56" customWidth="1"/>
    <col min="14578" max="14578" width="8.21875" style="56" customWidth="1"/>
    <col min="14579" max="14579" width="6.77734375" style="56" customWidth="1"/>
    <col min="14580" max="14580" width="4.77734375" style="56" customWidth="1"/>
    <col min="14581" max="14582" width="5" style="56" customWidth="1"/>
    <col min="14583" max="14583" width="8.77734375" style="56"/>
    <col min="14584" max="14584" width="10.44140625" style="56" customWidth="1"/>
    <col min="14585" max="14585" width="3.77734375" style="56" customWidth="1"/>
    <col min="14586" max="14587" width="8.77734375" style="56"/>
    <col min="14588" max="14588" width="3.77734375" style="56" customWidth="1"/>
    <col min="14589" max="14828" width="8.77734375" style="56"/>
    <col min="14829" max="14829" width="24.77734375" style="56" customWidth="1"/>
    <col min="14830" max="14830" width="13.44140625" style="56" customWidth="1"/>
    <col min="14831" max="14831" width="8.77734375" style="56"/>
    <col min="14832" max="14832" width="6.77734375" style="56" customWidth="1"/>
    <col min="14833" max="14833" width="6.44140625" style="56" customWidth="1"/>
    <col min="14834" max="14834" width="8.21875" style="56" customWidth="1"/>
    <col min="14835" max="14835" width="6.77734375" style="56" customWidth="1"/>
    <col min="14836" max="14836" width="4.77734375" style="56" customWidth="1"/>
    <col min="14837" max="14838" width="5" style="56" customWidth="1"/>
    <col min="14839" max="14839" width="8.77734375" style="56"/>
    <col min="14840" max="14840" width="10.44140625" style="56" customWidth="1"/>
    <col min="14841" max="14841" width="3.77734375" style="56" customWidth="1"/>
    <col min="14842" max="14843" width="8.77734375" style="56"/>
    <col min="14844" max="14844" width="3.77734375" style="56" customWidth="1"/>
    <col min="14845" max="15084" width="8.77734375" style="56"/>
    <col min="15085" max="15085" width="24.77734375" style="56" customWidth="1"/>
    <col min="15086" max="15086" width="13.44140625" style="56" customWidth="1"/>
    <col min="15087" max="15087" width="8.77734375" style="56"/>
    <col min="15088" max="15088" width="6.77734375" style="56" customWidth="1"/>
    <col min="15089" max="15089" width="6.44140625" style="56" customWidth="1"/>
    <col min="15090" max="15090" width="8.21875" style="56" customWidth="1"/>
    <col min="15091" max="15091" width="6.77734375" style="56" customWidth="1"/>
    <col min="15092" max="15092" width="4.77734375" style="56" customWidth="1"/>
    <col min="15093" max="15094" width="5" style="56" customWidth="1"/>
    <col min="15095" max="15095" width="8.77734375" style="56"/>
    <col min="15096" max="15096" width="10.44140625" style="56" customWidth="1"/>
    <col min="15097" max="15097" width="3.77734375" style="56" customWidth="1"/>
    <col min="15098" max="15099" width="8.77734375" style="56"/>
    <col min="15100" max="15100" width="3.77734375" style="56" customWidth="1"/>
    <col min="15101" max="15340" width="8.77734375" style="56"/>
    <col min="15341" max="15341" width="24.77734375" style="56" customWidth="1"/>
    <col min="15342" max="15342" width="13.44140625" style="56" customWidth="1"/>
    <col min="15343" max="15343" width="8.77734375" style="56"/>
    <col min="15344" max="15344" width="6.77734375" style="56" customWidth="1"/>
    <col min="15345" max="15345" width="6.44140625" style="56" customWidth="1"/>
    <col min="15346" max="15346" width="8.21875" style="56" customWidth="1"/>
    <col min="15347" max="15347" width="6.77734375" style="56" customWidth="1"/>
    <col min="15348" max="15348" width="4.77734375" style="56" customWidth="1"/>
    <col min="15349" max="15350" width="5" style="56" customWidth="1"/>
    <col min="15351" max="15351" width="8.77734375" style="56"/>
    <col min="15352" max="15352" width="10.44140625" style="56" customWidth="1"/>
    <col min="15353" max="15353" width="3.77734375" style="56" customWidth="1"/>
    <col min="15354" max="15355" width="8.77734375" style="56"/>
    <col min="15356" max="15356" width="3.77734375" style="56" customWidth="1"/>
    <col min="15357" max="15596" width="8.77734375" style="56"/>
    <col min="15597" max="15597" width="24.77734375" style="56" customWidth="1"/>
    <col min="15598" max="15598" width="13.44140625" style="56" customWidth="1"/>
    <col min="15599" max="15599" width="8.77734375" style="56"/>
    <col min="15600" max="15600" width="6.77734375" style="56" customWidth="1"/>
    <col min="15601" max="15601" width="6.44140625" style="56" customWidth="1"/>
    <col min="15602" max="15602" width="8.21875" style="56" customWidth="1"/>
    <col min="15603" max="15603" width="6.77734375" style="56" customWidth="1"/>
    <col min="15604" max="15604" width="4.77734375" style="56" customWidth="1"/>
    <col min="15605" max="15606" width="5" style="56" customWidth="1"/>
    <col min="15607" max="15607" width="8.77734375" style="56"/>
    <col min="15608" max="15608" width="10.44140625" style="56" customWidth="1"/>
    <col min="15609" max="15609" width="3.77734375" style="56" customWidth="1"/>
    <col min="15610" max="15611" width="8.77734375" style="56"/>
    <col min="15612" max="15612" width="3.77734375" style="56" customWidth="1"/>
    <col min="15613" max="15852" width="8.77734375" style="56"/>
    <col min="15853" max="15853" width="24.77734375" style="56" customWidth="1"/>
    <col min="15854" max="15854" width="13.44140625" style="56" customWidth="1"/>
    <col min="15855" max="15855" width="8.77734375" style="56"/>
    <col min="15856" max="15856" width="6.77734375" style="56" customWidth="1"/>
    <col min="15857" max="15857" width="6.44140625" style="56" customWidth="1"/>
    <col min="15858" max="15858" width="8.21875" style="56" customWidth="1"/>
    <col min="15859" max="15859" width="6.77734375" style="56" customWidth="1"/>
    <col min="15860" max="15860" width="4.77734375" style="56" customWidth="1"/>
    <col min="15861" max="15862" width="5" style="56" customWidth="1"/>
    <col min="15863" max="15863" width="8.77734375" style="56"/>
    <col min="15864" max="15864" width="10.44140625" style="56" customWidth="1"/>
    <col min="15865" max="15865" width="3.77734375" style="56" customWidth="1"/>
    <col min="15866" max="15867" width="8.77734375" style="56"/>
    <col min="15868" max="15868" width="3.77734375" style="56" customWidth="1"/>
    <col min="15869" max="16108" width="8.77734375" style="56"/>
    <col min="16109" max="16109" width="24.77734375" style="56" customWidth="1"/>
    <col min="16110" max="16110" width="13.44140625" style="56" customWidth="1"/>
    <col min="16111" max="16111" width="8.77734375" style="56"/>
    <col min="16112" max="16112" width="6.77734375" style="56" customWidth="1"/>
    <col min="16113" max="16113" width="6.44140625" style="56" customWidth="1"/>
    <col min="16114" max="16114" width="8.21875" style="56" customWidth="1"/>
    <col min="16115" max="16115" width="6.77734375" style="56" customWidth="1"/>
    <col min="16116" max="16116" width="4.77734375" style="56" customWidth="1"/>
    <col min="16117" max="16118" width="5" style="56" customWidth="1"/>
    <col min="16119" max="16119" width="8.77734375" style="56"/>
    <col min="16120" max="16120" width="10.44140625" style="56" customWidth="1"/>
    <col min="16121" max="16121" width="3.77734375" style="56" customWidth="1"/>
    <col min="16122" max="16123" width="8.77734375" style="56"/>
    <col min="16124" max="16124" width="3.77734375" style="56" customWidth="1"/>
    <col min="16125" max="16384" width="8.77734375" style="56"/>
  </cols>
  <sheetData>
    <row r="18" spans="1:47" customFormat="1" ht="14.4" x14ac:dyDescent="0.3">
      <c r="A18" t="s">
        <v>19</v>
      </c>
      <c r="I18" t="s">
        <v>122</v>
      </c>
      <c r="O18" t="s">
        <v>20</v>
      </c>
      <c r="AK18" t="s">
        <v>123</v>
      </c>
    </row>
    <row r="19" spans="1:47" customFormat="1" ht="187.2" x14ac:dyDescent="0.3">
      <c r="A19" t="s">
        <v>6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22</v>
      </c>
      <c r="M19" t="s">
        <v>23</v>
      </c>
      <c r="O19" t="s">
        <v>6</v>
      </c>
      <c r="P19" t="s">
        <v>7</v>
      </c>
      <c r="Q19" t="s">
        <v>8</v>
      </c>
      <c r="R19" t="s">
        <v>9</v>
      </c>
      <c r="S19" t="s">
        <v>10</v>
      </c>
      <c r="T19" t="s">
        <v>11</v>
      </c>
      <c r="U19" t="s">
        <v>12</v>
      </c>
      <c r="V19" t="s">
        <v>13</v>
      </c>
      <c r="W19" t="s">
        <v>14</v>
      </c>
      <c r="X19" t="s">
        <v>15</v>
      </c>
      <c r="Y19" t="s">
        <v>16</v>
      </c>
      <c r="Z19" t="s">
        <v>22</v>
      </c>
      <c r="AA19" t="s">
        <v>23</v>
      </c>
      <c r="AC19" t="s">
        <v>6</v>
      </c>
      <c r="AD19" t="s">
        <v>7</v>
      </c>
      <c r="AE19" t="s">
        <v>8</v>
      </c>
      <c r="AF19" t="s">
        <v>9</v>
      </c>
      <c r="AG19" t="s">
        <v>10</v>
      </c>
      <c r="AH19" t="s">
        <v>11</v>
      </c>
      <c r="AI19" t="s">
        <v>12</v>
      </c>
      <c r="AJ19" t="s">
        <v>13</v>
      </c>
      <c r="AK19" t="s">
        <v>14</v>
      </c>
      <c r="AL19" t="s">
        <v>15</v>
      </c>
      <c r="AM19" t="s">
        <v>16</v>
      </c>
      <c r="AN19" t="s">
        <v>22</v>
      </c>
      <c r="AO19" t="s">
        <v>23</v>
      </c>
      <c r="AR19" t="s">
        <v>124</v>
      </c>
      <c r="AT19" s="19" t="s">
        <v>125</v>
      </c>
      <c r="AU19" s="19" t="s">
        <v>126</v>
      </c>
    </row>
    <row r="20" spans="1:47" customFormat="1" ht="14.4" x14ac:dyDescent="0.3">
      <c r="A20" s="8"/>
      <c r="B20" s="8" t="s">
        <v>60</v>
      </c>
      <c r="C20" s="59">
        <v>43644.386655092596</v>
      </c>
      <c r="D20" s="8" t="s">
        <v>25</v>
      </c>
      <c r="E20" s="8" t="s">
        <v>17</v>
      </c>
      <c r="F20" s="8">
        <v>0</v>
      </c>
      <c r="G20" s="8">
        <v>6.085</v>
      </c>
      <c r="H20" s="10">
        <v>1915</v>
      </c>
      <c r="I20" s="8">
        <v>2.395</v>
      </c>
      <c r="J20" s="8" t="s">
        <v>18</v>
      </c>
      <c r="K20" s="8" t="s">
        <v>18</v>
      </c>
      <c r="L20" s="8" t="s">
        <v>18</v>
      </c>
      <c r="M20" s="8"/>
      <c r="N20" s="8"/>
      <c r="O20" s="8"/>
      <c r="P20" s="8" t="s">
        <v>60</v>
      </c>
      <c r="Q20" s="59">
        <v>43644.386655092596</v>
      </c>
      <c r="R20" s="8" t="s">
        <v>25</v>
      </c>
      <c r="S20" s="8" t="s">
        <v>17</v>
      </c>
      <c r="T20" s="8">
        <v>0</v>
      </c>
      <c r="U20" s="8" t="s">
        <v>18</v>
      </c>
      <c r="V20" s="8" t="s">
        <v>18</v>
      </c>
      <c r="W20" s="8" t="s">
        <v>18</v>
      </c>
      <c r="X20" s="8" t="s">
        <v>18</v>
      </c>
      <c r="Y20" s="8" t="s">
        <v>18</v>
      </c>
      <c r="Z20" s="8" t="s">
        <v>18</v>
      </c>
      <c r="AA20" s="8"/>
      <c r="AB20" s="8"/>
      <c r="AC20" s="8"/>
      <c r="AD20" s="8" t="s">
        <v>60</v>
      </c>
      <c r="AE20" s="59">
        <v>43644.386655092596</v>
      </c>
      <c r="AF20" s="8" t="s">
        <v>25</v>
      </c>
      <c r="AG20" s="8" t="s">
        <v>17</v>
      </c>
      <c r="AH20" s="8">
        <v>0</v>
      </c>
      <c r="AI20" s="8">
        <v>12.202999999999999</v>
      </c>
      <c r="AJ20" s="10">
        <v>2514</v>
      </c>
      <c r="AK20" s="8">
        <v>492.72300000000001</v>
      </c>
      <c r="AL20" s="8" t="s">
        <v>18</v>
      </c>
      <c r="AM20" s="8" t="s">
        <v>18</v>
      </c>
      <c r="AN20" s="8" t="s">
        <v>18</v>
      </c>
      <c r="AO20" s="8"/>
      <c r="AP20" s="8"/>
      <c r="AQ20" s="8"/>
      <c r="AR20" s="7">
        <v>1</v>
      </c>
      <c r="AS20" s="8"/>
      <c r="AT20" s="23">
        <f>IF(H20&lt;20000,((0.000000008558*H20^2)+(0.002341*H20)+(-2.791)),(IF(H20&lt;1000000,((-0.0000000006283*H20^2)+(0.002788*H20)+(-5.018)), ((-0.000000002617*V20^2)+(0.2267*V20)+(367.3)))))</f>
        <v>1.7233991115500005</v>
      </c>
      <c r="AU20" s="23">
        <f>((0.00000001266*AJ20^2)+(0.1538*AJ20)+(107.1))</f>
        <v>493.83321368136001</v>
      </c>
    </row>
    <row r="21" spans="1:47" customFormat="1" ht="14.4" x14ac:dyDescent="0.3">
      <c r="B21" t="s">
        <v>61</v>
      </c>
      <c r="C21" s="20">
        <v>43648.387372685182</v>
      </c>
      <c r="D21" t="s">
        <v>25</v>
      </c>
      <c r="E21" t="s">
        <v>17</v>
      </c>
      <c r="F21">
        <v>0</v>
      </c>
      <c r="G21">
        <v>6.0880000000000001</v>
      </c>
      <c r="H21" s="12">
        <v>2022</v>
      </c>
      <c r="I21">
        <v>2.6389999999999998</v>
      </c>
      <c r="J21" t="s">
        <v>18</v>
      </c>
      <c r="K21" t="s">
        <v>18</v>
      </c>
      <c r="L21" t="s">
        <v>18</v>
      </c>
      <c r="P21" t="s">
        <v>61</v>
      </c>
      <c r="Q21" s="20">
        <v>43648.387372685182</v>
      </c>
      <c r="R21" t="s">
        <v>25</v>
      </c>
      <c r="S21" t="s">
        <v>17</v>
      </c>
      <c r="T21">
        <v>0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D21" t="s">
        <v>61</v>
      </c>
      <c r="AE21" s="20">
        <v>43648.387372685182</v>
      </c>
      <c r="AF21" t="s">
        <v>25</v>
      </c>
      <c r="AG21" t="s">
        <v>17</v>
      </c>
      <c r="AH21">
        <v>0</v>
      </c>
      <c r="AI21">
        <v>12.167</v>
      </c>
      <c r="AJ21" s="12">
        <v>2175</v>
      </c>
      <c r="AK21">
        <v>434.25400000000002</v>
      </c>
      <c r="AL21" t="s">
        <v>18</v>
      </c>
      <c r="AM21" t="s">
        <v>18</v>
      </c>
      <c r="AN21" t="s">
        <v>18</v>
      </c>
      <c r="AR21" s="7">
        <v>2</v>
      </c>
      <c r="AT21" s="23">
        <f t="shared" ref="AT21:AT57" si="0">IF(H21&lt;20000,((0.000000008558*H21^2)+(0.002341*H21)+(-2.791)),(IF(H21&lt;1000000,((-0.0000000006283*H21^2)+(0.002788*H21)+(-5.018)), ((-0.000000002617*V21^2)+(0.2267*V21)+(367.3)))))</f>
        <v>1.9774912460720002</v>
      </c>
      <c r="AU21" s="23">
        <f t="shared" ref="AU21:AU57" si="1">((0.00000001266*AJ21^2)+(0.1538*AJ21)+(107.1))</f>
        <v>441.67488971249998</v>
      </c>
    </row>
    <row r="22" spans="1:47" customFormat="1" ht="14.4" x14ac:dyDescent="0.3">
      <c r="B22" t="s">
        <v>127</v>
      </c>
      <c r="C22" s="20">
        <v>43649.417638888888</v>
      </c>
      <c r="D22" t="s">
        <v>25</v>
      </c>
      <c r="E22" t="s">
        <v>17</v>
      </c>
      <c r="F22">
        <v>0</v>
      </c>
      <c r="G22">
        <v>6.0629999999999997</v>
      </c>
      <c r="H22" s="12">
        <v>2704</v>
      </c>
      <c r="I22">
        <v>4.1900000000000004</v>
      </c>
      <c r="J22" t="s">
        <v>18</v>
      </c>
      <c r="K22" t="s">
        <v>18</v>
      </c>
      <c r="L22" t="s">
        <v>18</v>
      </c>
      <c r="P22" t="s">
        <v>127</v>
      </c>
      <c r="Q22" s="20">
        <v>43649.417638888888</v>
      </c>
      <c r="R22" t="s">
        <v>25</v>
      </c>
      <c r="S22" t="s">
        <v>17</v>
      </c>
      <c r="T22">
        <v>0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D22" t="s">
        <v>127</v>
      </c>
      <c r="AE22" s="20">
        <v>43649.417638888888</v>
      </c>
      <c r="AF22" t="s">
        <v>25</v>
      </c>
      <c r="AG22" t="s">
        <v>17</v>
      </c>
      <c r="AH22">
        <v>0</v>
      </c>
      <c r="AI22">
        <v>12.193</v>
      </c>
      <c r="AJ22" s="12">
        <v>1905</v>
      </c>
      <c r="AK22">
        <v>387.68700000000001</v>
      </c>
      <c r="AL22" t="s">
        <v>18</v>
      </c>
      <c r="AM22" t="s">
        <v>18</v>
      </c>
      <c r="AN22" t="s">
        <v>18</v>
      </c>
      <c r="AR22" s="7">
        <v>3</v>
      </c>
      <c r="AT22" s="23">
        <f t="shared" si="0"/>
        <v>3.6016368097279998</v>
      </c>
      <c r="AU22" s="23">
        <f t="shared" si="1"/>
        <v>400.13494345649997</v>
      </c>
    </row>
    <row r="23" spans="1:47" customFormat="1" ht="14.4" x14ac:dyDescent="0.3">
      <c r="B23" t="s">
        <v>128</v>
      </c>
      <c r="C23" s="20">
        <v>43651.393090277779</v>
      </c>
      <c r="D23" t="s">
        <v>25</v>
      </c>
      <c r="E23" t="s">
        <v>17</v>
      </c>
      <c r="F23">
        <v>0</v>
      </c>
      <c r="G23">
        <v>6.077</v>
      </c>
      <c r="H23" s="12">
        <v>2459</v>
      </c>
      <c r="I23">
        <v>3.633</v>
      </c>
      <c r="J23" t="s">
        <v>18</v>
      </c>
      <c r="K23" t="s">
        <v>18</v>
      </c>
      <c r="L23" t="s">
        <v>18</v>
      </c>
      <c r="P23" t="s">
        <v>128</v>
      </c>
      <c r="Q23" s="20">
        <v>43651.393090277779</v>
      </c>
      <c r="R23" t="s">
        <v>25</v>
      </c>
      <c r="S23" t="s">
        <v>17</v>
      </c>
      <c r="T23">
        <v>0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D23" t="s">
        <v>128</v>
      </c>
      <c r="AE23" s="20">
        <v>43651.393090277779</v>
      </c>
      <c r="AF23" t="s">
        <v>25</v>
      </c>
      <c r="AG23" t="s">
        <v>17</v>
      </c>
      <c r="AH23">
        <v>0</v>
      </c>
      <c r="AI23">
        <v>12.178000000000001</v>
      </c>
      <c r="AJ23" s="12">
        <v>1897</v>
      </c>
      <c r="AK23">
        <v>386.44299999999998</v>
      </c>
      <c r="AL23" t="s">
        <v>18</v>
      </c>
      <c r="AM23" t="s">
        <v>18</v>
      </c>
      <c r="AN23" t="s">
        <v>18</v>
      </c>
      <c r="AR23" s="7">
        <v>4</v>
      </c>
      <c r="AS23" s="56"/>
      <c r="AT23" s="23">
        <f t="shared" si="0"/>
        <v>3.0172664959980007</v>
      </c>
      <c r="AU23" s="23">
        <f t="shared" si="1"/>
        <v>398.90415838993999</v>
      </c>
    </row>
    <row r="24" spans="1:47" customFormat="1" ht="14.4" x14ac:dyDescent="0.3">
      <c r="B24" t="s">
        <v>129</v>
      </c>
      <c r="C24" s="20">
        <v>43655.381979166668</v>
      </c>
      <c r="D24" t="s">
        <v>25</v>
      </c>
      <c r="E24" t="s">
        <v>17</v>
      </c>
      <c r="F24">
        <v>0</v>
      </c>
      <c r="G24">
        <v>6.1020000000000003</v>
      </c>
      <c r="H24" s="12">
        <v>2762</v>
      </c>
      <c r="I24">
        <v>4.3220000000000001</v>
      </c>
      <c r="J24" t="s">
        <v>18</v>
      </c>
      <c r="K24" t="s">
        <v>18</v>
      </c>
      <c r="L24" t="s">
        <v>18</v>
      </c>
      <c r="P24" t="s">
        <v>129</v>
      </c>
      <c r="Q24" s="20">
        <v>43655.381979166668</v>
      </c>
      <c r="R24" t="s">
        <v>25</v>
      </c>
      <c r="S24" t="s">
        <v>17</v>
      </c>
      <c r="T24">
        <v>0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D24" t="s">
        <v>129</v>
      </c>
      <c r="AE24" s="20">
        <v>43655.381979166668</v>
      </c>
      <c r="AF24" t="s">
        <v>25</v>
      </c>
      <c r="AG24" t="s">
        <v>17</v>
      </c>
      <c r="AH24">
        <v>0</v>
      </c>
      <c r="AI24">
        <v>12.180999999999999</v>
      </c>
      <c r="AJ24" s="12">
        <v>2096</v>
      </c>
      <c r="AK24">
        <v>420.69499999999999</v>
      </c>
      <c r="AL24" t="s">
        <v>18</v>
      </c>
      <c r="AM24" t="s">
        <v>18</v>
      </c>
      <c r="AN24" t="s">
        <v>18</v>
      </c>
      <c r="AR24" s="7">
        <v>5</v>
      </c>
      <c r="AT24" s="23">
        <f t="shared" si="0"/>
        <v>3.7401279353520001</v>
      </c>
      <c r="AU24" s="23">
        <f t="shared" si="1"/>
        <v>429.52041811456002</v>
      </c>
    </row>
    <row r="25" spans="1:47" customFormat="1" ht="14.4" x14ac:dyDescent="0.3">
      <c r="B25" t="s">
        <v>130</v>
      </c>
      <c r="C25" s="20">
        <v>43658.378159722219</v>
      </c>
      <c r="D25" t="s">
        <v>25</v>
      </c>
      <c r="E25" t="s">
        <v>17</v>
      </c>
      <c r="F25">
        <v>0</v>
      </c>
      <c r="G25">
        <v>6.0780000000000003</v>
      </c>
      <c r="H25" s="12">
        <v>1561</v>
      </c>
      <c r="I25">
        <v>1.5880000000000001</v>
      </c>
      <c r="J25" t="s">
        <v>18</v>
      </c>
      <c r="K25" t="s">
        <v>18</v>
      </c>
      <c r="L25" t="s">
        <v>18</v>
      </c>
      <c r="P25" t="s">
        <v>130</v>
      </c>
      <c r="Q25" s="20">
        <v>43658.378159722219</v>
      </c>
      <c r="R25" t="s">
        <v>25</v>
      </c>
      <c r="S25" t="s">
        <v>17</v>
      </c>
      <c r="T25">
        <v>0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D25" t="s">
        <v>130</v>
      </c>
      <c r="AE25" s="20">
        <v>43658.378159722219</v>
      </c>
      <c r="AF25" t="s">
        <v>25</v>
      </c>
      <c r="AG25" t="s">
        <v>17</v>
      </c>
      <c r="AH25">
        <v>0</v>
      </c>
      <c r="AI25">
        <v>12.2</v>
      </c>
      <c r="AJ25" s="12">
        <v>2085</v>
      </c>
      <c r="AK25">
        <v>418.798</v>
      </c>
      <c r="AL25" t="s">
        <v>18</v>
      </c>
      <c r="AM25" t="s">
        <v>18</v>
      </c>
      <c r="AN25" t="s">
        <v>18</v>
      </c>
      <c r="AR25" s="7">
        <v>6</v>
      </c>
      <c r="AT25" s="23">
        <f t="shared" si="0"/>
        <v>0.8841544583180001</v>
      </c>
      <c r="AU25" s="23">
        <f t="shared" si="1"/>
        <v>427.82803586850002</v>
      </c>
    </row>
    <row r="26" spans="1:47" customFormat="1" ht="14.4" x14ac:dyDescent="0.3">
      <c r="B26" t="s">
        <v>131</v>
      </c>
      <c r="C26" s="20">
        <v>43662.386180555557</v>
      </c>
      <c r="D26" t="s">
        <v>25</v>
      </c>
      <c r="E26" t="s">
        <v>17</v>
      </c>
      <c r="F26">
        <v>0</v>
      </c>
      <c r="G26">
        <v>6.0789999999999997</v>
      </c>
      <c r="H26" s="12">
        <v>1767</v>
      </c>
      <c r="I26">
        <v>2.0569999999999999</v>
      </c>
      <c r="J26" t="s">
        <v>18</v>
      </c>
      <c r="K26" t="s">
        <v>18</v>
      </c>
      <c r="L26" t="s">
        <v>18</v>
      </c>
      <c r="P26" t="s">
        <v>131</v>
      </c>
      <c r="Q26" s="20">
        <v>43662.386180555557</v>
      </c>
      <c r="R26" t="s">
        <v>25</v>
      </c>
      <c r="S26" t="s">
        <v>17</v>
      </c>
      <c r="T26">
        <v>0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D26" t="s">
        <v>131</v>
      </c>
      <c r="AE26" s="20">
        <v>43662.386180555557</v>
      </c>
      <c r="AF26" t="s">
        <v>25</v>
      </c>
      <c r="AG26" t="s">
        <v>17</v>
      </c>
      <c r="AH26">
        <v>0</v>
      </c>
      <c r="AI26">
        <v>12.191000000000001</v>
      </c>
      <c r="AJ26" s="12">
        <v>2785</v>
      </c>
      <c r="AK26">
        <v>539.37199999999996</v>
      </c>
      <c r="AL26" t="s">
        <v>18</v>
      </c>
      <c r="AM26" t="s">
        <v>18</v>
      </c>
      <c r="AN26" t="s">
        <v>18</v>
      </c>
      <c r="AR26" s="7">
        <v>7</v>
      </c>
      <c r="AT26" s="23">
        <f t="shared" si="0"/>
        <v>1.3722675492620007</v>
      </c>
      <c r="AU26" s="23">
        <f t="shared" si="1"/>
        <v>535.53119380850001</v>
      </c>
    </row>
    <row r="27" spans="1:47" customFormat="1" ht="14.4" x14ac:dyDescent="0.3">
      <c r="B27" t="s">
        <v>132</v>
      </c>
      <c r="C27" s="20">
        <v>43664.427870370368</v>
      </c>
      <c r="D27" t="s">
        <v>25</v>
      </c>
      <c r="E27" t="s">
        <v>17</v>
      </c>
      <c r="F27">
        <v>0</v>
      </c>
      <c r="G27">
        <v>6.0839999999999996</v>
      </c>
      <c r="H27" s="12">
        <v>1577</v>
      </c>
      <c r="I27">
        <v>1.6240000000000001</v>
      </c>
      <c r="J27" t="s">
        <v>18</v>
      </c>
      <c r="K27" t="s">
        <v>18</v>
      </c>
      <c r="L27" t="s">
        <v>18</v>
      </c>
      <c r="P27" t="s">
        <v>132</v>
      </c>
      <c r="Q27" s="20">
        <v>43664.427870370368</v>
      </c>
      <c r="R27" t="s">
        <v>25</v>
      </c>
      <c r="S27" t="s">
        <v>17</v>
      </c>
      <c r="T27">
        <v>0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D27" t="s">
        <v>132</v>
      </c>
      <c r="AE27" s="20">
        <v>43664.427870370368</v>
      </c>
      <c r="AF27" t="s">
        <v>25</v>
      </c>
      <c r="AG27" t="s">
        <v>17</v>
      </c>
      <c r="AH27">
        <v>0</v>
      </c>
      <c r="AI27">
        <v>12.196999999999999</v>
      </c>
      <c r="AJ27" s="12">
        <v>1313</v>
      </c>
      <c r="AK27">
        <v>285.70600000000002</v>
      </c>
      <c r="AL27" t="s">
        <v>18</v>
      </c>
      <c r="AM27" t="s">
        <v>18</v>
      </c>
      <c r="AN27" t="s">
        <v>18</v>
      </c>
      <c r="AR27" s="7">
        <v>8</v>
      </c>
      <c r="AS27" s="56"/>
      <c r="AT27" s="23">
        <f t="shared" si="0"/>
        <v>0.9220401383820005</v>
      </c>
      <c r="AU27" s="23">
        <f t="shared" si="1"/>
        <v>309.06122544753998</v>
      </c>
    </row>
    <row r="28" spans="1:47" customFormat="1" ht="14.4" x14ac:dyDescent="0.3">
      <c r="B28" t="s">
        <v>133</v>
      </c>
      <c r="C28" s="20">
        <v>43665.441331018519</v>
      </c>
      <c r="D28" t="s">
        <v>25</v>
      </c>
      <c r="E28" t="s">
        <v>17</v>
      </c>
      <c r="F28">
        <v>0</v>
      </c>
      <c r="G28">
        <v>6.0810000000000004</v>
      </c>
      <c r="H28" s="12">
        <v>1778</v>
      </c>
      <c r="I28">
        <v>2.0819999999999999</v>
      </c>
      <c r="J28" t="s">
        <v>18</v>
      </c>
      <c r="K28" t="s">
        <v>18</v>
      </c>
      <c r="L28" t="s">
        <v>18</v>
      </c>
      <c r="P28" t="s">
        <v>133</v>
      </c>
      <c r="Q28" s="20">
        <v>43665.441331018519</v>
      </c>
      <c r="R28" t="s">
        <v>25</v>
      </c>
      <c r="S28" t="s">
        <v>17</v>
      </c>
      <c r="T28">
        <v>0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D28" t="s">
        <v>133</v>
      </c>
      <c r="AE28" s="20">
        <v>43665.441331018519</v>
      </c>
      <c r="AF28" t="s">
        <v>25</v>
      </c>
      <c r="AG28" t="s">
        <v>17</v>
      </c>
      <c r="AH28">
        <v>0</v>
      </c>
      <c r="AI28">
        <v>12.180999999999999</v>
      </c>
      <c r="AJ28" s="12">
        <v>2363</v>
      </c>
      <c r="AK28">
        <v>466.71199999999999</v>
      </c>
      <c r="AL28" t="s">
        <v>18</v>
      </c>
      <c r="AM28" t="s">
        <v>18</v>
      </c>
      <c r="AN28" t="s">
        <v>18</v>
      </c>
      <c r="AR28" s="7">
        <v>9</v>
      </c>
      <c r="AT28" s="23">
        <f t="shared" si="0"/>
        <v>1.3983522684720007</v>
      </c>
      <c r="AU28" s="23">
        <f t="shared" si="1"/>
        <v>470.60009051553993</v>
      </c>
    </row>
    <row r="29" spans="1:47" customFormat="1" ht="14.4" x14ac:dyDescent="0.3">
      <c r="B29" t="s">
        <v>134</v>
      </c>
      <c r="C29" s="20">
        <v>43669.385995370372</v>
      </c>
      <c r="D29" t="s">
        <v>25</v>
      </c>
      <c r="E29" t="s">
        <v>17</v>
      </c>
      <c r="F29">
        <v>0</v>
      </c>
      <c r="G29">
        <v>6.069</v>
      </c>
      <c r="H29" s="12">
        <v>1617</v>
      </c>
      <c r="I29">
        <v>1.716</v>
      </c>
      <c r="J29" t="s">
        <v>18</v>
      </c>
      <c r="K29" t="s">
        <v>18</v>
      </c>
      <c r="L29" t="s">
        <v>18</v>
      </c>
      <c r="P29" t="s">
        <v>134</v>
      </c>
      <c r="Q29" s="20">
        <v>43669.385995370372</v>
      </c>
      <c r="R29" t="s">
        <v>25</v>
      </c>
      <c r="S29" t="s">
        <v>17</v>
      </c>
      <c r="T29">
        <v>0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D29" t="s">
        <v>134</v>
      </c>
      <c r="AE29" s="20">
        <v>43669.385995370372</v>
      </c>
      <c r="AF29" t="s">
        <v>25</v>
      </c>
      <c r="AG29" t="s">
        <v>17</v>
      </c>
      <c r="AH29">
        <v>0</v>
      </c>
      <c r="AI29">
        <v>12.2</v>
      </c>
      <c r="AJ29" s="12"/>
      <c r="AK29" s="17"/>
      <c r="AL29" t="s">
        <v>18</v>
      </c>
      <c r="AM29" t="s">
        <v>18</v>
      </c>
      <c r="AN29" t="s">
        <v>18</v>
      </c>
      <c r="AR29" s="7">
        <v>10</v>
      </c>
      <c r="AT29" s="23">
        <f t="shared" si="0"/>
        <v>1.0167735084620002</v>
      </c>
      <c r="AU29" s="23">
        <f t="shared" si="1"/>
        <v>107.1</v>
      </c>
    </row>
    <row r="30" spans="1:47" customFormat="1" ht="14.4" x14ac:dyDescent="0.3">
      <c r="A30">
        <v>34</v>
      </c>
      <c r="B30" t="s">
        <v>135</v>
      </c>
      <c r="C30" s="20">
        <v>43672.518773148149</v>
      </c>
      <c r="D30" t="s">
        <v>25</v>
      </c>
      <c r="E30" t="s">
        <v>17</v>
      </c>
      <c r="F30">
        <v>0</v>
      </c>
      <c r="G30">
        <v>6.0789999999999997</v>
      </c>
      <c r="H30" s="12">
        <v>1806</v>
      </c>
      <c r="I30">
        <v>2.145</v>
      </c>
      <c r="J30" t="s">
        <v>18</v>
      </c>
      <c r="K30" t="s">
        <v>18</v>
      </c>
      <c r="L30" t="s">
        <v>18</v>
      </c>
      <c r="M30" t="s">
        <v>18</v>
      </c>
      <c r="O30">
        <v>34</v>
      </c>
      <c r="P30" t="s">
        <v>135</v>
      </c>
      <c r="Q30" s="20">
        <v>43672.518773148149</v>
      </c>
      <c r="R30" t="s">
        <v>25</v>
      </c>
      <c r="S30" t="s">
        <v>17</v>
      </c>
      <c r="T30">
        <v>0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C30">
        <v>34</v>
      </c>
      <c r="AD30" t="s">
        <v>135</v>
      </c>
      <c r="AE30" s="20">
        <v>43672.518773148149</v>
      </c>
      <c r="AF30" t="s">
        <v>25</v>
      </c>
      <c r="AG30" t="s">
        <v>17</v>
      </c>
      <c r="AH30">
        <v>0</v>
      </c>
      <c r="AI30">
        <v>12.214</v>
      </c>
      <c r="AJ30" s="12">
        <v>2091</v>
      </c>
      <c r="AK30">
        <v>419.791</v>
      </c>
      <c r="AL30" t="s">
        <v>18</v>
      </c>
      <c r="AM30" t="s">
        <v>18</v>
      </c>
      <c r="AN30" t="s">
        <v>18</v>
      </c>
      <c r="AO30" t="s">
        <v>18</v>
      </c>
      <c r="AR30" s="7">
        <v>11</v>
      </c>
      <c r="AT30" s="23">
        <f t="shared" si="0"/>
        <v>1.4647590808880007</v>
      </c>
      <c r="AU30" s="23">
        <f t="shared" si="1"/>
        <v>428.75115307746</v>
      </c>
    </row>
    <row r="31" spans="1:47" customFormat="1" ht="14.4" x14ac:dyDescent="0.3">
      <c r="A31">
        <v>28</v>
      </c>
      <c r="B31" t="s">
        <v>136</v>
      </c>
      <c r="C31" s="20">
        <v>43675.412280092591</v>
      </c>
      <c r="D31" t="s">
        <v>25</v>
      </c>
      <c r="E31" t="s">
        <v>17</v>
      </c>
      <c r="F31">
        <v>0</v>
      </c>
      <c r="G31">
        <v>6.0780000000000003</v>
      </c>
      <c r="H31" s="12">
        <v>1748</v>
      </c>
      <c r="I31">
        <v>2.0129999999999999</v>
      </c>
      <c r="J31" t="s">
        <v>18</v>
      </c>
      <c r="K31" t="s">
        <v>18</v>
      </c>
      <c r="L31" t="s">
        <v>18</v>
      </c>
      <c r="M31" t="s">
        <v>18</v>
      </c>
      <c r="O31">
        <v>28</v>
      </c>
      <c r="P31" t="s">
        <v>136</v>
      </c>
      <c r="Q31" s="20">
        <v>43675.412280092591</v>
      </c>
      <c r="R31" t="s">
        <v>25</v>
      </c>
      <c r="S31" t="s">
        <v>17</v>
      </c>
      <c r="T31">
        <v>0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C31">
        <v>28</v>
      </c>
      <c r="AD31" t="s">
        <v>136</v>
      </c>
      <c r="AE31" s="20">
        <v>43675.412280092591</v>
      </c>
      <c r="AF31" t="s">
        <v>25</v>
      </c>
      <c r="AG31" t="s">
        <v>17</v>
      </c>
      <c r="AH31">
        <v>0</v>
      </c>
      <c r="AI31">
        <v>12.202</v>
      </c>
      <c r="AJ31" s="12">
        <v>1929</v>
      </c>
      <c r="AK31">
        <v>391.87400000000002</v>
      </c>
      <c r="AL31" t="s">
        <v>18</v>
      </c>
      <c r="AM31" t="s">
        <v>18</v>
      </c>
      <c r="AN31" t="s">
        <v>18</v>
      </c>
      <c r="AO31" t="s">
        <v>18</v>
      </c>
      <c r="AR31" s="7">
        <v>12</v>
      </c>
      <c r="AT31" s="23">
        <f t="shared" si="0"/>
        <v>1.3272170032320001</v>
      </c>
      <c r="AU31" s="23">
        <f t="shared" si="1"/>
        <v>403.82730837906001</v>
      </c>
    </row>
    <row r="32" spans="1:47" customFormat="1" ht="14.4" x14ac:dyDescent="0.3">
      <c r="A32">
        <v>36</v>
      </c>
      <c r="B32" t="s">
        <v>137</v>
      </c>
      <c r="C32" s="20">
        <v>43676.385439814818</v>
      </c>
      <c r="D32" t="s">
        <v>25</v>
      </c>
      <c r="E32" t="s">
        <v>17</v>
      </c>
      <c r="F32">
        <v>0</v>
      </c>
      <c r="G32">
        <v>6.0940000000000003</v>
      </c>
      <c r="H32" s="12">
        <v>1659</v>
      </c>
      <c r="I32">
        <v>1.8109999999999999</v>
      </c>
      <c r="J32" t="s">
        <v>18</v>
      </c>
      <c r="K32" t="s">
        <v>18</v>
      </c>
      <c r="L32" t="s">
        <v>18</v>
      </c>
      <c r="M32" t="s">
        <v>18</v>
      </c>
      <c r="O32">
        <v>36</v>
      </c>
      <c r="P32" t="s">
        <v>137</v>
      </c>
      <c r="Q32" s="20">
        <v>43676.385439814818</v>
      </c>
      <c r="R32" t="s">
        <v>25</v>
      </c>
      <c r="S32" t="s">
        <v>17</v>
      </c>
      <c r="T32">
        <v>0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C32">
        <v>36</v>
      </c>
      <c r="AD32" t="s">
        <v>137</v>
      </c>
      <c r="AE32" s="20">
        <v>43676.385439814818</v>
      </c>
      <c r="AF32" t="s">
        <v>25</v>
      </c>
      <c r="AG32" t="s">
        <v>17</v>
      </c>
      <c r="AH32">
        <v>0</v>
      </c>
      <c r="AI32">
        <v>12.214</v>
      </c>
      <c r="AJ32" s="12">
        <v>1817</v>
      </c>
      <c r="AK32">
        <v>372.64600000000002</v>
      </c>
      <c r="AL32" t="s">
        <v>18</v>
      </c>
      <c r="AM32" t="s">
        <v>18</v>
      </c>
      <c r="AN32" t="s">
        <v>18</v>
      </c>
      <c r="AO32" t="s">
        <v>18</v>
      </c>
      <c r="AR32" s="7">
        <v>13</v>
      </c>
      <c r="AS32" s="56"/>
      <c r="AT32" s="23">
        <f t="shared" si="0"/>
        <v>1.1162730207980003</v>
      </c>
      <c r="AU32" s="23">
        <f t="shared" si="1"/>
        <v>386.59639685074001</v>
      </c>
    </row>
    <row r="33" spans="1:47" customFormat="1" ht="14.4" x14ac:dyDescent="0.3">
      <c r="A33">
        <v>26</v>
      </c>
      <c r="B33" t="s">
        <v>138</v>
      </c>
      <c r="C33" s="20">
        <v>43678.675104166665</v>
      </c>
      <c r="D33" t="s">
        <v>25</v>
      </c>
      <c r="E33" t="s">
        <v>17</v>
      </c>
      <c r="F33">
        <v>0</v>
      </c>
      <c r="G33">
        <v>6.0720000000000001</v>
      </c>
      <c r="H33" s="12">
        <v>2906</v>
      </c>
      <c r="I33">
        <v>4.6520000000000001</v>
      </c>
      <c r="J33" t="s">
        <v>18</v>
      </c>
      <c r="K33" t="s">
        <v>18</v>
      </c>
      <c r="L33" t="s">
        <v>18</v>
      </c>
      <c r="M33" t="s">
        <v>18</v>
      </c>
      <c r="O33">
        <v>26</v>
      </c>
      <c r="P33" t="s">
        <v>138</v>
      </c>
      <c r="Q33" s="20">
        <v>43678.675104166665</v>
      </c>
      <c r="R33" t="s">
        <v>25</v>
      </c>
      <c r="S33" t="s">
        <v>17</v>
      </c>
      <c r="T33">
        <v>0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C33">
        <v>26</v>
      </c>
      <c r="AD33" t="s">
        <v>138</v>
      </c>
      <c r="AE33" s="20">
        <v>43678.675104166665</v>
      </c>
      <c r="AF33" t="s">
        <v>25</v>
      </c>
      <c r="AG33" t="s">
        <v>17</v>
      </c>
      <c r="AH33">
        <v>0</v>
      </c>
      <c r="AI33">
        <v>12.196999999999999</v>
      </c>
      <c r="AJ33" s="12">
        <v>2420</v>
      </c>
      <c r="AK33">
        <v>476.45499999999998</v>
      </c>
      <c r="AL33" t="s">
        <v>18</v>
      </c>
      <c r="AM33" t="s">
        <v>18</v>
      </c>
      <c r="AN33" t="s">
        <v>18</v>
      </c>
      <c r="AO33" t="s">
        <v>18</v>
      </c>
      <c r="AR33" s="7">
        <v>14</v>
      </c>
      <c r="AT33" s="23">
        <f t="shared" si="0"/>
        <v>4.0842169064880007</v>
      </c>
      <c r="AU33" s="23">
        <f t="shared" si="1"/>
        <v>479.37014202399996</v>
      </c>
    </row>
    <row r="34" spans="1:47" customFormat="1" ht="14.4" x14ac:dyDescent="0.3">
      <c r="A34">
        <v>38</v>
      </c>
      <c r="B34" t="s">
        <v>139</v>
      </c>
      <c r="C34" s="20">
        <v>43679.381909722222</v>
      </c>
      <c r="D34" t="s">
        <v>25</v>
      </c>
      <c r="E34" t="s">
        <v>17</v>
      </c>
      <c r="F34">
        <v>0</v>
      </c>
      <c r="G34">
        <v>6.07</v>
      </c>
      <c r="H34" s="12">
        <v>1946</v>
      </c>
      <c r="I34">
        <v>2.4660000000000002</v>
      </c>
      <c r="J34" t="s">
        <v>18</v>
      </c>
      <c r="K34" t="s">
        <v>18</v>
      </c>
      <c r="L34" t="s">
        <v>18</v>
      </c>
      <c r="M34" t="s">
        <v>18</v>
      </c>
      <c r="O34">
        <v>38</v>
      </c>
      <c r="P34" t="s">
        <v>139</v>
      </c>
      <c r="Q34" s="20">
        <v>43679.381909722222</v>
      </c>
      <c r="R34" t="s">
        <v>25</v>
      </c>
      <c r="S34" t="s">
        <v>17</v>
      </c>
      <c r="T34">
        <v>0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C34">
        <v>38</v>
      </c>
      <c r="AD34" t="s">
        <v>139</v>
      </c>
      <c r="AE34" s="20">
        <v>43679.381909722222</v>
      </c>
      <c r="AF34" t="s">
        <v>25</v>
      </c>
      <c r="AG34" t="s">
        <v>17</v>
      </c>
      <c r="AH34">
        <v>0</v>
      </c>
      <c r="AI34">
        <v>12.199</v>
      </c>
      <c r="AJ34" s="12">
        <v>2616</v>
      </c>
      <c r="AK34">
        <v>510.27800000000002</v>
      </c>
      <c r="AL34" t="s">
        <v>18</v>
      </c>
      <c r="AM34" t="s">
        <v>18</v>
      </c>
      <c r="AN34" t="s">
        <v>18</v>
      </c>
      <c r="AO34" t="s">
        <v>18</v>
      </c>
      <c r="AR34" s="7">
        <v>15</v>
      </c>
      <c r="AT34" s="23">
        <f t="shared" si="0"/>
        <v>1.7969944271280007</v>
      </c>
      <c r="AU34" s="23">
        <f t="shared" si="1"/>
        <v>509.52743815296003</v>
      </c>
    </row>
    <row r="35" spans="1:47" customFormat="1" ht="14.4" x14ac:dyDescent="0.3">
      <c r="A35">
        <v>40</v>
      </c>
      <c r="B35" t="s">
        <v>140</v>
      </c>
      <c r="C35" s="20">
        <v>43683.356608796297</v>
      </c>
      <c r="D35" t="s">
        <v>25</v>
      </c>
      <c r="E35" t="s">
        <v>17</v>
      </c>
      <c r="F35">
        <v>0</v>
      </c>
      <c r="G35">
        <v>6.0640000000000001</v>
      </c>
      <c r="H35" s="12">
        <v>1872</v>
      </c>
      <c r="I35">
        <v>2.2970000000000002</v>
      </c>
      <c r="J35" t="s">
        <v>18</v>
      </c>
      <c r="K35" t="s">
        <v>18</v>
      </c>
      <c r="L35" t="s">
        <v>18</v>
      </c>
      <c r="M35" t="s">
        <v>18</v>
      </c>
      <c r="O35">
        <v>40</v>
      </c>
      <c r="P35" t="s">
        <v>140</v>
      </c>
      <c r="Q35" s="20">
        <v>43683.356608796297</v>
      </c>
      <c r="R35" t="s">
        <v>25</v>
      </c>
      <c r="S35" t="s">
        <v>17</v>
      </c>
      <c r="T35">
        <v>0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C35">
        <v>40</v>
      </c>
      <c r="AD35" t="s">
        <v>140</v>
      </c>
      <c r="AE35" s="20">
        <v>43683.356608796297</v>
      </c>
      <c r="AF35" t="s">
        <v>25</v>
      </c>
      <c r="AG35" t="s">
        <v>17</v>
      </c>
      <c r="AH35">
        <v>0</v>
      </c>
      <c r="AI35">
        <v>12.188000000000001</v>
      </c>
      <c r="AJ35" s="12">
        <v>2649</v>
      </c>
      <c r="AK35">
        <v>515.98099999999999</v>
      </c>
      <c r="AL35" t="s">
        <v>18</v>
      </c>
      <c r="AM35" t="s">
        <v>18</v>
      </c>
      <c r="AN35" t="s">
        <v>18</v>
      </c>
      <c r="AO35" t="s">
        <v>18</v>
      </c>
      <c r="AR35" s="7">
        <v>16</v>
      </c>
      <c r="AT35" s="23">
        <f t="shared" si="0"/>
        <v>1.6213425182720003</v>
      </c>
      <c r="AU35" s="23">
        <f t="shared" si="1"/>
        <v>514.60503776465998</v>
      </c>
    </row>
    <row r="36" spans="1:47" customFormat="1" ht="14.4" x14ac:dyDescent="0.3">
      <c r="A36">
        <v>42</v>
      </c>
      <c r="B36" t="s">
        <v>141</v>
      </c>
      <c r="C36" s="20">
        <v>43686.355717592596</v>
      </c>
      <c r="D36" t="s">
        <v>25</v>
      </c>
      <c r="E36" t="s">
        <v>17</v>
      </c>
      <c r="F36">
        <v>0</v>
      </c>
      <c r="G36">
        <v>6.0659999999999998</v>
      </c>
      <c r="H36" s="12">
        <v>1407</v>
      </c>
      <c r="I36">
        <v>1.2370000000000001</v>
      </c>
      <c r="J36" t="s">
        <v>18</v>
      </c>
      <c r="K36" t="s">
        <v>18</v>
      </c>
      <c r="L36" t="s">
        <v>18</v>
      </c>
      <c r="M36" t="s">
        <v>18</v>
      </c>
      <c r="O36">
        <v>42</v>
      </c>
      <c r="P36" t="s">
        <v>141</v>
      </c>
      <c r="Q36" s="20">
        <v>43686.355717592596</v>
      </c>
      <c r="R36" t="s">
        <v>25</v>
      </c>
      <c r="S36" t="s">
        <v>17</v>
      </c>
      <c r="T36">
        <v>0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C36">
        <v>42</v>
      </c>
      <c r="AD36" t="s">
        <v>141</v>
      </c>
      <c r="AE36" s="20">
        <v>43686.355717592596</v>
      </c>
      <c r="AF36" t="s">
        <v>25</v>
      </c>
      <c r="AG36" t="s">
        <v>17</v>
      </c>
      <c r="AH36">
        <v>0</v>
      </c>
      <c r="AI36">
        <v>12.205</v>
      </c>
      <c r="AJ36" s="12">
        <v>2916</v>
      </c>
      <c r="AK36">
        <v>561.96600000000001</v>
      </c>
      <c r="AL36" t="s">
        <v>18</v>
      </c>
      <c r="AM36" t="s">
        <v>18</v>
      </c>
      <c r="AN36" t="s">
        <v>18</v>
      </c>
      <c r="AO36" t="s">
        <v>18</v>
      </c>
      <c r="AR36" s="7">
        <v>17</v>
      </c>
      <c r="AT36" s="23">
        <f t="shared" si="0"/>
        <v>0.51972883614200072</v>
      </c>
      <c r="AU36" s="23">
        <f t="shared" si="1"/>
        <v>555.68844868895997</v>
      </c>
    </row>
    <row r="37" spans="1:47" customFormat="1" ht="14.4" x14ac:dyDescent="0.3">
      <c r="A37">
        <v>44</v>
      </c>
      <c r="B37" t="s">
        <v>142</v>
      </c>
      <c r="C37" s="20">
        <v>43690.376145833332</v>
      </c>
      <c r="D37" t="s">
        <v>25</v>
      </c>
      <c r="E37" t="s">
        <v>17</v>
      </c>
      <c r="F37">
        <v>0</v>
      </c>
      <c r="G37">
        <v>6.0720000000000001</v>
      </c>
      <c r="H37" s="12">
        <v>1867</v>
      </c>
      <c r="I37">
        <v>2.2839999999999998</v>
      </c>
      <c r="J37" t="s">
        <v>18</v>
      </c>
      <c r="K37" t="s">
        <v>18</v>
      </c>
      <c r="L37" t="s">
        <v>18</v>
      </c>
      <c r="M37" t="s">
        <v>18</v>
      </c>
      <c r="O37">
        <v>44</v>
      </c>
      <c r="P37" t="s">
        <v>142</v>
      </c>
      <c r="Q37" s="20">
        <v>43690.376145833332</v>
      </c>
      <c r="R37" t="s">
        <v>25</v>
      </c>
      <c r="S37" t="s">
        <v>17</v>
      </c>
      <c r="T37">
        <v>0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C37">
        <v>44</v>
      </c>
      <c r="AD37" t="s">
        <v>142</v>
      </c>
      <c r="AE37" s="20">
        <v>43690.376145833332</v>
      </c>
      <c r="AF37" t="s">
        <v>25</v>
      </c>
      <c r="AG37" t="s">
        <v>17</v>
      </c>
      <c r="AH37">
        <v>0</v>
      </c>
      <c r="AI37">
        <v>12.199</v>
      </c>
      <c r="AJ37" s="12">
        <v>2611</v>
      </c>
      <c r="AK37">
        <v>509.39299999999997</v>
      </c>
      <c r="AL37" t="s">
        <v>18</v>
      </c>
      <c r="AM37" t="s">
        <v>18</v>
      </c>
      <c r="AN37" t="s">
        <v>18</v>
      </c>
      <c r="AO37" t="s">
        <v>18</v>
      </c>
      <c r="AR37" s="7">
        <v>18</v>
      </c>
      <c r="AS37" s="56"/>
      <c r="AT37" s="23">
        <f t="shared" si="0"/>
        <v>1.6094775264619998</v>
      </c>
      <c r="AU37" s="23">
        <f t="shared" si="1"/>
        <v>508.75810728386</v>
      </c>
    </row>
    <row r="38" spans="1:47" customFormat="1" ht="14.4" x14ac:dyDescent="0.3">
      <c r="A38">
        <v>18</v>
      </c>
      <c r="B38" t="s">
        <v>143</v>
      </c>
      <c r="C38" s="20">
        <v>43692.643831018519</v>
      </c>
      <c r="D38" t="s">
        <v>25</v>
      </c>
      <c r="E38" t="s">
        <v>17</v>
      </c>
      <c r="F38">
        <v>0</v>
      </c>
      <c r="G38">
        <v>6.0629999999999997</v>
      </c>
      <c r="H38" s="12">
        <v>2207</v>
      </c>
      <c r="I38">
        <v>3.0590000000000002</v>
      </c>
      <c r="J38" t="s">
        <v>18</v>
      </c>
      <c r="K38" t="s">
        <v>18</v>
      </c>
      <c r="L38" t="s">
        <v>18</v>
      </c>
      <c r="M38" t="s">
        <v>18</v>
      </c>
      <c r="O38">
        <v>18</v>
      </c>
      <c r="P38" t="s">
        <v>143</v>
      </c>
      <c r="Q38" s="20">
        <v>43692.643831018519</v>
      </c>
      <c r="R38" t="s">
        <v>25</v>
      </c>
      <c r="S38" t="s">
        <v>17</v>
      </c>
      <c r="T38">
        <v>0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C38">
        <v>18</v>
      </c>
      <c r="AD38" t="s">
        <v>143</v>
      </c>
      <c r="AE38" s="20">
        <v>43692.643831018519</v>
      </c>
      <c r="AF38" t="s">
        <v>25</v>
      </c>
      <c r="AG38" t="s">
        <v>17</v>
      </c>
      <c r="AH38">
        <v>0</v>
      </c>
      <c r="AI38">
        <v>12.2</v>
      </c>
      <c r="AJ38" s="12">
        <v>2690</v>
      </c>
      <c r="AK38" s="17">
        <v>522.82500000000005</v>
      </c>
      <c r="AL38" t="s">
        <v>18</v>
      </c>
      <c r="AM38" t="s">
        <v>18</v>
      </c>
      <c r="AN38" t="s">
        <v>18</v>
      </c>
      <c r="AO38" t="s">
        <v>18</v>
      </c>
      <c r="AR38" s="7">
        <v>19</v>
      </c>
      <c r="AT38" s="23">
        <f t="shared" si="0"/>
        <v>2.4172717257420007</v>
      </c>
      <c r="AU38" s="23">
        <f t="shared" si="1"/>
        <v>520.91360902600002</v>
      </c>
    </row>
    <row r="39" spans="1:47" customFormat="1" ht="14.4" x14ac:dyDescent="0.3">
      <c r="A39">
        <v>48</v>
      </c>
      <c r="B39" t="s">
        <v>144</v>
      </c>
      <c r="C39" s="20">
        <v>43693.669236111113</v>
      </c>
      <c r="D39" t="s">
        <v>25</v>
      </c>
      <c r="E39" t="s">
        <v>17</v>
      </c>
      <c r="F39">
        <v>0</v>
      </c>
      <c r="G39">
        <v>6.0869999999999997</v>
      </c>
      <c r="H39" s="12">
        <v>1721</v>
      </c>
      <c r="I39">
        <v>1.952</v>
      </c>
      <c r="J39" t="s">
        <v>18</v>
      </c>
      <c r="K39" t="s">
        <v>18</v>
      </c>
      <c r="L39" t="s">
        <v>18</v>
      </c>
      <c r="M39" t="s">
        <v>18</v>
      </c>
      <c r="O39">
        <v>48</v>
      </c>
      <c r="P39" t="s">
        <v>144</v>
      </c>
      <c r="Q39" s="20">
        <v>43693.669236111113</v>
      </c>
      <c r="R39" t="s">
        <v>25</v>
      </c>
      <c r="S39" t="s">
        <v>17</v>
      </c>
      <c r="T39">
        <v>0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C39">
        <v>48</v>
      </c>
      <c r="AD39" t="s">
        <v>144</v>
      </c>
      <c r="AE39" s="20">
        <v>43693.669236111113</v>
      </c>
      <c r="AF39" t="s">
        <v>25</v>
      </c>
      <c r="AG39" t="s">
        <v>17</v>
      </c>
      <c r="AH39">
        <v>0</v>
      </c>
      <c r="AI39">
        <v>12.199</v>
      </c>
      <c r="AJ39" s="12">
        <v>2019</v>
      </c>
      <c r="AK39">
        <v>407.43799999999999</v>
      </c>
      <c r="AL39" t="s">
        <v>18</v>
      </c>
      <c r="AM39" t="s">
        <v>18</v>
      </c>
      <c r="AN39" t="s">
        <v>18</v>
      </c>
      <c r="AO39" t="s">
        <v>18</v>
      </c>
      <c r="AR39" s="7">
        <v>20</v>
      </c>
      <c r="AT39" s="23">
        <f t="shared" si="0"/>
        <v>1.2632084352780004</v>
      </c>
      <c r="AU39" s="23">
        <f t="shared" si="1"/>
        <v>417.67380673026003</v>
      </c>
    </row>
    <row r="40" spans="1:47" customFormat="1" ht="14.4" x14ac:dyDescent="0.3">
      <c r="A40">
        <v>50</v>
      </c>
      <c r="B40" t="s">
        <v>145</v>
      </c>
      <c r="C40" s="20">
        <v>43697.383472222224</v>
      </c>
      <c r="D40" t="s">
        <v>25</v>
      </c>
      <c r="E40" t="s">
        <v>17</v>
      </c>
      <c r="F40">
        <v>0</v>
      </c>
      <c r="G40">
        <v>6.0780000000000003</v>
      </c>
      <c r="H40" s="12">
        <v>1613</v>
      </c>
      <c r="I40">
        <v>1.706</v>
      </c>
      <c r="J40" t="s">
        <v>18</v>
      </c>
      <c r="K40" t="s">
        <v>18</v>
      </c>
      <c r="L40" t="s">
        <v>18</v>
      </c>
      <c r="M40" t="s">
        <v>18</v>
      </c>
      <c r="O40">
        <v>50</v>
      </c>
      <c r="P40" t="s">
        <v>145</v>
      </c>
      <c r="Q40" s="20">
        <v>43697.383472222224</v>
      </c>
      <c r="R40" t="s">
        <v>25</v>
      </c>
      <c r="S40" t="s">
        <v>17</v>
      </c>
      <c r="T40">
        <v>0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C40">
        <v>50</v>
      </c>
      <c r="AD40" t="s">
        <v>145</v>
      </c>
      <c r="AE40" s="20">
        <v>43697.383472222224</v>
      </c>
      <c r="AF40" t="s">
        <v>25</v>
      </c>
      <c r="AG40" t="s">
        <v>17</v>
      </c>
      <c r="AH40">
        <v>0</v>
      </c>
      <c r="AI40">
        <v>12.196999999999999</v>
      </c>
      <c r="AJ40" s="12">
        <v>2534</v>
      </c>
      <c r="AK40">
        <v>496.21600000000001</v>
      </c>
      <c r="AL40" t="s">
        <v>18</v>
      </c>
      <c r="AM40" t="s">
        <v>18</v>
      </c>
      <c r="AN40" t="s">
        <v>18</v>
      </c>
      <c r="AO40" t="s">
        <v>18</v>
      </c>
      <c r="AR40" s="7">
        <v>21</v>
      </c>
      <c r="AT40" s="23">
        <f t="shared" si="0"/>
        <v>1.0072989391020006</v>
      </c>
      <c r="AU40" s="23">
        <f t="shared" si="1"/>
        <v>496.91049183496</v>
      </c>
    </row>
    <row r="41" spans="1:47" customFormat="1" ht="14.4" x14ac:dyDescent="0.3">
      <c r="A41">
        <v>24</v>
      </c>
      <c r="B41" t="s">
        <v>146</v>
      </c>
      <c r="C41" s="20">
        <v>43699.445925925924</v>
      </c>
      <c r="D41" t="s">
        <v>25</v>
      </c>
      <c r="E41" t="s">
        <v>17</v>
      </c>
      <c r="F41">
        <v>0</v>
      </c>
      <c r="G41">
        <v>6.0919999999999996</v>
      </c>
      <c r="H41" s="12">
        <v>1955</v>
      </c>
      <c r="I41">
        <v>2.484</v>
      </c>
      <c r="J41" t="s">
        <v>18</v>
      </c>
      <c r="K41" t="s">
        <v>18</v>
      </c>
      <c r="L41" t="s">
        <v>18</v>
      </c>
      <c r="M41" t="s">
        <v>18</v>
      </c>
      <c r="O41">
        <v>24</v>
      </c>
      <c r="P41" t="s">
        <v>146</v>
      </c>
      <c r="Q41" s="20">
        <v>43699.445925925924</v>
      </c>
      <c r="R41" t="s">
        <v>25</v>
      </c>
      <c r="S41" t="s">
        <v>17</v>
      </c>
      <c r="T41">
        <v>0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C41">
        <v>24</v>
      </c>
      <c r="AD41" t="s">
        <v>146</v>
      </c>
      <c r="AE41" s="20">
        <v>43699.445925925924</v>
      </c>
      <c r="AF41" t="s">
        <v>25</v>
      </c>
      <c r="AG41" t="s">
        <v>17</v>
      </c>
      <c r="AH41">
        <v>0</v>
      </c>
      <c r="AI41">
        <v>12.209</v>
      </c>
      <c r="AJ41" s="12">
        <v>2254</v>
      </c>
      <c r="AK41">
        <v>447.92399999999998</v>
      </c>
      <c r="AL41" t="s">
        <v>18</v>
      </c>
      <c r="AM41" t="s">
        <v>18</v>
      </c>
      <c r="AN41" t="s">
        <v>18</v>
      </c>
      <c r="AO41" t="s">
        <v>18</v>
      </c>
      <c r="AR41" s="7">
        <v>22</v>
      </c>
      <c r="AT41" s="23">
        <f t="shared" si="0"/>
        <v>1.818363889950001</v>
      </c>
      <c r="AU41" s="23">
        <f t="shared" si="1"/>
        <v>453.82951933255993</v>
      </c>
    </row>
    <row r="42" spans="1:47" customFormat="1" ht="14.4" x14ac:dyDescent="0.3">
      <c r="A42">
        <v>52</v>
      </c>
      <c r="B42" t="s">
        <v>147</v>
      </c>
      <c r="C42" s="20">
        <v>43700.742337962962</v>
      </c>
      <c r="D42" t="s">
        <v>25</v>
      </c>
      <c r="E42" t="s">
        <v>17</v>
      </c>
      <c r="F42">
        <v>0</v>
      </c>
      <c r="G42">
        <v>6.0919999999999996</v>
      </c>
      <c r="H42" s="12">
        <v>1730</v>
      </c>
      <c r="I42">
        <v>1.9730000000000001</v>
      </c>
      <c r="J42" t="s">
        <v>18</v>
      </c>
      <c r="K42" t="s">
        <v>18</v>
      </c>
      <c r="L42" t="s">
        <v>18</v>
      </c>
      <c r="M42" t="s">
        <v>18</v>
      </c>
      <c r="O42">
        <v>52</v>
      </c>
      <c r="P42" t="s">
        <v>147</v>
      </c>
      <c r="Q42" s="20">
        <v>43700.742337962962</v>
      </c>
      <c r="R42" t="s">
        <v>25</v>
      </c>
      <c r="S42" t="s">
        <v>17</v>
      </c>
      <c r="T42">
        <v>0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C42">
        <v>52</v>
      </c>
      <c r="AD42" t="s">
        <v>147</v>
      </c>
      <c r="AE42" s="20">
        <v>43700.742337962962</v>
      </c>
      <c r="AF42" t="s">
        <v>25</v>
      </c>
      <c r="AG42" t="s">
        <v>17</v>
      </c>
      <c r="AH42">
        <v>0</v>
      </c>
      <c r="AI42">
        <v>12.218999999999999</v>
      </c>
      <c r="AJ42" s="12">
        <v>1825</v>
      </c>
      <c r="AK42">
        <v>374.02100000000002</v>
      </c>
      <c r="AL42" t="s">
        <v>18</v>
      </c>
      <c r="AM42" t="s">
        <v>18</v>
      </c>
      <c r="AN42" t="s">
        <v>18</v>
      </c>
      <c r="AO42" t="s">
        <v>18</v>
      </c>
      <c r="AR42" s="7">
        <v>23</v>
      </c>
      <c r="AS42" s="56"/>
      <c r="AT42" s="23">
        <f t="shared" si="0"/>
        <v>1.2845432382000008</v>
      </c>
      <c r="AU42" s="23">
        <f t="shared" si="1"/>
        <v>387.8271657125</v>
      </c>
    </row>
    <row r="43" spans="1:47" customFormat="1" ht="14.4" x14ac:dyDescent="0.3">
      <c r="A43">
        <v>57</v>
      </c>
      <c r="B43" t="s">
        <v>148</v>
      </c>
      <c r="C43" s="20">
        <v>43710.693437499998</v>
      </c>
      <c r="D43" t="s">
        <v>25</v>
      </c>
      <c r="E43" t="s">
        <v>17</v>
      </c>
      <c r="F43">
        <v>0</v>
      </c>
      <c r="G43">
        <v>6.0940000000000003</v>
      </c>
      <c r="H43" s="12">
        <v>1586</v>
      </c>
      <c r="I43">
        <v>1.645</v>
      </c>
      <c r="J43" t="s">
        <v>18</v>
      </c>
      <c r="K43" t="s">
        <v>18</v>
      </c>
      <c r="L43" t="s">
        <v>18</v>
      </c>
      <c r="M43" t="s">
        <v>18</v>
      </c>
      <c r="O43">
        <v>57</v>
      </c>
      <c r="P43" t="s">
        <v>148</v>
      </c>
      <c r="Q43" s="20">
        <v>43710.693437499998</v>
      </c>
      <c r="R43" t="s">
        <v>25</v>
      </c>
      <c r="S43" t="s">
        <v>17</v>
      </c>
      <c r="T43">
        <v>0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C43">
        <v>57</v>
      </c>
      <c r="AD43" t="s">
        <v>148</v>
      </c>
      <c r="AE43" s="20">
        <v>43710.693437499998</v>
      </c>
      <c r="AF43" t="s">
        <v>25</v>
      </c>
      <c r="AG43" t="s">
        <v>17</v>
      </c>
      <c r="AH43">
        <v>0</v>
      </c>
      <c r="AI43">
        <v>12.207000000000001</v>
      </c>
      <c r="AJ43" s="12">
        <v>2034</v>
      </c>
      <c r="AK43">
        <v>410.01299999999998</v>
      </c>
      <c r="AL43" t="s">
        <v>18</v>
      </c>
      <c r="AM43" t="s">
        <v>18</v>
      </c>
      <c r="AN43" t="s">
        <v>18</v>
      </c>
      <c r="AO43" t="s">
        <v>18</v>
      </c>
      <c r="AR43" s="7">
        <v>24</v>
      </c>
      <c r="AT43" s="23">
        <f t="shared" si="0"/>
        <v>0.94335275896800042</v>
      </c>
      <c r="AU43" s="23">
        <f t="shared" si="1"/>
        <v>419.98157639495992</v>
      </c>
    </row>
    <row r="44" spans="1:47" customFormat="1" ht="14.4" x14ac:dyDescent="0.3">
      <c r="A44">
        <v>59</v>
      </c>
      <c r="B44" t="s">
        <v>149</v>
      </c>
      <c r="C44" s="20">
        <v>43713.359664351854</v>
      </c>
      <c r="D44" t="s">
        <v>25</v>
      </c>
      <c r="E44" t="s">
        <v>17</v>
      </c>
      <c r="F44">
        <v>0</v>
      </c>
      <c r="G44">
        <v>6.0869999999999997</v>
      </c>
      <c r="H44" s="12">
        <v>2155</v>
      </c>
      <c r="I44">
        <v>2.9409999999999998</v>
      </c>
      <c r="J44" t="s">
        <v>18</v>
      </c>
      <c r="K44" t="s">
        <v>18</v>
      </c>
      <c r="L44" t="s">
        <v>18</v>
      </c>
      <c r="M44" t="s">
        <v>18</v>
      </c>
      <c r="O44">
        <v>59</v>
      </c>
      <c r="P44" t="s">
        <v>149</v>
      </c>
      <c r="Q44" s="20">
        <v>43713.359664351854</v>
      </c>
      <c r="R44" t="s">
        <v>25</v>
      </c>
      <c r="S44" t="s">
        <v>17</v>
      </c>
      <c r="T44">
        <v>0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C44">
        <v>59</v>
      </c>
      <c r="AD44" t="s">
        <v>149</v>
      </c>
      <c r="AE44" s="20">
        <v>43713.359664351854</v>
      </c>
      <c r="AF44" t="s">
        <v>25</v>
      </c>
      <c r="AG44" t="s">
        <v>17</v>
      </c>
      <c r="AH44">
        <v>0</v>
      </c>
      <c r="AI44">
        <v>12.215</v>
      </c>
      <c r="AJ44" s="12">
        <v>2215</v>
      </c>
      <c r="AK44">
        <v>441.24900000000002</v>
      </c>
      <c r="AL44" t="s">
        <v>18</v>
      </c>
      <c r="AM44" t="s">
        <v>18</v>
      </c>
      <c r="AN44" t="s">
        <v>18</v>
      </c>
      <c r="AO44" t="s">
        <v>18</v>
      </c>
      <c r="AR44" s="7">
        <v>25</v>
      </c>
      <c r="AT44" s="23">
        <f t="shared" si="0"/>
        <v>2.2935985659500004</v>
      </c>
      <c r="AU44" s="23">
        <f t="shared" si="1"/>
        <v>447.82911280849999</v>
      </c>
    </row>
    <row r="45" spans="1:47" customFormat="1" ht="14.4" x14ac:dyDescent="0.3">
      <c r="A45">
        <v>22</v>
      </c>
      <c r="B45" t="s">
        <v>150</v>
      </c>
      <c r="C45" s="20">
        <v>43725.396747685183</v>
      </c>
      <c r="D45" t="s">
        <v>25</v>
      </c>
      <c r="E45" t="s">
        <v>17</v>
      </c>
      <c r="F45">
        <v>0</v>
      </c>
      <c r="G45">
        <v>6.0659999999999998</v>
      </c>
      <c r="H45" s="12">
        <v>2169</v>
      </c>
      <c r="I45">
        <v>2.9710000000000001</v>
      </c>
      <c r="J45" t="s">
        <v>18</v>
      </c>
      <c r="K45" t="s">
        <v>18</v>
      </c>
      <c r="L45" t="s">
        <v>18</v>
      </c>
      <c r="M45" t="s">
        <v>18</v>
      </c>
      <c r="O45">
        <v>22</v>
      </c>
      <c r="P45" t="s">
        <v>150</v>
      </c>
      <c r="Q45" s="20">
        <v>43725.396747685183</v>
      </c>
      <c r="R45" t="s">
        <v>25</v>
      </c>
      <c r="S45" t="s">
        <v>17</v>
      </c>
      <c r="T45">
        <v>0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C45">
        <v>22</v>
      </c>
      <c r="AD45" t="s">
        <v>150</v>
      </c>
      <c r="AE45" s="20">
        <v>43725.396747685183</v>
      </c>
      <c r="AF45" t="s">
        <v>25</v>
      </c>
      <c r="AG45" t="s">
        <v>17</v>
      </c>
      <c r="AH45">
        <v>0</v>
      </c>
      <c r="AI45">
        <v>12.202999999999999</v>
      </c>
      <c r="AJ45" s="12">
        <v>2572</v>
      </c>
      <c r="AK45">
        <v>502.67399999999998</v>
      </c>
      <c r="AL45" t="s">
        <v>18</v>
      </c>
      <c r="AM45" t="s">
        <v>18</v>
      </c>
      <c r="AN45" t="s">
        <v>18</v>
      </c>
      <c r="AO45" t="s">
        <v>18</v>
      </c>
      <c r="AR45" s="7">
        <v>26</v>
      </c>
      <c r="AS45" s="56"/>
      <c r="AT45" s="23">
        <f t="shared" si="0"/>
        <v>2.3268906330380008</v>
      </c>
      <c r="AU45" s="23">
        <f t="shared" si="1"/>
        <v>502.75734822944003</v>
      </c>
    </row>
    <row r="46" spans="1:47" customFormat="1" ht="14.4" x14ac:dyDescent="0.3">
      <c r="A46">
        <v>63</v>
      </c>
      <c r="B46" t="s">
        <v>151</v>
      </c>
      <c r="C46" s="20">
        <v>43731.419814814813</v>
      </c>
      <c r="D46" t="s">
        <v>25</v>
      </c>
      <c r="E46" t="s">
        <v>17</v>
      </c>
      <c r="F46">
        <v>0</v>
      </c>
      <c r="G46">
        <v>6.0830000000000002</v>
      </c>
      <c r="H46" s="12">
        <v>1924</v>
      </c>
      <c r="I46">
        <v>2.415</v>
      </c>
      <c r="J46" t="s">
        <v>18</v>
      </c>
      <c r="K46" t="s">
        <v>18</v>
      </c>
      <c r="L46" t="s">
        <v>18</v>
      </c>
      <c r="M46" t="s">
        <v>18</v>
      </c>
      <c r="O46">
        <v>63</v>
      </c>
      <c r="P46" t="s">
        <v>151</v>
      </c>
      <c r="Q46" s="20">
        <v>43731.419814814813</v>
      </c>
      <c r="R46" t="s">
        <v>25</v>
      </c>
      <c r="S46" t="s">
        <v>17</v>
      </c>
      <c r="T46">
        <v>0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C46">
        <v>63</v>
      </c>
      <c r="AD46" t="s">
        <v>151</v>
      </c>
      <c r="AE46" s="20">
        <v>43731.419814814813</v>
      </c>
      <c r="AF46" t="s">
        <v>25</v>
      </c>
      <c r="AG46" t="s">
        <v>17</v>
      </c>
      <c r="AH46">
        <v>0</v>
      </c>
      <c r="AI46">
        <v>12.22</v>
      </c>
      <c r="AJ46" s="12">
        <v>2770</v>
      </c>
      <c r="AK46">
        <v>536.84299999999996</v>
      </c>
      <c r="AL46" t="s">
        <v>18</v>
      </c>
      <c r="AM46" t="s">
        <v>18</v>
      </c>
      <c r="AN46" t="s">
        <v>18</v>
      </c>
      <c r="AO46" t="s">
        <v>18</v>
      </c>
      <c r="AR46" s="7">
        <v>27</v>
      </c>
      <c r="AT46" s="23">
        <f t="shared" si="0"/>
        <v>1.7447637990080005</v>
      </c>
      <c r="AU46" s="23">
        <f t="shared" si="1"/>
        <v>533.22313891399995</v>
      </c>
    </row>
    <row r="47" spans="1:47" customFormat="1" ht="14.4" x14ac:dyDescent="0.3">
      <c r="A47">
        <v>65</v>
      </c>
      <c r="B47" t="s">
        <v>152</v>
      </c>
      <c r="C47" s="20">
        <v>43738.392766203702</v>
      </c>
      <c r="D47" t="s">
        <v>25</v>
      </c>
      <c r="E47" t="s">
        <v>17</v>
      </c>
      <c r="F47">
        <v>0</v>
      </c>
      <c r="G47">
        <v>6.085</v>
      </c>
      <c r="H47" s="12">
        <v>2329</v>
      </c>
      <c r="I47">
        <v>3.3370000000000002</v>
      </c>
      <c r="J47" t="s">
        <v>18</v>
      </c>
      <c r="K47" t="s">
        <v>18</v>
      </c>
      <c r="L47" t="s">
        <v>18</v>
      </c>
      <c r="M47" t="s">
        <v>18</v>
      </c>
      <c r="O47">
        <v>65</v>
      </c>
      <c r="P47" t="s">
        <v>152</v>
      </c>
      <c r="Q47" s="20">
        <v>43738.392766203702</v>
      </c>
      <c r="R47" t="s">
        <v>25</v>
      </c>
      <c r="S47" t="s">
        <v>17</v>
      </c>
      <c r="T47">
        <v>0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C47">
        <v>65</v>
      </c>
      <c r="AD47" t="s">
        <v>152</v>
      </c>
      <c r="AE47" s="20">
        <v>43738.392766203702</v>
      </c>
      <c r="AF47" t="s">
        <v>25</v>
      </c>
      <c r="AG47" t="s">
        <v>17</v>
      </c>
      <c r="AH47">
        <v>0</v>
      </c>
      <c r="AI47">
        <v>12.222</v>
      </c>
      <c r="AJ47" s="12">
        <v>2201</v>
      </c>
      <c r="AK47">
        <v>438.78699999999998</v>
      </c>
      <c r="AL47" t="s">
        <v>18</v>
      </c>
      <c r="AM47" t="s">
        <v>18</v>
      </c>
      <c r="AN47" t="s">
        <v>18</v>
      </c>
      <c r="AO47" t="s">
        <v>18</v>
      </c>
      <c r="AR47" s="7">
        <v>28</v>
      </c>
      <c r="AT47" s="23">
        <f t="shared" si="0"/>
        <v>2.7076096544780008</v>
      </c>
      <c r="AU47" s="23">
        <f t="shared" si="1"/>
        <v>445.67513011665994</v>
      </c>
    </row>
    <row r="48" spans="1:47" customFormat="1" ht="14.4" x14ac:dyDescent="0.3">
      <c r="A48">
        <v>67</v>
      </c>
      <c r="B48" t="s">
        <v>153</v>
      </c>
      <c r="C48" s="20">
        <v>43745.365636574075</v>
      </c>
      <c r="D48" t="s">
        <v>25</v>
      </c>
      <c r="E48" t="s">
        <v>17</v>
      </c>
      <c r="F48">
        <v>0</v>
      </c>
      <c r="G48">
        <v>6.117</v>
      </c>
      <c r="H48" s="12">
        <v>1809</v>
      </c>
      <c r="I48">
        <v>2.153</v>
      </c>
      <c r="J48" t="s">
        <v>18</v>
      </c>
      <c r="K48" t="s">
        <v>18</v>
      </c>
      <c r="L48" t="s">
        <v>18</v>
      </c>
      <c r="M48" t="s">
        <v>18</v>
      </c>
      <c r="O48">
        <v>67</v>
      </c>
      <c r="P48" t="s">
        <v>153</v>
      </c>
      <c r="Q48" s="20">
        <v>43745.365636574075</v>
      </c>
      <c r="R48" t="s">
        <v>25</v>
      </c>
      <c r="S48" t="s">
        <v>17</v>
      </c>
      <c r="T48">
        <v>0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C48">
        <v>67</v>
      </c>
      <c r="AD48" t="s">
        <v>153</v>
      </c>
      <c r="AE48" s="20">
        <v>43745.365636574075</v>
      </c>
      <c r="AF48" t="s">
        <v>25</v>
      </c>
      <c r="AG48" t="s">
        <v>17</v>
      </c>
      <c r="AH48">
        <v>0</v>
      </c>
      <c r="AI48">
        <v>12.244</v>
      </c>
      <c r="AJ48" s="12">
        <v>2374</v>
      </c>
      <c r="AK48">
        <v>468.63900000000001</v>
      </c>
      <c r="AL48" t="s">
        <v>18</v>
      </c>
      <c r="AM48" t="s">
        <v>18</v>
      </c>
      <c r="AN48" t="s">
        <v>18</v>
      </c>
      <c r="AO48" t="s">
        <v>18</v>
      </c>
      <c r="AR48" s="7">
        <v>29</v>
      </c>
      <c r="AS48" s="56"/>
      <c r="AT48" s="23">
        <f t="shared" si="0"/>
        <v>1.471874892398001</v>
      </c>
      <c r="AU48" s="23">
        <f t="shared" si="1"/>
        <v>472.29255019016</v>
      </c>
    </row>
    <row r="49" spans="1:59" customFormat="1" ht="14.4" x14ac:dyDescent="0.3">
      <c r="A49">
        <v>20</v>
      </c>
      <c r="B49" t="s">
        <v>154</v>
      </c>
      <c r="C49" s="20">
        <v>43747.433749999997</v>
      </c>
      <c r="D49" t="s">
        <v>25</v>
      </c>
      <c r="E49" t="s">
        <v>17</v>
      </c>
      <c r="F49">
        <v>0</v>
      </c>
      <c r="G49">
        <v>6.1260000000000003</v>
      </c>
      <c r="H49" s="12">
        <v>2430</v>
      </c>
      <c r="I49">
        <v>3.5670000000000002</v>
      </c>
      <c r="J49" t="s">
        <v>18</v>
      </c>
      <c r="K49" t="s">
        <v>18</v>
      </c>
      <c r="L49" t="s">
        <v>18</v>
      </c>
      <c r="M49" t="s">
        <v>18</v>
      </c>
      <c r="O49">
        <v>20</v>
      </c>
      <c r="P49" t="s">
        <v>154</v>
      </c>
      <c r="Q49" s="20">
        <v>43747.433749999997</v>
      </c>
      <c r="R49" t="s">
        <v>25</v>
      </c>
      <c r="S49" t="s">
        <v>17</v>
      </c>
      <c r="T49">
        <v>0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C49">
        <v>20</v>
      </c>
      <c r="AD49" t="s">
        <v>154</v>
      </c>
      <c r="AE49" s="20">
        <v>43747.433749999997</v>
      </c>
      <c r="AF49" t="s">
        <v>25</v>
      </c>
      <c r="AG49" t="s">
        <v>17</v>
      </c>
      <c r="AH49">
        <v>0</v>
      </c>
      <c r="AI49">
        <v>12.21</v>
      </c>
      <c r="AJ49" s="12">
        <v>3207</v>
      </c>
      <c r="AK49">
        <v>612.20699999999999</v>
      </c>
      <c r="AL49" t="s">
        <v>18</v>
      </c>
      <c r="AM49" t="s">
        <v>18</v>
      </c>
      <c r="AN49" t="s">
        <v>18</v>
      </c>
      <c r="AO49" t="s">
        <v>18</v>
      </c>
      <c r="AR49" s="7">
        <v>30</v>
      </c>
      <c r="AT49" s="23">
        <f t="shared" si="0"/>
        <v>2.9481641342000011</v>
      </c>
      <c r="AU49" s="23">
        <f t="shared" si="1"/>
        <v>600.46680618834</v>
      </c>
    </row>
    <row r="50" spans="1:59" customFormat="1" ht="14.4" x14ac:dyDescent="0.3">
      <c r="A50">
        <v>69</v>
      </c>
      <c r="B50" t="s">
        <v>155</v>
      </c>
      <c r="C50" s="20">
        <v>43752.377430555556</v>
      </c>
      <c r="D50" t="s">
        <v>25</v>
      </c>
      <c r="E50" t="s">
        <v>17</v>
      </c>
      <c r="F50">
        <v>0</v>
      </c>
      <c r="G50">
        <v>6.2510000000000003</v>
      </c>
      <c r="H50" s="12">
        <v>1985</v>
      </c>
      <c r="I50">
        <v>2.5539999999999998</v>
      </c>
      <c r="J50" t="s">
        <v>18</v>
      </c>
      <c r="K50" t="s">
        <v>18</v>
      </c>
      <c r="L50" t="s">
        <v>18</v>
      </c>
      <c r="M50" t="s">
        <v>18</v>
      </c>
      <c r="O50">
        <v>69</v>
      </c>
      <c r="P50" t="s">
        <v>155</v>
      </c>
      <c r="Q50" s="20">
        <v>43752.377430555556</v>
      </c>
      <c r="R50" t="s">
        <v>25</v>
      </c>
      <c r="S50" t="s">
        <v>17</v>
      </c>
      <c r="T50">
        <v>0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C50">
        <v>69</v>
      </c>
      <c r="AD50" t="s">
        <v>155</v>
      </c>
      <c r="AE50" s="20">
        <v>43752.377430555556</v>
      </c>
      <c r="AF50" t="s">
        <v>25</v>
      </c>
      <c r="AG50" t="s">
        <v>17</v>
      </c>
      <c r="AH50">
        <v>0</v>
      </c>
      <c r="AI50">
        <v>12.243</v>
      </c>
      <c r="AJ50" s="12">
        <v>1641</v>
      </c>
      <c r="AK50">
        <v>342.29300000000001</v>
      </c>
      <c r="AL50" t="s">
        <v>18</v>
      </c>
      <c r="AM50" t="s">
        <v>18</v>
      </c>
      <c r="AN50" t="s">
        <v>18</v>
      </c>
      <c r="AO50" t="s">
        <v>18</v>
      </c>
      <c r="AR50" s="7">
        <v>31</v>
      </c>
      <c r="AT50" s="23">
        <f t="shared" si="0"/>
        <v>1.8896054455500004</v>
      </c>
      <c r="AU50" s="23">
        <f t="shared" si="1"/>
        <v>359.51989187345998</v>
      </c>
    </row>
    <row r="51" spans="1:59" customFormat="1" ht="14.4" x14ac:dyDescent="0.3">
      <c r="A51">
        <v>71</v>
      </c>
      <c r="B51" t="s">
        <v>156</v>
      </c>
      <c r="C51" s="20">
        <v>43755.388819444444</v>
      </c>
      <c r="D51" t="s">
        <v>25</v>
      </c>
      <c r="E51" t="s">
        <v>17</v>
      </c>
      <c r="F51">
        <v>0</v>
      </c>
      <c r="G51">
        <v>6.1239999999999997</v>
      </c>
      <c r="H51" s="12">
        <v>2377</v>
      </c>
      <c r="I51">
        <v>3.4449999999999998</v>
      </c>
      <c r="J51" t="s">
        <v>18</v>
      </c>
      <c r="K51" t="s">
        <v>18</v>
      </c>
      <c r="L51" t="s">
        <v>18</v>
      </c>
      <c r="M51" t="s">
        <v>18</v>
      </c>
      <c r="O51">
        <v>71</v>
      </c>
      <c r="P51" t="s">
        <v>156</v>
      </c>
      <c r="Q51" s="20">
        <v>43755.388819444444</v>
      </c>
      <c r="R51" t="s">
        <v>25</v>
      </c>
      <c r="S51" t="s">
        <v>17</v>
      </c>
      <c r="T51">
        <v>0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C51">
        <v>71</v>
      </c>
      <c r="AD51" t="s">
        <v>156</v>
      </c>
      <c r="AE51" s="20">
        <v>43755.388819444444</v>
      </c>
      <c r="AF51" t="s">
        <v>25</v>
      </c>
      <c r="AG51" t="s">
        <v>17</v>
      </c>
      <c r="AH51">
        <v>0</v>
      </c>
      <c r="AI51">
        <v>12.254</v>
      </c>
      <c r="AJ51" s="12">
        <v>2102</v>
      </c>
      <c r="AK51">
        <v>421.63499999999999</v>
      </c>
      <c r="AL51" t="s">
        <v>18</v>
      </c>
      <c r="AM51" t="s">
        <v>18</v>
      </c>
      <c r="AN51" t="s">
        <v>18</v>
      </c>
      <c r="AO51" t="s">
        <v>18</v>
      </c>
      <c r="AR51" s="7">
        <v>32</v>
      </c>
      <c r="AS51" s="56"/>
      <c r="AT51" s="23">
        <f t="shared" si="0"/>
        <v>2.8219108039820004</v>
      </c>
      <c r="AU51" s="23">
        <f t="shared" si="1"/>
        <v>430.44353699464</v>
      </c>
    </row>
    <row r="52" spans="1:59" customFormat="1" ht="14.4" x14ac:dyDescent="0.3">
      <c r="A52">
        <v>75</v>
      </c>
      <c r="B52" t="s">
        <v>157</v>
      </c>
      <c r="C52" s="20">
        <v>43759.360185185185</v>
      </c>
      <c r="D52" t="s">
        <v>25</v>
      </c>
      <c r="E52" t="s">
        <v>17</v>
      </c>
      <c r="F52">
        <v>0</v>
      </c>
      <c r="G52">
        <v>6.1070000000000002</v>
      </c>
      <c r="H52" s="12">
        <v>2563</v>
      </c>
      <c r="I52">
        <v>3.8690000000000002</v>
      </c>
      <c r="J52" t="s">
        <v>18</v>
      </c>
      <c r="K52" t="s">
        <v>18</v>
      </c>
      <c r="L52" t="s">
        <v>18</v>
      </c>
      <c r="M52" t="s">
        <v>18</v>
      </c>
      <c r="O52">
        <v>75</v>
      </c>
      <c r="P52" t="s">
        <v>157</v>
      </c>
      <c r="Q52" s="20">
        <v>43759.360185185185</v>
      </c>
      <c r="R52" t="s">
        <v>25</v>
      </c>
      <c r="S52" t="s">
        <v>17</v>
      </c>
      <c r="T52">
        <v>0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C52">
        <v>75</v>
      </c>
      <c r="AD52" t="s">
        <v>157</v>
      </c>
      <c r="AE52" s="20">
        <v>43759.360185185185</v>
      </c>
      <c r="AF52" t="s">
        <v>25</v>
      </c>
      <c r="AG52" t="s">
        <v>17</v>
      </c>
      <c r="AH52">
        <v>0</v>
      </c>
      <c r="AI52">
        <v>12.238</v>
      </c>
      <c r="AJ52" s="12">
        <v>2078</v>
      </c>
      <c r="AK52">
        <v>417.54500000000002</v>
      </c>
      <c r="AL52" t="s">
        <v>18</v>
      </c>
      <c r="AM52" t="s">
        <v>18</v>
      </c>
      <c r="AN52" t="s">
        <v>18</v>
      </c>
      <c r="AO52" t="s">
        <v>18</v>
      </c>
      <c r="AR52" s="7">
        <v>33</v>
      </c>
      <c r="AT52" s="23">
        <f t="shared" si="0"/>
        <v>3.2652002367020008</v>
      </c>
      <c r="AU52" s="23">
        <f t="shared" si="1"/>
        <v>426.75106694343992</v>
      </c>
    </row>
    <row r="53" spans="1:59" customFormat="1" ht="14.4" x14ac:dyDescent="0.3">
      <c r="A53">
        <v>18</v>
      </c>
      <c r="B53" t="s">
        <v>158</v>
      </c>
      <c r="C53" s="20">
        <v>43761.448819444442</v>
      </c>
      <c r="D53" t="s">
        <v>25</v>
      </c>
      <c r="E53" t="s">
        <v>17</v>
      </c>
      <c r="F53">
        <v>0</v>
      </c>
      <c r="G53">
        <v>6.1779999999999999</v>
      </c>
      <c r="H53" s="12">
        <v>2002</v>
      </c>
      <c r="I53">
        <v>2.593</v>
      </c>
      <c r="J53" t="s">
        <v>18</v>
      </c>
      <c r="K53" t="s">
        <v>18</v>
      </c>
      <c r="L53" t="s">
        <v>18</v>
      </c>
      <c r="M53" t="s">
        <v>18</v>
      </c>
      <c r="O53">
        <v>18</v>
      </c>
      <c r="P53" t="s">
        <v>158</v>
      </c>
      <c r="Q53" s="20">
        <v>43761.448819444442</v>
      </c>
      <c r="R53" t="s">
        <v>25</v>
      </c>
      <c r="S53" t="s">
        <v>17</v>
      </c>
      <c r="T53">
        <v>0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C53">
        <v>18</v>
      </c>
      <c r="AD53" t="s">
        <v>158</v>
      </c>
      <c r="AE53" s="20">
        <v>43761.448819444442</v>
      </c>
      <c r="AF53" t="s">
        <v>25</v>
      </c>
      <c r="AG53" t="s">
        <v>17</v>
      </c>
      <c r="AH53">
        <v>0</v>
      </c>
      <c r="AI53">
        <v>12.257999999999999</v>
      </c>
      <c r="AJ53" s="12">
        <v>1780</v>
      </c>
      <c r="AK53">
        <v>366.178</v>
      </c>
      <c r="AL53" t="s">
        <v>18</v>
      </c>
      <c r="AM53" t="s">
        <v>18</v>
      </c>
      <c r="AN53" t="s">
        <v>18</v>
      </c>
      <c r="AO53" t="s">
        <v>18</v>
      </c>
      <c r="AR53" s="7">
        <v>34</v>
      </c>
      <c r="AT53" s="23">
        <f t="shared" si="0"/>
        <v>1.929982498232</v>
      </c>
      <c r="AU53" s="23">
        <f t="shared" si="1"/>
        <v>380.90411194399996</v>
      </c>
    </row>
    <row r="54" spans="1:59" customFormat="1" ht="14.4" x14ac:dyDescent="0.3">
      <c r="A54">
        <v>29</v>
      </c>
      <c r="B54" t="s">
        <v>159</v>
      </c>
      <c r="C54" s="20">
        <v>43762.734317129631</v>
      </c>
      <c r="D54" t="s">
        <v>25</v>
      </c>
      <c r="E54" t="s">
        <v>17</v>
      </c>
      <c r="F54">
        <v>0</v>
      </c>
      <c r="G54">
        <v>6.165</v>
      </c>
      <c r="H54" s="12">
        <v>2250</v>
      </c>
      <c r="I54">
        <v>3.1560000000000001</v>
      </c>
      <c r="J54" t="s">
        <v>18</v>
      </c>
      <c r="K54" t="s">
        <v>18</v>
      </c>
      <c r="L54" t="s">
        <v>18</v>
      </c>
      <c r="M54" t="s">
        <v>18</v>
      </c>
      <c r="O54">
        <v>29</v>
      </c>
      <c r="P54" t="s">
        <v>159</v>
      </c>
      <c r="Q54" s="20">
        <v>43762.734317129631</v>
      </c>
      <c r="R54" t="s">
        <v>25</v>
      </c>
      <c r="S54" t="s">
        <v>17</v>
      </c>
      <c r="T54">
        <v>0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C54">
        <v>29</v>
      </c>
      <c r="AD54" t="s">
        <v>159</v>
      </c>
      <c r="AE54" s="20">
        <v>43762.734317129631</v>
      </c>
      <c r="AF54" t="s">
        <v>25</v>
      </c>
      <c r="AG54" t="s">
        <v>17</v>
      </c>
      <c r="AH54">
        <v>0</v>
      </c>
      <c r="AI54">
        <v>12.262</v>
      </c>
      <c r="AJ54" s="12">
        <v>2060</v>
      </c>
      <c r="AK54">
        <v>414.48700000000002</v>
      </c>
      <c r="AL54" t="s">
        <v>18</v>
      </c>
      <c r="AM54" t="s">
        <v>18</v>
      </c>
      <c r="AN54" t="s">
        <v>18</v>
      </c>
      <c r="AO54" t="s">
        <v>18</v>
      </c>
      <c r="AR54" s="7">
        <v>35</v>
      </c>
      <c r="AS54" s="56"/>
      <c r="AT54" s="23">
        <f t="shared" si="0"/>
        <v>2.5195748750000004</v>
      </c>
      <c r="AU54" s="23">
        <f t="shared" si="1"/>
        <v>423.98172397600001</v>
      </c>
    </row>
    <row r="55" spans="1:59" customFormat="1" ht="14.4" x14ac:dyDescent="0.3">
      <c r="A55">
        <v>25</v>
      </c>
      <c r="B55" t="s">
        <v>160</v>
      </c>
      <c r="C55" s="20">
        <v>43781.379062499997</v>
      </c>
      <c r="D55" t="s">
        <v>25</v>
      </c>
      <c r="E55" t="s">
        <v>17</v>
      </c>
      <c r="F55">
        <v>0</v>
      </c>
      <c r="G55">
        <v>6.1879999999999997</v>
      </c>
      <c r="H55" s="12">
        <v>1821</v>
      </c>
      <c r="I55">
        <v>2.1789999999999998</v>
      </c>
      <c r="J55" t="s">
        <v>18</v>
      </c>
      <c r="K55" t="s">
        <v>18</v>
      </c>
      <c r="L55" t="s">
        <v>18</v>
      </c>
      <c r="M55" t="s">
        <v>18</v>
      </c>
      <c r="O55">
        <v>25</v>
      </c>
      <c r="P55" t="s">
        <v>160</v>
      </c>
      <c r="Q55" s="20">
        <v>43781.379062499997</v>
      </c>
      <c r="R55" t="s">
        <v>25</v>
      </c>
      <c r="S55" t="s">
        <v>17</v>
      </c>
      <c r="T55">
        <v>0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C55">
        <v>25</v>
      </c>
      <c r="AD55" t="s">
        <v>160</v>
      </c>
      <c r="AE55" s="20">
        <v>43781.379062499997</v>
      </c>
      <c r="AF55" t="s">
        <v>25</v>
      </c>
      <c r="AG55" t="s">
        <v>17</v>
      </c>
      <c r="AH55">
        <v>0</v>
      </c>
      <c r="AI55">
        <v>12.275</v>
      </c>
      <c r="AJ55" s="12">
        <v>1503</v>
      </c>
      <c r="AK55">
        <v>318.41300000000001</v>
      </c>
      <c r="AL55" t="s">
        <v>18</v>
      </c>
      <c r="AM55" t="s">
        <v>18</v>
      </c>
      <c r="AN55" t="s">
        <v>18</v>
      </c>
      <c r="AO55" t="s">
        <v>18</v>
      </c>
      <c r="AR55" s="7">
        <v>36</v>
      </c>
      <c r="AT55" s="23">
        <f t="shared" si="0"/>
        <v>1.5003396788780008</v>
      </c>
      <c r="AU55" s="23">
        <f t="shared" si="1"/>
        <v>338.28999905393999</v>
      </c>
    </row>
    <row r="56" spans="1:59" customFormat="1" ht="14.4" x14ac:dyDescent="0.3">
      <c r="A56">
        <v>23</v>
      </c>
      <c r="B56" t="s">
        <v>161</v>
      </c>
      <c r="C56" s="20">
        <v>43784.775092592594</v>
      </c>
      <c r="D56" t="s">
        <v>25</v>
      </c>
      <c r="E56" t="s">
        <v>17</v>
      </c>
      <c r="F56">
        <v>0</v>
      </c>
      <c r="G56">
        <v>6.1779999999999999</v>
      </c>
      <c r="H56" s="12">
        <v>2200</v>
      </c>
      <c r="I56">
        <v>3.0419999999999998</v>
      </c>
      <c r="J56" t="s">
        <v>18</v>
      </c>
      <c r="K56" t="s">
        <v>18</v>
      </c>
      <c r="L56" t="s">
        <v>18</v>
      </c>
      <c r="M56" t="s">
        <v>18</v>
      </c>
      <c r="O56">
        <v>23</v>
      </c>
      <c r="P56" t="s">
        <v>161</v>
      </c>
      <c r="Q56" s="20">
        <v>43784.775092592594</v>
      </c>
      <c r="R56" t="s">
        <v>25</v>
      </c>
      <c r="S56" t="s">
        <v>17</v>
      </c>
      <c r="T56">
        <v>0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C56">
        <v>23</v>
      </c>
      <c r="AD56" t="s">
        <v>161</v>
      </c>
      <c r="AE56" s="20">
        <v>43784.775092592594</v>
      </c>
      <c r="AF56" t="s">
        <v>25</v>
      </c>
      <c r="AG56" t="s">
        <v>17</v>
      </c>
      <c r="AH56">
        <v>0</v>
      </c>
      <c r="AI56">
        <v>12.295999999999999</v>
      </c>
      <c r="AJ56" s="12">
        <v>1725</v>
      </c>
      <c r="AK56">
        <v>356.70299999999997</v>
      </c>
      <c r="AL56" t="s">
        <v>18</v>
      </c>
      <c r="AM56" t="s">
        <v>18</v>
      </c>
      <c r="AN56" t="s">
        <v>18</v>
      </c>
      <c r="AO56" t="s">
        <v>18</v>
      </c>
      <c r="AR56" s="7">
        <v>37</v>
      </c>
      <c r="AT56" s="23">
        <f t="shared" si="0"/>
        <v>2.4006207200000005</v>
      </c>
      <c r="AU56" s="23">
        <f t="shared" si="1"/>
        <v>372.44267141249998</v>
      </c>
    </row>
    <row r="57" spans="1:59" customFormat="1" ht="14.4" x14ac:dyDescent="0.3">
      <c r="A57">
        <v>21</v>
      </c>
      <c r="B57" t="s">
        <v>162</v>
      </c>
      <c r="C57" s="20">
        <v>43790.362037037034</v>
      </c>
      <c r="D57" t="s">
        <v>25</v>
      </c>
      <c r="E57" t="s">
        <v>17</v>
      </c>
      <c r="F57">
        <v>0</v>
      </c>
      <c r="G57">
        <v>6.0979999999999999</v>
      </c>
      <c r="H57" s="12">
        <v>2528</v>
      </c>
      <c r="I57">
        <v>3.79</v>
      </c>
      <c r="J57" t="s">
        <v>18</v>
      </c>
      <c r="K57" t="s">
        <v>18</v>
      </c>
      <c r="L57" t="s">
        <v>18</v>
      </c>
      <c r="M57" t="s">
        <v>18</v>
      </c>
      <c r="O57">
        <v>21</v>
      </c>
      <c r="P57" t="s">
        <v>162</v>
      </c>
      <c r="Q57" s="20">
        <v>43790.362037037034</v>
      </c>
      <c r="R57" t="s">
        <v>25</v>
      </c>
      <c r="S57" t="s">
        <v>17</v>
      </c>
      <c r="T57">
        <v>0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C57">
        <v>21</v>
      </c>
      <c r="AD57" t="s">
        <v>162</v>
      </c>
      <c r="AE57" s="20">
        <v>43790.362037037034</v>
      </c>
      <c r="AF57" t="s">
        <v>25</v>
      </c>
      <c r="AG57" t="s">
        <v>17</v>
      </c>
      <c r="AH57">
        <v>0</v>
      </c>
      <c r="AI57">
        <v>12.244</v>
      </c>
      <c r="AJ57" s="12">
        <v>2134</v>
      </c>
      <c r="AK57">
        <v>427.26900000000001</v>
      </c>
      <c r="AL57" t="s">
        <v>18</v>
      </c>
      <c r="AM57" t="s">
        <v>18</v>
      </c>
      <c r="AN57" t="s">
        <v>18</v>
      </c>
      <c r="AO57" t="s">
        <v>18</v>
      </c>
      <c r="AR57" s="7">
        <v>38</v>
      </c>
      <c r="AS57" s="56"/>
      <c r="AT57" s="23">
        <f t="shared" si="0"/>
        <v>3.1817403294720008</v>
      </c>
      <c r="AU57" s="23">
        <f t="shared" si="1"/>
        <v>435.36685308296001</v>
      </c>
    </row>
    <row r="58" spans="1:59" customFormat="1" ht="14.4" x14ac:dyDescent="0.3">
      <c r="A58" s="65"/>
      <c r="C58" s="20"/>
      <c r="H58" s="12"/>
      <c r="L58" s="17"/>
      <c r="Q58" s="20"/>
      <c r="V58" s="12"/>
      <c r="AE58" s="20"/>
      <c r="AJ58" s="12"/>
    </row>
    <row r="59" spans="1:59" customFormat="1" ht="14.4" x14ac:dyDescent="0.3">
      <c r="A59" s="65"/>
      <c r="C59" s="20"/>
      <c r="H59" s="12"/>
      <c r="L59" s="17"/>
      <c r="Q59" s="20"/>
      <c r="V59" s="12"/>
      <c r="AE59" s="20"/>
      <c r="AJ59" s="12"/>
    </row>
    <row r="60" spans="1:59" customFormat="1" ht="14.4" x14ac:dyDescent="0.3">
      <c r="A60" s="65"/>
      <c r="C60" s="20"/>
      <c r="H60" s="12"/>
      <c r="L60" s="17"/>
      <c r="Q60" s="20"/>
      <c r="V60" s="12"/>
      <c r="AE60" s="20"/>
      <c r="AJ60" s="12"/>
    </row>
    <row r="61" spans="1:59" customFormat="1" ht="14.4" x14ac:dyDescent="0.3">
      <c r="A61" s="65"/>
      <c r="C61" s="20"/>
      <c r="H61" s="12"/>
      <c r="L61" s="17"/>
      <c r="Q61" s="20"/>
      <c r="V61" s="12"/>
      <c r="AE61" s="20"/>
      <c r="AJ61" s="12"/>
    </row>
    <row r="62" spans="1:59" customFormat="1" ht="14.4" x14ac:dyDescent="0.3">
      <c r="A62" s="65"/>
      <c r="C62" s="20"/>
      <c r="H62" s="12"/>
      <c r="L62" s="17"/>
      <c r="Q62" s="20"/>
      <c r="V62" s="12"/>
      <c r="AE62" s="20"/>
      <c r="AJ62" s="12"/>
    </row>
    <row r="63" spans="1:59" customFormat="1" ht="14.4" x14ac:dyDescent="0.3">
      <c r="A63" s="65"/>
      <c r="C63" s="20"/>
      <c r="H63" s="12"/>
      <c r="L63" s="17"/>
      <c r="Q63" s="20"/>
      <c r="V63" s="12"/>
      <c r="AE63" s="20"/>
      <c r="AJ63" s="12"/>
    </row>
    <row r="64" spans="1:59" customFormat="1" ht="15.6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8"/>
      <c r="N64" s="58"/>
      <c r="O64" s="58"/>
      <c r="P64" s="53"/>
      <c r="Q64" s="36"/>
      <c r="R64" s="36"/>
      <c r="S64" s="36"/>
      <c r="T64" s="36"/>
      <c r="U64" s="36"/>
      <c r="V64" s="36"/>
      <c r="W64" s="36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</row>
    <row r="65" spans="1:94" s="36" customFormat="1" ht="14.4" x14ac:dyDescent="0.3">
      <c r="A65"/>
      <c r="B65"/>
      <c r="C65" s="20"/>
      <c r="D65"/>
      <c r="E65"/>
      <c r="F65"/>
      <c r="G65"/>
      <c r="H65" s="12"/>
      <c r="I65"/>
      <c r="J65"/>
      <c r="K65"/>
      <c r="L65"/>
      <c r="M65"/>
      <c r="N65"/>
      <c r="O65"/>
      <c r="P65"/>
      <c r="Q65" s="20"/>
      <c r="R65"/>
      <c r="S65"/>
      <c r="T65"/>
      <c r="U65"/>
      <c r="V65" s="12"/>
      <c r="W65"/>
      <c r="X65"/>
      <c r="Y65"/>
      <c r="Z65"/>
      <c r="AA65"/>
      <c r="AB65"/>
      <c r="AC65"/>
      <c r="AD65"/>
      <c r="AE65" s="20"/>
      <c r="AF65"/>
      <c r="AG65"/>
      <c r="AH65"/>
      <c r="AI65"/>
      <c r="AJ65" s="12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</row>
    <row r="66" spans="1:94" s="36" customFormat="1" x14ac:dyDescent="0.25">
      <c r="A66" s="40"/>
      <c r="B66" s="40"/>
      <c r="C66" s="40"/>
      <c r="D66" s="40"/>
      <c r="E66" s="39"/>
      <c r="F66" s="39"/>
      <c r="G66" s="66"/>
      <c r="H66" s="40"/>
      <c r="I66" s="67"/>
      <c r="J66" s="40"/>
      <c r="K66" s="40"/>
      <c r="L66" s="40"/>
      <c r="M66" s="39"/>
      <c r="N66" s="39"/>
      <c r="O66" s="39"/>
      <c r="P66" s="53"/>
      <c r="Q66" s="34"/>
      <c r="R66" s="34"/>
      <c r="T66" s="68"/>
      <c r="U66" s="38"/>
      <c r="V66" s="38"/>
      <c r="W66" s="54"/>
      <c r="X66" s="55"/>
      <c r="Y66" s="53"/>
      <c r="Z66" s="53"/>
      <c r="AA66" s="53"/>
      <c r="AB66" s="53"/>
      <c r="AC66" s="53"/>
      <c r="AD66" s="53"/>
      <c r="AE66" s="53"/>
      <c r="AF66" s="53"/>
      <c r="AG66" s="53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</row>
    <row r="67" spans="1:94" s="36" customFormat="1" x14ac:dyDescent="0.25">
      <c r="A67" s="40"/>
      <c r="B67" s="40"/>
      <c r="C67" s="40"/>
      <c r="D67" s="40"/>
      <c r="E67" s="39"/>
      <c r="F67" s="34"/>
      <c r="G67" s="34" t="s">
        <v>40</v>
      </c>
      <c r="H67" s="68">
        <f>AVERAGE(H20:H66)</f>
        <v>2019.1315789473683</v>
      </c>
      <c r="I67" s="68"/>
      <c r="J67" s="38"/>
      <c r="K67" s="38"/>
      <c r="M67" s="54"/>
      <c r="N67" s="39"/>
      <c r="O67" s="39"/>
      <c r="P67" s="39"/>
      <c r="Q67" s="53"/>
      <c r="U67" s="38"/>
      <c r="V67" s="38"/>
      <c r="W67" s="38"/>
      <c r="Z67" s="53"/>
      <c r="AA67" s="53"/>
      <c r="AB67" s="53"/>
      <c r="AC67" s="53"/>
      <c r="AD67" s="53"/>
      <c r="AE67" s="53"/>
      <c r="AF67" s="53"/>
      <c r="AG67" s="53"/>
      <c r="AH67" s="34"/>
      <c r="AI67" s="34" t="s">
        <v>40</v>
      </c>
      <c r="AJ67" s="68">
        <f>AVERAGE(AJ20:AJ66)</f>
        <v>2213.5135135135133</v>
      </c>
      <c r="AK67" s="68"/>
      <c r="AL67" s="56"/>
      <c r="AM67" s="56"/>
      <c r="AN67" s="56"/>
      <c r="AO67" s="56"/>
      <c r="AP67" s="56"/>
      <c r="AQ67" s="56"/>
      <c r="AR67" s="55">
        <f>MIN(AR20:AR66)</f>
        <v>1</v>
      </c>
      <c r="AS67" s="34" t="s">
        <v>40</v>
      </c>
      <c r="AT67" s="69">
        <f>AVERAGE(AT20:AT66)</f>
        <v>1.9718272130298429</v>
      </c>
      <c r="AU67" s="69">
        <f>AVERAGE(AU20:AU66)</f>
        <v>438.64190294673472</v>
      </c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</row>
    <row r="68" spans="1:94" s="36" customFormat="1" x14ac:dyDescent="0.25">
      <c r="A68" s="40"/>
      <c r="B68" s="40"/>
      <c r="C68" s="40"/>
      <c r="D68" s="40"/>
      <c r="E68" s="39"/>
      <c r="F68" s="34"/>
      <c r="G68" s="34" t="s">
        <v>91</v>
      </c>
      <c r="H68" s="70">
        <f>STDEV(H20:H66)</f>
        <v>371.51859078670935</v>
      </c>
      <c r="I68" s="70"/>
      <c r="J68" s="38"/>
      <c r="K68" s="38"/>
      <c r="M68" s="54"/>
      <c r="N68" s="39"/>
      <c r="O68" s="39"/>
      <c r="P68" s="39"/>
      <c r="Q68" s="53"/>
      <c r="U68" s="38"/>
      <c r="V68" s="38"/>
      <c r="W68" s="38"/>
      <c r="Z68" s="53"/>
      <c r="AA68" s="53"/>
      <c r="AB68" s="53"/>
      <c r="AC68" s="53"/>
      <c r="AD68" s="53"/>
      <c r="AE68" s="53"/>
      <c r="AF68" s="53"/>
      <c r="AG68" s="53"/>
      <c r="AH68" s="34"/>
      <c r="AI68" s="34" t="s">
        <v>91</v>
      </c>
      <c r="AJ68" s="70">
        <f>STDEV(AJ20:AJ66)</f>
        <v>411.62466868236652</v>
      </c>
      <c r="AK68" s="70"/>
      <c r="AL68" s="56"/>
      <c r="AM68" s="56"/>
      <c r="AN68" s="56"/>
      <c r="AO68" s="56"/>
      <c r="AP68" s="56"/>
      <c r="AQ68" s="56"/>
      <c r="AR68" s="55">
        <f>MAX(AR20:AR66)</f>
        <v>38</v>
      </c>
      <c r="AS68" s="34" t="s">
        <v>91</v>
      </c>
      <c r="AT68" s="70">
        <f>STDEV(AT20:AT66)</f>
        <v>0.88329595705714981</v>
      </c>
      <c r="AU68" s="70">
        <f>STDEV(AU20:AU66)</f>
        <v>83.387987703478615</v>
      </c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</row>
    <row r="69" spans="1:94" s="36" customFormat="1" x14ac:dyDescent="0.25">
      <c r="A69" s="40"/>
      <c r="B69" s="40"/>
      <c r="C69" s="40"/>
      <c r="D69" s="40"/>
      <c r="E69" s="39"/>
      <c r="F69" s="34"/>
      <c r="G69" s="34" t="s">
        <v>92</v>
      </c>
      <c r="H69" s="70">
        <f>100*H68/H67</f>
        <v>18.399919780383637</v>
      </c>
      <c r="I69" s="70"/>
      <c r="J69" s="38"/>
      <c r="K69" s="38"/>
      <c r="M69" s="54"/>
      <c r="N69" s="39"/>
      <c r="O69" s="39"/>
      <c r="P69" s="39"/>
      <c r="Q69" s="53"/>
      <c r="S69" s="39"/>
      <c r="T69" s="34"/>
      <c r="U69" s="35"/>
      <c r="V69" s="38"/>
      <c r="W69" s="38"/>
      <c r="Z69" s="53"/>
      <c r="AA69" s="53"/>
      <c r="AB69" s="53"/>
      <c r="AC69" s="53"/>
      <c r="AD69" s="53"/>
      <c r="AE69" s="53"/>
      <c r="AF69" s="53"/>
      <c r="AG69" s="53"/>
      <c r="AH69" s="34"/>
      <c r="AI69" s="34" t="s">
        <v>92</v>
      </c>
      <c r="AJ69" s="70">
        <f>100*AJ68/AJ67</f>
        <v>18.595986253049528</v>
      </c>
      <c r="AK69" s="70"/>
      <c r="AL69" s="56"/>
      <c r="AM69" s="56"/>
      <c r="AN69" s="56"/>
      <c r="AO69" s="56"/>
      <c r="AP69" s="56"/>
      <c r="AQ69" s="56"/>
      <c r="AR69" s="55"/>
      <c r="AS69" s="34" t="s">
        <v>92</v>
      </c>
      <c r="AT69" s="70">
        <f>100*AT68/AT67</f>
        <v>44.795809248413157</v>
      </c>
      <c r="AU69" s="70">
        <f>100*AU68/AU67</f>
        <v>19.010492874321812</v>
      </c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</row>
    <row r="70" spans="1:94" s="36" customFormat="1" x14ac:dyDescent="0.25">
      <c r="A70" s="40"/>
      <c r="B70" s="40"/>
      <c r="C70" s="40"/>
      <c r="D70" s="40"/>
      <c r="E70" s="39"/>
      <c r="F70" s="34" t="s">
        <v>93</v>
      </c>
      <c r="G70" s="34" t="s">
        <v>94</v>
      </c>
      <c r="H70" s="70">
        <f>H67-(2*H68)</f>
        <v>1276.0943973739495</v>
      </c>
      <c r="I70" s="70"/>
      <c r="J70" s="38"/>
      <c r="K70" s="38"/>
      <c r="P70" s="39"/>
      <c r="Q70" s="53"/>
      <c r="U70" s="38"/>
      <c r="V70" s="38"/>
      <c r="W70" s="38"/>
      <c r="Y70" s="53"/>
      <c r="Z70" s="53"/>
      <c r="AA70" s="53"/>
      <c r="AB70" s="53"/>
      <c r="AC70" s="53"/>
      <c r="AD70" s="53"/>
      <c r="AE70" s="53"/>
      <c r="AF70" s="53"/>
      <c r="AG70" s="53"/>
      <c r="AH70" s="34" t="s">
        <v>93</v>
      </c>
      <c r="AI70" s="34" t="s">
        <v>94</v>
      </c>
      <c r="AJ70" s="70">
        <f>AJ67-(2*AJ68)</f>
        <v>1390.2641761487803</v>
      </c>
      <c r="AK70" s="70"/>
      <c r="AL70" s="56"/>
      <c r="AM70" s="56"/>
      <c r="AN70" s="56"/>
      <c r="AO70" s="56"/>
      <c r="AP70" s="56"/>
      <c r="AQ70" s="56"/>
      <c r="AR70" s="56"/>
      <c r="AS70" s="34" t="s">
        <v>94</v>
      </c>
      <c r="AT70" s="70">
        <f>AT67-(2*AT68)</f>
        <v>0.20523529891554326</v>
      </c>
      <c r="AU70" s="70">
        <f>AU67-(2*AU68)</f>
        <v>271.86592753977749</v>
      </c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</row>
    <row r="71" spans="1:94" s="36" customFormat="1" x14ac:dyDescent="0.25">
      <c r="A71" s="40"/>
      <c r="B71" s="40"/>
      <c r="C71" s="40"/>
      <c r="D71" s="40"/>
      <c r="E71" s="39"/>
      <c r="F71" s="34"/>
      <c r="G71" s="34" t="s">
        <v>95</v>
      </c>
      <c r="H71" s="70">
        <f>H67+(2*H68)</f>
        <v>2762.1687605207871</v>
      </c>
      <c r="I71" s="70"/>
      <c r="P71" s="39"/>
      <c r="Q71" s="53"/>
      <c r="U71" s="38"/>
      <c r="V71" s="38"/>
      <c r="W71" s="38"/>
      <c r="Y71" s="53"/>
      <c r="Z71" s="53"/>
      <c r="AA71" s="53"/>
      <c r="AB71" s="53"/>
      <c r="AC71" s="53"/>
      <c r="AD71" s="53"/>
      <c r="AE71" s="53"/>
      <c r="AF71" s="53"/>
      <c r="AG71" s="53"/>
      <c r="AH71" s="34"/>
      <c r="AI71" s="34" t="s">
        <v>95</v>
      </c>
      <c r="AJ71" s="70">
        <f>AJ67+(2*AJ68)</f>
        <v>3036.7628508782464</v>
      </c>
      <c r="AK71" s="70"/>
      <c r="AL71" s="56"/>
      <c r="AM71" s="56"/>
      <c r="AN71" s="56"/>
      <c r="AO71" s="56"/>
      <c r="AP71" s="56"/>
      <c r="AQ71" s="56"/>
      <c r="AR71" s="56"/>
      <c r="AS71" s="34" t="s">
        <v>95</v>
      </c>
      <c r="AT71" s="70">
        <f>AT67+(2*AT68)</f>
        <v>3.7384191271441427</v>
      </c>
      <c r="AU71" s="70">
        <f>AU67+(2*AU68)</f>
        <v>605.417878353692</v>
      </c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</row>
    <row r="72" spans="1:94" s="36" customFormat="1" x14ac:dyDescent="0.25">
      <c r="A72" s="40"/>
      <c r="B72" s="40"/>
      <c r="C72" s="40"/>
      <c r="D72" s="40"/>
      <c r="E72" s="39"/>
      <c r="F72" s="34" t="s">
        <v>96</v>
      </c>
      <c r="G72" s="34" t="s">
        <v>97</v>
      </c>
      <c r="H72" s="70">
        <f>H67-(3*H68)</f>
        <v>904.57580658724032</v>
      </c>
      <c r="I72" s="70"/>
      <c r="J72" s="38"/>
      <c r="K72" s="38"/>
      <c r="P72" s="53"/>
      <c r="Q72" s="34"/>
      <c r="T72" s="38"/>
      <c r="U72" s="38"/>
      <c r="V72" s="38"/>
      <c r="W72" s="54"/>
      <c r="X72" s="55"/>
      <c r="Y72" s="53"/>
      <c r="Z72" s="53"/>
      <c r="AA72" s="53"/>
      <c r="AB72" s="53"/>
      <c r="AC72" s="53"/>
      <c r="AD72" s="53"/>
      <c r="AE72" s="53"/>
      <c r="AF72" s="53"/>
      <c r="AG72" s="53"/>
      <c r="AH72" s="34" t="s">
        <v>96</v>
      </c>
      <c r="AI72" s="34" t="s">
        <v>97</v>
      </c>
      <c r="AJ72" s="70">
        <f>AJ67-(3*AJ68)</f>
        <v>978.63950746641376</v>
      </c>
      <c r="AK72" s="70"/>
      <c r="AL72" s="56"/>
      <c r="AM72" s="56"/>
      <c r="AN72" s="56"/>
      <c r="AO72" s="56"/>
      <c r="AP72" s="56"/>
      <c r="AQ72" s="56"/>
      <c r="AR72" s="56"/>
      <c r="AS72" s="34" t="s">
        <v>97</v>
      </c>
      <c r="AT72" s="70">
        <f>AT67-(3*AT68)</f>
        <v>-0.67806065814160643</v>
      </c>
      <c r="AU72" s="70">
        <f>AU67-(3*AU68)</f>
        <v>188.47793983629887</v>
      </c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</row>
    <row r="73" spans="1:94" x14ac:dyDescent="0.25">
      <c r="F73" s="34"/>
      <c r="G73" s="34" t="s">
        <v>98</v>
      </c>
      <c r="H73" s="70">
        <f>H67+(3*H68)</f>
        <v>3133.6873513074961</v>
      </c>
      <c r="I73" s="70"/>
      <c r="J73" s="40"/>
      <c r="K73" s="40"/>
      <c r="L73" s="56"/>
      <c r="M73" s="39"/>
      <c r="N73" s="39"/>
      <c r="O73" s="39"/>
      <c r="Q73" s="34"/>
      <c r="R73" s="56"/>
      <c r="T73" s="38"/>
      <c r="U73" s="38"/>
      <c r="V73" s="38"/>
      <c r="W73" s="54"/>
      <c r="X73" s="55"/>
      <c r="AH73" s="34"/>
      <c r="AI73" s="34" t="s">
        <v>98</v>
      </c>
      <c r="AJ73" s="70">
        <f>AJ67+(3*AJ68)</f>
        <v>3448.3875195606129</v>
      </c>
      <c r="AK73" s="70"/>
      <c r="AS73" s="34" t="s">
        <v>98</v>
      </c>
      <c r="AT73" s="70">
        <f>AT67+(3*AT68)</f>
        <v>4.6217150842012922</v>
      </c>
      <c r="AU73" s="70">
        <f>AU67+(3*AU68)</f>
        <v>688.80586605717053</v>
      </c>
    </row>
    <row r="74" spans="1:94" x14ac:dyDescent="0.25">
      <c r="G74" s="34" t="s">
        <v>99</v>
      </c>
      <c r="H74" s="70">
        <f>COUNT(H20:H66)</f>
        <v>38</v>
      </c>
      <c r="I74" s="70"/>
      <c r="J74" s="40"/>
      <c r="K74" s="40"/>
      <c r="L74" s="56"/>
      <c r="M74" s="39"/>
      <c r="N74" s="39"/>
      <c r="O74" s="39"/>
      <c r="Q74" s="34"/>
      <c r="R74" s="56"/>
      <c r="T74" s="38"/>
      <c r="U74" s="38"/>
      <c r="V74" s="38"/>
      <c r="W74" s="54"/>
      <c r="X74" s="55"/>
      <c r="AH74" s="34"/>
      <c r="AI74" s="34" t="s">
        <v>99</v>
      </c>
      <c r="AJ74" s="70">
        <f>COUNT(AJ20:AJ66)</f>
        <v>37</v>
      </c>
      <c r="AK74" s="70"/>
      <c r="AS74" s="34" t="s">
        <v>99</v>
      </c>
      <c r="AT74" s="70">
        <f>COUNT(AT10:AT66)</f>
        <v>38</v>
      </c>
      <c r="AU74" s="70">
        <f>COUNT(AU10:AU66)</f>
        <v>38</v>
      </c>
    </row>
    <row r="75" spans="1:94" x14ac:dyDescent="0.25">
      <c r="G75" s="34" t="s">
        <v>238</v>
      </c>
      <c r="H75" s="70">
        <f>TINV(0.02,(H74-1))</f>
        <v>2.4314474004646742</v>
      </c>
      <c r="I75" s="70"/>
      <c r="J75" s="40"/>
      <c r="K75" s="40"/>
      <c r="L75" s="56"/>
      <c r="M75" s="39"/>
      <c r="N75" s="39"/>
      <c r="O75" s="39"/>
      <c r="Q75" s="34"/>
      <c r="R75" s="56"/>
      <c r="T75" s="38"/>
      <c r="U75" s="38"/>
      <c r="V75" s="38"/>
      <c r="W75" s="54"/>
      <c r="X75" s="55"/>
      <c r="AH75" s="34"/>
      <c r="AI75" s="34" t="s">
        <v>238</v>
      </c>
      <c r="AJ75" s="70">
        <f>TINV(0.02,(AJ74-1))</f>
        <v>2.4344940612311401</v>
      </c>
      <c r="AK75" s="70"/>
      <c r="AS75" s="34" t="s">
        <v>238</v>
      </c>
      <c r="AT75" s="70">
        <f>TINV(0.02,(AT74-1))</f>
        <v>2.4314474004646742</v>
      </c>
      <c r="AU75" s="70">
        <f>TINV(0.02,(AU74-1))</f>
        <v>2.4314474004646742</v>
      </c>
    </row>
    <row r="76" spans="1:94" x14ac:dyDescent="0.25">
      <c r="G76" s="34" t="s">
        <v>44</v>
      </c>
      <c r="H76" s="71">
        <f>H68*H75</f>
        <v>903.32791179264348</v>
      </c>
      <c r="I76" s="71"/>
      <c r="AH76" s="34"/>
      <c r="AI76" s="34" t="s">
        <v>44</v>
      </c>
      <c r="AJ76" s="71">
        <f>AJ68*AJ75</f>
        <v>1002.0978113634569</v>
      </c>
      <c r="AK76" s="71"/>
      <c r="AS76" s="34" t="s">
        <v>44</v>
      </c>
      <c r="AT76" s="71">
        <f>AT68*AT75</f>
        <v>2.1476876586275635</v>
      </c>
      <c r="AU76" s="71">
        <f>AU68*AU75</f>
        <v>202.75350593160329</v>
      </c>
    </row>
    <row r="77" spans="1:94" x14ac:dyDescent="0.25">
      <c r="G77" s="34" t="s">
        <v>45</v>
      </c>
      <c r="H77" s="72">
        <f>H68*10</f>
        <v>3715.1859078670936</v>
      </c>
      <c r="I77" s="72"/>
      <c r="J77" s="35"/>
      <c r="AH77" s="34"/>
      <c r="AI77" s="34" t="s">
        <v>45</v>
      </c>
      <c r="AJ77" s="72">
        <f>AJ68*10</f>
        <v>4116.2466868236652</v>
      </c>
      <c r="AK77" s="72"/>
      <c r="AS77" s="34" t="s">
        <v>45</v>
      </c>
      <c r="AT77" s="72">
        <f>AT68*10</f>
        <v>8.8329595705714983</v>
      </c>
      <c r="AU77" s="72">
        <f>AU68*10</f>
        <v>833.8798770347862</v>
      </c>
    </row>
    <row r="78" spans="1:94" x14ac:dyDescent="0.25">
      <c r="AS78" s="56" t="s">
        <v>239</v>
      </c>
      <c r="AT78" s="56" t="s">
        <v>304</v>
      </c>
      <c r="AU78" s="56" t="s">
        <v>240</v>
      </c>
    </row>
    <row r="97" spans="1:33" ht="13.2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</row>
    <row r="98" spans="1:33" ht="13.2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</row>
    <row r="99" spans="1:33" ht="13.2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</row>
    <row r="100" spans="1:33" ht="13.2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</row>
    <row r="101" spans="1:33" ht="13.2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</row>
    <row r="102" spans="1:33" ht="13.2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</row>
    <row r="103" spans="1:33" ht="13.2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</row>
    <row r="104" spans="1:33" ht="13.2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9A81-63E7-47E5-B4BA-4786D9021F9A}">
  <sheetPr>
    <pageSetUpPr fitToPage="1"/>
  </sheetPr>
  <dimension ref="A16:CJ129"/>
  <sheetViews>
    <sheetView topLeftCell="Y52" zoomScale="90" zoomScaleNormal="90" zoomScalePageLayoutView="85" workbookViewId="0">
      <selection activeCell="BD104" sqref="BD104"/>
    </sheetView>
  </sheetViews>
  <sheetFormatPr defaultColWidth="8.77734375" defaultRowHeight="15.6" x14ac:dyDescent="0.3"/>
  <cols>
    <col min="1" max="1" width="9.21875" style="53" customWidth="1"/>
    <col min="2" max="2" width="27.77734375" style="53" customWidth="1"/>
    <col min="3" max="4" width="17.44140625" style="53" customWidth="1"/>
    <col min="5" max="5" width="8.77734375" style="53"/>
    <col min="6" max="6" width="7.5546875" style="53" customWidth="1"/>
    <col min="7" max="7" width="6.44140625" style="53" customWidth="1"/>
    <col min="8" max="9" width="10.77734375" style="53" customWidth="1"/>
    <col min="10" max="10" width="11.77734375" style="53" customWidth="1"/>
    <col min="11" max="11" width="5" style="53" customWidth="1"/>
    <col min="12" max="12" width="8.77734375" style="53" customWidth="1"/>
    <col min="13" max="13" width="22.5546875" style="58" customWidth="1"/>
    <col min="14" max="15" width="16.44140625" style="58" customWidth="1"/>
    <col min="16" max="16" width="12.77734375" style="53" customWidth="1"/>
    <col min="17" max="17" width="7.21875" style="36" customWidth="1"/>
    <col min="18" max="18" width="9.21875" style="36" bestFit="1" customWidth="1"/>
    <col min="19" max="19" width="7.21875" style="36" customWidth="1"/>
    <col min="20" max="22" width="9.21875" style="36" bestFit="1" customWidth="1"/>
    <col min="23" max="23" width="9.77734375" style="36" bestFit="1" customWidth="1"/>
    <col min="24" max="29" width="8.77734375" style="53"/>
    <col min="30" max="30" width="20.77734375" style="53" customWidth="1"/>
    <col min="31" max="31" width="24.5546875" style="53" customWidth="1"/>
    <col min="32" max="32" width="17.5546875" style="53" customWidth="1"/>
    <col min="33" max="33" width="8.77734375" style="53"/>
    <col min="34" max="35" width="8.77734375" style="56"/>
    <col min="36" max="36" width="11.21875" style="56" customWidth="1"/>
    <col min="37" max="37" width="10.77734375" style="56" customWidth="1"/>
    <col min="38" max="43" width="8.77734375" style="56"/>
    <col min="44" max="44" width="8.77734375" style="101"/>
    <col min="45" max="46" width="8.77734375" style="56"/>
    <col min="47" max="47" width="11.5546875" style="56" customWidth="1"/>
    <col min="48" max="230" width="8.77734375" style="56"/>
    <col min="231" max="231" width="24.77734375" style="56" customWidth="1"/>
    <col min="232" max="232" width="13.44140625" style="56" customWidth="1"/>
    <col min="233" max="233" width="8.77734375" style="56"/>
    <col min="234" max="234" width="6.77734375" style="56" customWidth="1"/>
    <col min="235" max="235" width="6.44140625" style="56" customWidth="1"/>
    <col min="236" max="236" width="8.21875" style="56" customWidth="1"/>
    <col min="237" max="237" width="6.77734375" style="56" customWidth="1"/>
    <col min="238" max="238" width="4.77734375" style="56" customWidth="1"/>
    <col min="239" max="240" width="5" style="56" customWidth="1"/>
    <col min="241" max="241" width="8.77734375" style="56"/>
    <col min="242" max="242" width="10.44140625" style="56" customWidth="1"/>
    <col min="243" max="243" width="3.77734375" style="56" customWidth="1"/>
    <col min="244" max="245" width="8.77734375" style="56"/>
    <col min="246" max="246" width="3.77734375" style="56" customWidth="1"/>
    <col min="247" max="486" width="8.77734375" style="56"/>
    <col min="487" max="487" width="24.77734375" style="56" customWidth="1"/>
    <col min="488" max="488" width="13.44140625" style="56" customWidth="1"/>
    <col min="489" max="489" width="8.77734375" style="56"/>
    <col min="490" max="490" width="6.77734375" style="56" customWidth="1"/>
    <col min="491" max="491" width="6.44140625" style="56" customWidth="1"/>
    <col min="492" max="492" width="8.21875" style="56" customWidth="1"/>
    <col min="493" max="493" width="6.77734375" style="56" customWidth="1"/>
    <col min="494" max="494" width="4.77734375" style="56" customWidth="1"/>
    <col min="495" max="496" width="5" style="56" customWidth="1"/>
    <col min="497" max="497" width="8.77734375" style="56"/>
    <col min="498" max="498" width="10.44140625" style="56" customWidth="1"/>
    <col min="499" max="499" width="3.77734375" style="56" customWidth="1"/>
    <col min="500" max="501" width="8.77734375" style="56"/>
    <col min="502" max="502" width="3.77734375" style="56" customWidth="1"/>
    <col min="503" max="742" width="8.77734375" style="56"/>
    <col min="743" max="743" width="24.77734375" style="56" customWidth="1"/>
    <col min="744" max="744" width="13.44140625" style="56" customWidth="1"/>
    <col min="745" max="745" width="8.77734375" style="56"/>
    <col min="746" max="746" width="6.77734375" style="56" customWidth="1"/>
    <col min="747" max="747" width="6.44140625" style="56" customWidth="1"/>
    <col min="748" max="748" width="8.21875" style="56" customWidth="1"/>
    <col min="749" max="749" width="6.77734375" style="56" customWidth="1"/>
    <col min="750" max="750" width="4.77734375" style="56" customWidth="1"/>
    <col min="751" max="752" width="5" style="56" customWidth="1"/>
    <col min="753" max="753" width="8.77734375" style="56"/>
    <col min="754" max="754" width="10.44140625" style="56" customWidth="1"/>
    <col min="755" max="755" width="3.77734375" style="56" customWidth="1"/>
    <col min="756" max="757" width="8.77734375" style="56"/>
    <col min="758" max="758" width="3.77734375" style="56" customWidth="1"/>
    <col min="759" max="998" width="8.77734375" style="56"/>
    <col min="999" max="999" width="24.77734375" style="56" customWidth="1"/>
    <col min="1000" max="1000" width="13.44140625" style="56" customWidth="1"/>
    <col min="1001" max="1001" width="8.77734375" style="56"/>
    <col min="1002" max="1002" width="6.77734375" style="56" customWidth="1"/>
    <col min="1003" max="1003" width="6.44140625" style="56" customWidth="1"/>
    <col min="1004" max="1004" width="8.21875" style="56" customWidth="1"/>
    <col min="1005" max="1005" width="6.77734375" style="56" customWidth="1"/>
    <col min="1006" max="1006" width="4.77734375" style="56" customWidth="1"/>
    <col min="1007" max="1008" width="5" style="56" customWidth="1"/>
    <col min="1009" max="1009" width="8.77734375" style="56"/>
    <col min="1010" max="1010" width="10.44140625" style="56" customWidth="1"/>
    <col min="1011" max="1011" width="3.77734375" style="56" customWidth="1"/>
    <col min="1012" max="1013" width="8.77734375" style="56"/>
    <col min="1014" max="1014" width="3.77734375" style="56" customWidth="1"/>
    <col min="1015" max="1254" width="8.77734375" style="56"/>
    <col min="1255" max="1255" width="24.77734375" style="56" customWidth="1"/>
    <col min="1256" max="1256" width="13.44140625" style="56" customWidth="1"/>
    <col min="1257" max="1257" width="8.77734375" style="56"/>
    <col min="1258" max="1258" width="6.77734375" style="56" customWidth="1"/>
    <col min="1259" max="1259" width="6.44140625" style="56" customWidth="1"/>
    <col min="1260" max="1260" width="8.21875" style="56" customWidth="1"/>
    <col min="1261" max="1261" width="6.77734375" style="56" customWidth="1"/>
    <col min="1262" max="1262" width="4.77734375" style="56" customWidth="1"/>
    <col min="1263" max="1264" width="5" style="56" customWidth="1"/>
    <col min="1265" max="1265" width="8.77734375" style="56"/>
    <col min="1266" max="1266" width="10.44140625" style="56" customWidth="1"/>
    <col min="1267" max="1267" width="3.77734375" style="56" customWidth="1"/>
    <col min="1268" max="1269" width="8.77734375" style="56"/>
    <col min="1270" max="1270" width="3.77734375" style="56" customWidth="1"/>
    <col min="1271" max="1510" width="8.77734375" style="56"/>
    <col min="1511" max="1511" width="24.77734375" style="56" customWidth="1"/>
    <col min="1512" max="1512" width="13.44140625" style="56" customWidth="1"/>
    <col min="1513" max="1513" width="8.77734375" style="56"/>
    <col min="1514" max="1514" width="6.77734375" style="56" customWidth="1"/>
    <col min="1515" max="1515" width="6.44140625" style="56" customWidth="1"/>
    <col min="1516" max="1516" width="8.21875" style="56" customWidth="1"/>
    <col min="1517" max="1517" width="6.77734375" style="56" customWidth="1"/>
    <col min="1518" max="1518" width="4.77734375" style="56" customWidth="1"/>
    <col min="1519" max="1520" width="5" style="56" customWidth="1"/>
    <col min="1521" max="1521" width="8.77734375" style="56"/>
    <col min="1522" max="1522" width="10.44140625" style="56" customWidth="1"/>
    <col min="1523" max="1523" width="3.77734375" style="56" customWidth="1"/>
    <col min="1524" max="1525" width="8.77734375" style="56"/>
    <col min="1526" max="1526" width="3.77734375" style="56" customWidth="1"/>
    <col min="1527" max="1766" width="8.77734375" style="56"/>
    <col min="1767" max="1767" width="24.77734375" style="56" customWidth="1"/>
    <col min="1768" max="1768" width="13.44140625" style="56" customWidth="1"/>
    <col min="1769" max="1769" width="8.77734375" style="56"/>
    <col min="1770" max="1770" width="6.77734375" style="56" customWidth="1"/>
    <col min="1771" max="1771" width="6.44140625" style="56" customWidth="1"/>
    <col min="1772" max="1772" width="8.21875" style="56" customWidth="1"/>
    <col min="1773" max="1773" width="6.77734375" style="56" customWidth="1"/>
    <col min="1774" max="1774" width="4.77734375" style="56" customWidth="1"/>
    <col min="1775" max="1776" width="5" style="56" customWidth="1"/>
    <col min="1777" max="1777" width="8.77734375" style="56"/>
    <col min="1778" max="1778" width="10.44140625" style="56" customWidth="1"/>
    <col min="1779" max="1779" width="3.77734375" style="56" customWidth="1"/>
    <col min="1780" max="1781" width="8.77734375" style="56"/>
    <col min="1782" max="1782" width="3.77734375" style="56" customWidth="1"/>
    <col min="1783" max="2022" width="8.77734375" style="56"/>
    <col min="2023" max="2023" width="24.77734375" style="56" customWidth="1"/>
    <col min="2024" max="2024" width="13.44140625" style="56" customWidth="1"/>
    <col min="2025" max="2025" width="8.77734375" style="56"/>
    <col min="2026" max="2026" width="6.77734375" style="56" customWidth="1"/>
    <col min="2027" max="2027" width="6.44140625" style="56" customWidth="1"/>
    <col min="2028" max="2028" width="8.21875" style="56" customWidth="1"/>
    <col min="2029" max="2029" width="6.77734375" style="56" customWidth="1"/>
    <col min="2030" max="2030" width="4.77734375" style="56" customWidth="1"/>
    <col min="2031" max="2032" width="5" style="56" customWidth="1"/>
    <col min="2033" max="2033" width="8.77734375" style="56"/>
    <col min="2034" max="2034" width="10.44140625" style="56" customWidth="1"/>
    <col min="2035" max="2035" width="3.77734375" style="56" customWidth="1"/>
    <col min="2036" max="2037" width="8.77734375" style="56"/>
    <col min="2038" max="2038" width="3.77734375" style="56" customWidth="1"/>
    <col min="2039" max="2278" width="8.77734375" style="56"/>
    <col min="2279" max="2279" width="24.77734375" style="56" customWidth="1"/>
    <col min="2280" max="2280" width="13.44140625" style="56" customWidth="1"/>
    <col min="2281" max="2281" width="8.77734375" style="56"/>
    <col min="2282" max="2282" width="6.77734375" style="56" customWidth="1"/>
    <col min="2283" max="2283" width="6.44140625" style="56" customWidth="1"/>
    <col min="2284" max="2284" width="8.21875" style="56" customWidth="1"/>
    <col min="2285" max="2285" width="6.77734375" style="56" customWidth="1"/>
    <col min="2286" max="2286" width="4.77734375" style="56" customWidth="1"/>
    <col min="2287" max="2288" width="5" style="56" customWidth="1"/>
    <col min="2289" max="2289" width="8.77734375" style="56"/>
    <col min="2290" max="2290" width="10.44140625" style="56" customWidth="1"/>
    <col min="2291" max="2291" width="3.77734375" style="56" customWidth="1"/>
    <col min="2292" max="2293" width="8.77734375" style="56"/>
    <col min="2294" max="2294" width="3.77734375" style="56" customWidth="1"/>
    <col min="2295" max="2534" width="8.77734375" style="56"/>
    <col min="2535" max="2535" width="24.77734375" style="56" customWidth="1"/>
    <col min="2536" max="2536" width="13.44140625" style="56" customWidth="1"/>
    <col min="2537" max="2537" width="8.77734375" style="56"/>
    <col min="2538" max="2538" width="6.77734375" style="56" customWidth="1"/>
    <col min="2539" max="2539" width="6.44140625" style="56" customWidth="1"/>
    <col min="2540" max="2540" width="8.21875" style="56" customWidth="1"/>
    <col min="2541" max="2541" width="6.77734375" style="56" customWidth="1"/>
    <col min="2542" max="2542" width="4.77734375" style="56" customWidth="1"/>
    <col min="2543" max="2544" width="5" style="56" customWidth="1"/>
    <col min="2545" max="2545" width="8.77734375" style="56"/>
    <col min="2546" max="2546" width="10.44140625" style="56" customWidth="1"/>
    <col min="2547" max="2547" width="3.77734375" style="56" customWidth="1"/>
    <col min="2548" max="2549" width="8.77734375" style="56"/>
    <col min="2550" max="2550" width="3.77734375" style="56" customWidth="1"/>
    <col min="2551" max="2790" width="8.77734375" style="56"/>
    <col min="2791" max="2791" width="24.77734375" style="56" customWidth="1"/>
    <col min="2792" max="2792" width="13.44140625" style="56" customWidth="1"/>
    <col min="2793" max="2793" width="8.77734375" style="56"/>
    <col min="2794" max="2794" width="6.77734375" style="56" customWidth="1"/>
    <col min="2795" max="2795" width="6.44140625" style="56" customWidth="1"/>
    <col min="2796" max="2796" width="8.21875" style="56" customWidth="1"/>
    <col min="2797" max="2797" width="6.77734375" style="56" customWidth="1"/>
    <col min="2798" max="2798" width="4.77734375" style="56" customWidth="1"/>
    <col min="2799" max="2800" width="5" style="56" customWidth="1"/>
    <col min="2801" max="2801" width="8.77734375" style="56"/>
    <col min="2802" max="2802" width="10.44140625" style="56" customWidth="1"/>
    <col min="2803" max="2803" width="3.77734375" style="56" customWidth="1"/>
    <col min="2804" max="2805" width="8.77734375" style="56"/>
    <col min="2806" max="2806" width="3.77734375" style="56" customWidth="1"/>
    <col min="2807" max="3046" width="8.77734375" style="56"/>
    <col min="3047" max="3047" width="24.77734375" style="56" customWidth="1"/>
    <col min="3048" max="3048" width="13.44140625" style="56" customWidth="1"/>
    <col min="3049" max="3049" width="8.77734375" style="56"/>
    <col min="3050" max="3050" width="6.77734375" style="56" customWidth="1"/>
    <col min="3051" max="3051" width="6.44140625" style="56" customWidth="1"/>
    <col min="3052" max="3052" width="8.21875" style="56" customWidth="1"/>
    <col min="3053" max="3053" width="6.77734375" style="56" customWidth="1"/>
    <col min="3054" max="3054" width="4.77734375" style="56" customWidth="1"/>
    <col min="3055" max="3056" width="5" style="56" customWidth="1"/>
    <col min="3057" max="3057" width="8.77734375" style="56"/>
    <col min="3058" max="3058" width="10.44140625" style="56" customWidth="1"/>
    <col min="3059" max="3059" width="3.77734375" style="56" customWidth="1"/>
    <col min="3060" max="3061" width="8.77734375" style="56"/>
    <col min="3062" max="3062" width="3.77734375" style="56" customWidth="1"/>
    <col min="3063" max="3302" width="8.77734375" style="56"/>
    <col min="3303" max="3303" width="24.77734375" style="56" customWidth="1"/>
    <col min="3304" max="3304" width="13.44140625" style="56" customWidth="1"/>
    <col min="3305" max="3305" width="8.77734375" style="56"/>
    <col min="3306" max="3306" width="6.77734375" style="56" customWidth="1"/>
    <col min="3307" max="3307" width="6.44140625" style="56" customWidth="1"/>
    <col min="3308" max="3308" width="8.21875" style="56" customWidth="1"/>
    <col min="3309" max="3309" width="6.77734375" style="56" customWidth="1"/>
    <col min="3310" max="3310" width="4.77734375" style="56" customWidth="1"/>
    <col min="3311" max="3312" width="5" style="56" customWidth="1"/>
    <col min="3313" max="3313" width="8.77734375" style="56"/>
    <col min="3314" max="3314" width="10.44140625" style="56" customWidth="1"/>
    <col min="3315" max="3315" width="3.77734375" style="56" customWidth="1"/>
    <col min="3316" max="3317" width="8.77734375" style="56"/>
    <col min="3318" max="3318" width="3.77734375" style="56" customWidth="1"/>
    <col min="3319" max="3558" width="8.77734375" style="56"/>
    <col min="3559" max="3559" width="24.77734375" style="56" customWidth="1"/>
    <col min="3560" max="3560" width="13.44140625" style="56" customWidth="1"/>
    <col min="3561" max="3561" width="8.77734375" style="56"/>
    <col min="3562" max="3562" width="6.77734375" style="56" customWidth="1"/>
    <col min="3563" max="3563" width="6.44140625" style="56" customWidth="1"/>
    <col min="3564" max="3564" width="8.21875" style="56" customWidth="1"/>
    <col min="3565" max="3565" width="6.77734375" style="56" customWidth="1"/>
    <col min="3566" max="3566" width="4.77734375" style="56" customWidth="1"/>
    <col min="3567" max="3568" width="5" style="56" customWidth="1"/>
    <col min="3569" max="3569" width="8.77734375" style="56"/>
    <col min="3570" max="3570" width="10.44140625" style="56" customWidth="1"/>
    <col min="3571" max="3571" width="3.77734375" style="56" customWidth="1"/>
    <col min="3572" max="3573" width="8.77734375" style="56"/>
    <col min="3574" max="3574" width="3.77734375" style="56" customWidth="1"/>
    <col min="3575" max="3814" width="8.77734375" style="56"/>
    <col min="3815" max="3815" width="24.77734375" style="56" customWidth="1"/>
    <col min="3816" max="3816" width="13.44140625" style="56" customWidth="1"/>
    <col min="3817" max="3817" width="8.77734375" style="56"/>
    <col min="3818" max="3818" width="6.77734375" style="56" customWidth="1"/>
    <col min="3819" max="3819" width="6.44140625" style="56" customWidth="1"/>
    <col min="3820" max="3820" width="8.21875" style="56" customWidth="1"/>
    <col min="3821" max="3821" width="6.77734375" style="56" customWidth="1"/>
    <col min="3822" max="3822" width="4.77734375" style="56" customWidth="1"/>
    <col min="3823" max="3824" width="5" style="56" customWidth="1"/>
    <col min="3825" max="3825" width="8.77734375" style="56"/>
    <col min="3826" max="3826" width="10.44140625" style="56" customWidth="1"/>
    <col min="3827" max="3827" width="3.77734375" style="56" customWidth="1"/>
    <col min="3828" max="3829" width="8.77734375" style="56"/>
    <col min="3830" max="3830" width="3.77734375" style="56" customWidth="1"/>
    <col min="3831" max="4070" width="8.77734375" style="56"/>
    <col min="4071" max="4071" width="24.77734375" style="56" customWidth="1"/>
    <col min="4072" max="4072" width="13.44140625" style="56" customWidth="1"/>
    <col min="4073" max="4073" width="8.77734375" style="56"/>
    <col min="4074" max="4074" width="6.77734375" style="56" customWidth="1"/>
    <col min="4075" max="4075" width="6.44140625" style="56" customWidth="1"/>
    <col min="4076" max="4076" width="8.21875" style="56" customWidth="1"/>
    <col min="4077" max="4077" width="6.77734375" style="56" customWidth="1"/>
    <col min="4078" max="4078" width="4.77734375" style="56" customWidth="1"/>
    <col min="4079" max="4080" width="5" style="56" customWidth="1"/>
    <col min="4081" max="4081" width="8.77734375" style="56"/>
    <col min="4082" max="4082" width="10.44140625" style="56" customWidth="1"/>
    <col min="4083" max="4083" width="3.77734375" style="56" customWidth="1"/>
    <col min="4084" max="4085" width="8.77734375" style="56"/>
    <col min="4086" max="4086" width="3.77734375" style="56" customWidth="1"/>
    <col min="4087" max="4326" width="8.77734375" style="56"/>
    <col min="4327" max="4327" width="24.77734375" style="56" customWidth="1"/>
    <col min="4328" max="4328" width="13.44140625" style="56" customWidth="1"/>
    <col min="4329" max="4329" width="8.77734375" style="56"/>
    <col min="4330" max="4330" width="6.77734375" style="56" customWidth="1"/>
    <col min="4331" max="4331" width="6.44140625" style="56" customWidth="1"/>
    <col min="4332" max="4332" width="8.21875" style="56" customWidth="1"/>
    <col min="4333" max="4333" width="6.77734375" style="56" customWidth="1"/>
    <col min="4334" max="4334" width="4.77734375" style="56" customWidth="1"/>
    <col min="4335" max="4336" width="5" style="56" customWidth="1"/>
    <col min="4337" max="4337" width="8.77734375" style="56"/>
    <col min="4338" max="4338" width="10.44140625" style="56" customWidth="1"/>
    <col min="4339" max="4339" width="3.77734375" style="56" customWidth="1"/>
    <col min="4340" max="4341" width="8.77734375" style="56"/>
    <col min="4342" max="4342" width="3.77734375" style="56" customWidth="1"/>
    <col min="4343" max="4582" width="8.77734375" style="56"/>
    <col min="4583" max="4583" width="24.77734375" style="56" customWidth="1"/>
    <col min="4584" max="4584" width="13.44140625" style="56" customWidth="1"/>
    <col min="4585" max="4585" width="8.77734375" style="56"/>
    <col min="4586" max="4586" width="6.77734375" style="56" customWidth="1"/>
    <col min="4587" max="4587" width="6.44140625" style="56" customWidth="1"/>
    <col min="4588" max="4588" width="8.21875" style="56" customWidth="1"/>
    <col min="4589" max="4589" width="6.77734375" style="56" customWidth="1"/>
    <col min="4590" max="4590" width="4.77734375" style="56" customWidth="1"/>
    <col min="4591" max="4592" width="5" style="56" customWidth="1"/>
    <col min="4593" max="4593" width="8.77734375" style="56"/>
    <col min="4594" max="4594" width="10.44140625" style="56" customWidth="1"/>
    <col min="4595" max="4595" width="3.77734375" style="56" customWidth="1"/>
    <col min="4596" max="4597" width="8.77734375" style="56"/>
    <col min="4598" max="4598" width="3.77734375" style="56" customWidth="1"/>
    <col min="4599" max="4838" width="8.77734375" style="56"/>
    <col min="4839" max="4839" width="24.77734375" style="56" customWidth="1"/>
    <col min="4840" max="4840" width="13.44140625" style="56" customWidth="1"/>
    <col min="4841" max="4841" width="8.77734375" style="56"/>
    <col min="4842" max="4842" width="6.77734375" style="56" customWidth="1"/>
    <col min="4843" max="4843" width="6.44140625" style="56" customWidth="1"/>
    <col min="4844" max="4844" width="8.21875" style="56" customWidth="1"/>
    <col min="4845" max="4845" width="6.77734375" style="56" customWidth="1"/>
    <col min="4846" max="4846" width="4.77734375" style="56" customWidth="1"/>
    <col min="4847" max="4848" width="5" style="56" customWidth="1"/>
    <col min="4849" max="4849" width="8.77734375" style="56"/>
    <col min="4850" max="4850" width="10.44140625" style="56" customWidth="1"/>
    <col min="4851" max="4851" width="3.77734375" style="56" customWidth="1"/>
    <col min="4852" max="4853" width="8.77734375" style="56"/>
    <col min="4854" max="4854" width="3.77734375" style="56" customWidth="1"/>
    <col min="4855" max="5094" width="8.77734375" style="56"/>
    <col min="5095" max="5095" width="24.77734375" style="56" customWidth="1"/>
    <col min="5096" max="5096" width="13.44140625" style="56" customWidth="1"/>
    <col min="5097" max="5097" width="8.77734375" style="56"/>
    <col min="5098" max="5098" width="6.77734375" style="56" customWidth="1"/>
    <col min="5099" max="5099" width="6.44140625" style="56" customWidth="1"/>
    <col min="5100" max="5100" width="8.21875" style="56" customWidth="1"/>
    <col min="5101" max="5101" width="6.77734375" style="56" customWidth="1"/>
    <col min="5102" max="5102" width="4.77734375" style="56" customWidth="1"/>
    <col min="5103" max="5104" width="5" style="56" customWidth="1"/>
    <col min="5105" max="5105" width="8.77734375" style="56"/>
    <col min="5106" max="5106" width="10.44140625" style="56" customWidth="1"/>
    <col min="5107" max="5107" width="3.77734375" style="56" customWidth="1"/>
    <col min="5108" max="5109" width="8.77734375" style="56"/>
    <col min="5110" max="5110" width="3.77734375" style="56" customWidth="1"/>
    <col min="5111" max="5350" width="8.77734375" style="56"/>
    <col min="5351" max="5351" width="24.77734375" style="56" customWidth="1"/>
    <col min="5352" max="5352" width="13.44140625" style="56" customWidth="1"/>
    <col min="5353" max="5353" width="8.77734375" style="56"/>
    <col min="5354" max="5354" width="6.77734375" style="56" customWidth="1"/>
    <col min="5355" max="5355" width="6.44140625" style="56" customWidth="1"/>
    <col min="5356" max="5356" width="8.21875" style="56" customWidth="1"/>
    <col min="5357" max="5357" width="6.77734375" style="56" customWidth="1"/>
    <col min="5358" max="5358" width="4.77734375" style="56" customWidth="1"/>
    <col min="5359" max="5360" width="5" style="56" customWidth="1"/>
    <col min="5361" max="5361" width="8.77734375" style="56"/>
    <col min="5362" max="5362" width="10.44140625" style="56" customWidth="1"/>
    <col min="5363" max="5363" width="3.77734375" style="56" customWidth="1"/>
    <col min="5364" max="5365" width="8.77734375" style="56"/>
    <col min="5366" max="5366" width="3.77734375" style="56" customWidth="1"/>
    <col min="5367" max="5606" width="8.77734375" style="56"/>
    <col min="5607" max="5607" width="24.77734375" style="56" customWidth="1"/>
    <col min="5608" max="5608" width="13.44140625" style="56" customWidth="1"/>
    <col min="5609" max="5609" width="8.77734375" style="56"/>
    <col min="5610" max="5610" width="6.77734375" style="56" customWidth="1"/>
    <col min="5611" max="5611" width="6.44140625" style="56" customWidth="1"/>
    <col min="5612" max="5612" width="8.21875" style="56" customWidth="1"/>
    <col min="5613" max="5613" width="6.77734375" style="56" customWidth="1"/>
    <col min="5614" max="5614" width="4.77734375" style="56" customWidth="1"/>
    <col min="5615" max="5616" width="5" style="56" customWidth="1"/>
    <col min="5617" max="5617" width="8.77734375" style="56"/>
    <col min="5618" max="5618" width="10.44140625" style="56" customWidth="1"/>
    <col min="5619" max="5619" width="3.77734375" style="56" customWidth="1"/>
    <col min="5620" max="5621" width="8.77734375" style="56"/>
    <col min="5622" max="5622" width="3.77734375" style="56" customWidth="1"/>
    <col min="5623" max="5862" width="8.77734375" style="56"/>
    <col min="5863" max="5863" width="24.77734375" style="56" customWidth="1"/>
    <col min="5864" max="5864" width="13.44140625" style="56" customWidth="1"/>
    <col min="5865" max="5865" width="8.77734375" style="56"/>
    <col min="5866" max="5866" width="6.77734375" style="56" customWidth="1"/>
    <col min="5867" max="5867" width="6.44140625" style="56" customWidth="1"/>
    <col min="5868" max="5868" width="8.21875" style="56" customWidth="1"/>
    <col min="5869" max="5869" width="6.77734375" style="56" customWidth="1"/>
    <col min="5870" max="5870" width="4.77734375" style="56" customWidth="1"/>
    <col min="5871" max="5872" width="5" style="56" customWidth="1"/>
    <col min="5873" max="5873" width="8.77734375" style="56"/>
    <col min="5874" max="5874" width="10.44140625" style="56" customWidth="1"/>
    <col min="5875" max="5875" width="3.77734375" style="56" customWidth="1"/>
    <col min="5876" max="5877" width="8.77734375" style="56"/>
    <col min="5878" max="5878" width="3.77734375" style="56" customWidth="1"/>
    <col min="5879" max="6118" width="8.77734375" style="56"/>
    <col min="6119" max="6119" width="24.77734375" style="56" customWidth="1"/>
    <col min="6120" max="6120" width="13.44140625" style="56" customWidth="1"/>
    <col min="6121" max="6121" width="8.77734375" style="56"/>
    <col min="6122" max="6122" width="6.77734375" style="56" customWidth="1"/>
    <col min="6123" max="6123" width="6.44140625" style="56" customWidth="1"/>
    <col min="6124" max="6124" width="8.21875" style="56" customWidth="1"/>
    <col min="6125" max="6125" width="6.77734375" style="56" customWidth="1"/>
    <col min="6126" max="6126" width="4.77734375" style="56" customWidth="1"/>
    <col min="6127" max="6128" width="5" style="56" customWidth="1"/>
    <col min="6129" max="6129" width="8.77734375" style="56"/>
    <col min="6130" max="6130" width="10.44140625" style="56" customWidth="1"/>
    <col min="6131" max="6131" width="3.77734375" style="56" customWidth="1"/>
    <col min="6132" max="6133" width="8.77734375" style="56"/>
    <col min="6134" max="6134" width="3.77734375" style="56" customWidth="1"/>
    <col min="6135" max="6374" width="8.77734375" style="56"/>
    <col min="6375" max="6375" width="24.77734375" style="56" customWidth="1"/>
    <col min="6376" max="6376" width="13.44140625" style="56" customWidth="1"/>
    <col min="6377" max="6377" width="8.77734375" style="56"/>
    <col min="6378" max="6378" width="6.77734375" style="56" customWidth="1"/>
    <col min="6379" max="6379" width="6.44140625" style="56" customWidth="1"/>
    <col min="6380" max="6380" width="8.21875" style="56" customWidth="1"/>
    <col min="6381" max="6381" width="6.77734375" style="56" customWidth="1"/>
    <col min="6382" max="6382" width="4.77734375" style="56" customWidth="1"/>
    <col min="6383" max="6384" width="5" style="56" customWidth="1"/>
    <col min="6385" max="6385" width="8.77734375" style="56"/>
    <col min="6386" max="6386" width="10.44140625" style="56" customWidth="1"/>
    <col min="6387" max="6387" width="3.77734375" style="56" customWidth="1"/>
    <col min="6388" max="6389" width="8.77734375" style="56"/>
    <col min="6390" max="6390" width="3.77734375" style="56" customWidth="1"/>
    <col min="6391" max="6630" width="8.77734375" style="56"/>
    <col min="6631" max="6631" width="24.77734375" style="56" customWidth="1"/>
    <col min="6632" max="6632" width="13.44140625" style="56" customWidth="1"/>
    <col min="6633" max="6633" width="8.77734375" style="56"/>
    <col min="6634" max="6634" width="6.77734375" style="56" customWidth="1"/>
    <col min="6635" max="6635" width="6.44140625" style="56" customWidth="1"/>
    <col min="6636" max="6636" width="8.21875" style="56" customWidth="1"/>
    <col min="6637" max="6637" width="6.77734375" style="56" customWidth="1"/>
    <col min="6638" max="6638" width="4.77734375" style="56" customWidth="1"/>
    <col min="6639" max="6640" width="5" style="56" customWidth="1"/>
    <col min="6641" max="6641" width="8.77734375" style="56"/>
    <col min="6642" max="6642" width="10.44140625" style="56" customWidth="1"/>
    <col min="6643" max="6643" width="3.77734375" style="56" customWidth="1"/>
    <col min="6644" max="6645" width="8.77734375" style="56"/>
    <col min="6646" max="6646" width="3.77734375" style="56" customWidth="1"/>
    <col min="6647" max="6886" width="8.77734375" style="56"/>
    <col min="6887" max="6887" width="24.77734375" style="56" customWidth="1"/>
    <col min="6888" max="6888" width="13.44140625" style="56" customWidth="1"/>
    <col min="6889" max="6889" width="8.77734375" style="56"/>
    <col min="6890" max="6890" width="6.77734375" style="56" customWidth="1"/>
    <col min="6891" max="6891" width="6.44140625" style="56" customWidth="1"/>
    <col min="6892" max="6892" width="8.21875" style="56" customWidth="1"/>
    <col min="6893" max="6893" width="6.77734375" style="56" customWidth="1"/>
    <col min="6894" max="6894" width="4.77734375" style="56" customWidth="1"/>
    <col min="6895" max="6896" width="5" style="56" customWidth="1"/>
    <col min="6897" max="6897" width="8.77734375" style="56"/>
    <col min="6898" max="6898" width="10.44140625" style="56" customWidth="1"/>
    <col min="6899" max="6899" width="3.77734375" style="56" customWidth="1"/>
    <col min="6900" max="6901" width="8.77734375" style="56"/>
    <col min="6902" max="6902" width="3.77734375" style="56" customWidth="1"/>
    <col min="6903" max="7142" width="8.77734375" style="56"/>
    <col min="7143" max="7143" width="24.77734375" style="56" customWidth="1"/>
    <col min="7144" max="7144" width="13.44140625" style="56" customWidth="1"/>
    <col min="7145" max="7145" width="8.77734375" style="56"/>
    <col min="7146" max="7146" width="6.77734375" style="56" customWidth="1"/>
    <col min="7147" max="7147" width="6.44140625" style="56" customWidth="1"/>
    <col min="7148" max="7148" width="8.21875" style="56" customWidth="1"/>
    <col min="7149" max="7149" width="6.77734375" style="56" customWidth="1"/>
    <col min="7150" max="7150" width="4.77734375" style="56" customWidth="1"/>
    <col min="7151" max="7152" width="5" style="56" customWidth="1"/>
    <col min="7153" max="7153" width="8.77734375" style="56"/>
    <col min="7154" max="7154" width="10.44140625" style="56" customWidth="1"/>
    <col min="7155" max="7155" width="3.77734375" style="56" customWidth="1"/>
    <col min="7156" max="7157" width="8.77734375" style="56"/>
    <col min="7158" max="7158" width="3.77734375" style="56" customWidth="1"/>
    <col min="7159" max="7398" width="8.77734375" style="56"/>
    <col min="7399" max="7399" width="24.77734375" style="56" customWidth="1"/>
    <col min="7400" max="7400" width="13.44140625" style="56" customWidth="1"/>
    <col min="7401" max="7401" width="8.77734375" style="56"/>
    <col min="7402" max="7402" width="6.77734375" style="56" customWidth="1"/>
    <col min="7403" max="7403" width="6.44140625" style="56" customWidth="1"/>
    <col min="7404" max="7404" width="8.21875" style="56" customWidth="1"/>
    <col min="7405" max="7405" width="6.77734375" style="56" customWidth="1"/>
    <col min="7406" max="7406" width="4.77734375" style="56" customWidth="1"/>
    <col min="7407" max="7408" width="5" style="56" customWidth="1"/>
    <col min="7409" max="7409" width="8.77734375" style="56"/>
    <col min="7410" max="7410" width="10.44140625" style="56" customWidth="1"/>
    <col min="7411" max="7411" width="3.77734375" style="56" customWidth="1"/>
    <col min="7412" max="7413" width="8.77734375" style="56"/>
    <col min="7414" max="7414" width="3.77734375" style="56" customWidth="1"/>
    <col min="7415" max="7654" width="8.77734375" style="56"/>
    <col min="7655" max="7655" width="24.77734375" style="56" customWidth="1"/>
    <col min="7656" max="7656" width="13.44140625" style="56" customWidth="1"/>
    <col min="7657" max="7657" width="8.77734375" style="56"/>
    <col min="7658" max="7658" width="6.77734375" style="56" customWidth="1"/>
    <col min="7659" max="7659" width="6.44140625" style="56" customWidth="1"/>
    <col min="7660" max="7660" width="8.21875" style="56" customWidth="1"/>
    <col min="7661" max="7661" width="6.77734375" style="56" customWidth="1"/>
    <col min="7662" max="7662" width="4.77734375" style="56" customWidth="1"/>
    <col min="7663" max="7664" width="5" style="56" customWidth="1"/>
    <col min="7665" max="7665" width="8.77734375" style="56"/>
    <col min="7666" max="7666" width="10.44140625" style="56" customWidth="1"/>
    <col min="7667" max="7667" width="3.77734375" style="56" customWidth="1"/>
    <col min="7668" max="7669" width="8.77734375" style="56"/>
    <col min="7670" max="7670" width="3.77734375" style="56" customWidth="1"/>
    <col min="7671" max="7910" width="8.77734375" style="56"/>
    <col min="7911" max="7911" width="24.77734375" style="56" customWidth="1"/>
    <col min="7912" max="7912" width="13.44140625" style="56" customWidth="1"/>
    <col min="7913" max="7913" width="8.77734375" style="56"/>
    <col min="7914" max="7914" width="6.77734375" style="56" customWidth="1"/>
    <col min="7915" max="7915" width="6.44140625" style="56" customWidth="1"/>
    <col min="7916" max="7916" width="8.21875" style="56" customWidth="1"/>
    <col min="7917" max="7917" width="6.77734375" style="56" customWidth="1"/>
    <col min="7918" max="7918" width="4.77734375" style="56" customWidth="1"/>
    <col min="7919" max="7920" width="5" style="56" customWidth="1"/>
    <col min="7921" max="7921" width="8.77734375" style="56"/>
    <col min="7922" max="7922" width="10.44140625" style="56" customWidth="1"/>
    <col min="7923" max="7923" width="3.77734375" style="56" customWidth="1"/>
    <col min="7924" max="7925" width="8.77734375" style="56"/>
    <col min="7926" max="7926" width="3.77734375" style="56" customWidth="1"/>
    <col min="7927" max="8166" width="8.77734375" style="56"/>
    <col min="8167" max="8167" width="24.77734375" style="56" customWidth="1"/>
    <col min="8168" max="8168" width="13.44140625" style="56" customWidth="1"/>
    <col min="8169" max="8169" width="8.77734375" style="56"/>
    <col min="8170" max="8170" width="6.77734375" style="56" customWidth="1"/>
    <col min="8171" max="8171" width="6.44140625" style="56" customWidth="1"/>
    <col min="8172" max="8172" width="8.21875" style="56" customWidth="1"/>
    <col min="8173" max="8173" width="6.77734375" style="56" customWidth="1"/>
    <col min="8174" max="8174" width="4.77734375" style="56" customWidth="1"/>
    <col min="8175" max="8176" width="5" style="56" customWidth="1"/>
    <col min="8177" max="8177" width="8.77734375" style="56"/>
    <col min="8178" max="8178" width="10.44140625" style="56" customWidth="1"/>
    <col min="8179" max="8179" width="3.77734375" style="56" customWidth="1"/>
    <col min="8180" max="8181" width="8.77734375" style="56"/>
    <col min="8182" max="8182" width="3.77734375" style="56" customWidth="1"/>
    <col min="8183" max="8422" width="8.77734375" style="56"/>
    <col min="8423" max="8423" width="24.77734375" style="56" customWidth="1"/>
    <col min="8424" max="8424" width="13.44140625" style="56" customWidth="1"/>
    <col min="8425" max="8425" width="8.77734375" style="56"/>
    <col min="8426" max="8426" width="6.77734375" style="56" customWidth="1"/>
    <col min="8427" max="8427" width="6.44140625" style="56" customWidth="1"/>
    <col min="8428" max="8428" width="8.21875" style="56" customWidth="1"/>
    <col min="8429" max="8429" width="6.77734375" style="56" customWidth="1"/>
    <col min="8430" max="8430" width="4.77734375" style="56" customWidth="1"/>
    <col min="8431" max="8432" width="5" style="56" customWidth="1"/>
    <col min="8433" max="8433" width="8.77734375" style="56"/>
    <col min="8434" max="8434" width="10.44140625" style="56" customWidth="1"/>
    <col min="8435" max="8435" width="3.77734375" style="56" customWidth="1"/>
    <col min="8436" max="8437" width="8.77734375" style="56"/>
    <col min="8438" max="8438" width="3.77734375" style="56" customWidth="1"/>
    <col min="8439" max="8678" width="8.77734375" style="56"/>
    <col min="8679" max="8679" width="24.77734375" style="56" customWidth="1"/>
    <col min="8680" max="8680" width="13.44140625" style="56" customWidth="1"/>
    <col min="8681" max="8681" width="8.77734375" style="56"/>
    <col min="8682" max="8682" width="6.77734375" style="56" customWidth="1"/>
    <col min="8683" max="8683" width="6.44140625" style="56" customWidth="1"/>
    <col min="8684" max="8684" width="8.21875" style="56" customWidth="1"/>
    <col min="8685" max="8685" width="6.77734375" style="56" customWidth="1"/>
    <col min="8686" max="8686" width="4.77734375" style="56" customWidth="1"/>
    <col min="8687" max="8688" width="5" style="56" customWidth="1"/>
    <col min="8689" max="8689" width="8.77734375" style="56"/>
    <col min="8690" max="8690" width="10.44140625" style="56" customWidth="1"/>
    <col min="8691" max="8691" width="3.77734375" style="56" customWidth="1"/>
    <col min="8692" max="8693" width="8.77734375" style="56"/>
    <col min="8694" max="8694" width="3.77734375" style="56" customWidth="1"/>
    <col min="8695" max="8934" width="8.77734375" style="56"/>
    <col min="8935" max="8935" width="24.77734375" style="56" customWidth="1"/>
    <col min="8936" max="8936" width="13.44140625" style="56" customWidth="1"/>
    <col min="8937" max="8937" width="8.77734375" style="56"/>
    <col min="8938" max="8938" width="6.77734375" style="56" customWidth="1"/>
    <col min="8939" max="8939" width="6.44140625" style="56" customWidth="1"/>
    <col min="8940" max="8940" width="8.21875" style="56" customWidth="1"/>
    <col min="8941" max="8941" width="6.77734375" style="56" customWidth="1"/>
    <col min="8942" max="8942" width="4.77734375" style="56" customWidth="1"/>
    <col min="8943" max="8944" width="5" style="56" customWidth="1"/>
    <col min="8945" max="8945" width="8.77734375" style="56"/>
    <col min="8946" max="8946" width="10.44140625" style="56" customWidth="1"/>
    <col min="8947" max="8947" width="3.77734375" style="56" customWidth="1"/>
    <col min="8948" max="8949" width="8.77734375" style="56"/>
    <col min="8950" max="8950" width="3.77734375" style="56" customWidth="1"/>
    <col min="8951" max="9190" width="8.77734375" style="56"/>
    <col min="9191" max="9191" width="24.77734375" style="56" customWidth="1"/>
    <col min="9192" max="9192" width="13.44140625" style="56" customWidth="1"/>
    <col min="9193" max="9193" width="8.77734375" style="56"/>
    <col min="9194" max="9194" width="6.77734375" style="56" customWidth="1"/>
    <col min="9195" max="9195" width="6.44140625" style="56" customWidth="1"/>
    <col min="9196" max="9196" width="8.21875" style="56" customWidth="1"/>
    <col min="9197" max="9197" width="6.77734375" style="56" customWidth="1"/>
    <col min="9198" max="9198" width="4.77734375" style="56" customWidth="1"/>
    <col min="9199" max="9200" width="5" style="56" customWidth="1"/>
    <col min="9201" max="9201" width="8.77734375" style="56"/>
    <col min="9202" max="9202" width="10.44140625" style="56" customWidth="1"/>
    <col min="9203" max="9203" width="3.77734375" style="56" customWidth="1"/>
    <col min="9204" max="9205" width="8.77734375" style="56"/>
    <col min="9206" max="9206" width="3.77734375" style="56" customWidth="1"/>
    <col min="9207" max="9446" width="8.77734375" style="56"/>
    <col min="9447" max="9447" width="24.77734375" style="56" customWidth="1"/>
    <col min="9448" max="9448" width="13.44140625" style="56" customWidth="1"/>
    <col min="9449" max="9449" width="8.77734375" style="56"/>
    <col min="9450" max="9450" width="6.77734375" style="56" customWidth="1"/>
    <col min="9451" max="9451" width="6.44140625" style="56" customWidth="1"/>
    <col min="9452" max="9452" width="8.21875" style="56" customWidth="1"/>
    <col min="9453" max="9453" width="6.77734375" style="56" customWidth="1"/>
    <col min="9454" max="9454" width="4.77734375" style="56" customWidth="1"/>
    <col min="9455" max="9456" width="5" style="56" customWidth="1"/>
    <col min="9457" max="9457" width="8.77734375" style="56"/>
    <col min="9458" max="9458" width="10.44140625" style="56" customWidth="1"/>
    <col min="9459" max="9459" width="3.77734375" style="56" customWidth="1"/>
    <col min="9460" max="9461" width="8.77734375" style="56"/>
    <col min="9462" max="9462" width="3.77734375" style="56" customWidth="1"/>
    <col min="9463" max="9702" width="8.77734375" style="56"/>
    <col min="9703" max="9703" width="24.77734375" style="56" customWidth="1"/>
    <col min="9704" max="9704" width="13.44140625" style="56" customWidth="1"/>
    <col min="9705" max="9705" width="8.77734375" style="56"/>
    <col min="9706" max="9706" width="6.77734375" style="56" customWidth="1"/>
    <col min="9707" max="9707" width="6.44140625" style="56" customWidth="1"/>
    <col min="9708" max="9708" width="8.21875" style="56" customWidth="1"/>
    <col min="9709" max="9709" width="6.77734375" style="56" customWidth="1"/>
    <col min="9710" max="9710" width="4.77734375" style="56" customWidth="1"/>
    <col min="9711" max="9712" width="5" style="56" customWidth="1"/>
    <col min="9713" max="9713" width="8.77734375" style="56"/>
    <col min="9714" max="9714" width="10.44140625" style="56" customWidth="1"/>
    <col min="9715" max="9715" width="3.77734375" style="56" customWidth="1"/>
    <col min="9716" max="9717" width="8.77734375" style="56"/>
    <col min="9718" max="9718" width="3.77734375" style="56" customWidth="1"/>
    <col min="9719" max="9958" width="8.77734375" style="56"/>
    <col min="9959" max="9959" width="24.77734375" style="56" customWidth="1"/>
    <col min="9960" max="9960" width="13.44140625" style="56" customWidth="1"/>
    <col min="9961" max="9961" width="8.77734375" style="56"/>
    <col min="9962" max="9962" width="6.77734375" style="56" customWidth="1"/>
    <col min="9963" max="9963" width="6.44140625" style="56" customWidth="1"/>
    <col min="9964" max="9964" width="8.21875" style="56" customWidth="1"/>
    <col min="9965" max="9965" width="6.77734375" style="56" customWidth="1"/>
    <col min="9966" max="9966" width="4.77734375" style="56" customWidth="1"/>
    <col min="9967" max="9968" width="5" style="56" customWidth="1"/>
    <col min="9969" max="9969" width="8.77734375" style="56"/>
    <col min="9970" max="9970" width="10.44140625" style="56" customWidth="1"/>
    <col min="9971" max="9971" width="3.77734375" style="56" customWidth="1"/>
    <col min="9972" max="9973" width="8.77734375" style="56"/>
    <col min="9974" max="9974" width="3.77734375" style="56" customWidth="1"/>
    <col min="9975" max="10214" width="8.77734375" style="56"/>
    <col min="10215" max="10215" width="24.77734375" style="56" customWidth="1"/>
    <col min="10216" max="10216" width="13.44140625" style="56" customWidth="1"/>
    <col min="10217" max="10217" width="8.77734375" style="56"/>
    <col min="10218" max="10218" width="6.77734375" style="56" customWidth="1"/>
    <col min="10219" max="10219" width="6.44140625" style="56" customWidth="1"/>
    <col min="10220" max="10220" width="8.21875" style="56" customWidth="1"/>
    <col min="10221" max="10221" width="6.77734375" style="56" customWidth="1"/>
    <col min="10222" max="10222" width="4.77734375" style="56" customWidth="1"/>
    <col min="10223" max="10224" width="5" style="56" customWidth="1"/>
    <col min="10225" max="10225" width="8.77734375" style="56"/>
    <col min="10226" max="10226" width="10.44140625" style="56" customWidth="1"/>
    <col min="10227" max="10227" width="3.77734375" style="56" customWidth="1"/>
    <col min="10228" max="10229" width="8.77734375" style="56"/>
    <col min="10230" max="10230" width="3.77734375" style="56" customWidth="1"/>
    <col min="10231" max="10470" width="8.77734375" style="56"/>
    <col min="10471" max="10471" width="24.77734375" style="56" customWidth="1"/>
    <col min="10472" max="10472" width="13.44140625" style="56" customWidth="1"/>
    <col min="10473" max="10473" width="8.77734375" style="56"/>
    <col min="10474" max="10474" width="6.77734375" style="56" customWidth="1"/>
    <col min="10475" max="10475" width="6.44140625" style="56" customWidth="1"/>
    <col min="10476" max="10476" width="8.21875" style="56" customWidth="1"/>
    <col min="10477" max="10477" width="6.77734375" style="56" customWidth="1"/>
    <col min="10478" max="10478" width="4.77734375" style="56" customWidth="1"/>
    <col min="10479" max="10480" width="5" style="56" customWidth="1"/>
    <col min="10481" max="10481" width="8.77734375" style="56"/>
    <col min="10482" max="10482" width="10.44140625" style="56" customWidth="1"/>
    <col min="10483" max="10483" width="3.77734375" style="56" customWidth="1"/>
    <col min="10484" max="10485" width="8.77734375" style="56"/>
    <col min="10486" max="10486" width="3.77734375" style="56" customWidth="1"/>
    <col min="10487" max="10726" width="8.77734375" style="56"/>
    <col min="10727" max="10727" width="24.77734375" style="56" customWidth="1"/>
    <col min="10728" max="10728" width="13.44140625" style="56" customWidth="1"/>
    <col min="10729" max="10729" width="8.77734375" style="56"/>
    <col min="10730" max="10730" width="6.77734375" style="56" customWidth="1"/>
    <col min="10731" max="10731" width="6.44140625" style="56" customWidth="1"/>
    <col min="10732" max="10732" width="8.21875" style="56" customWidth="1"/>
    <col min="10733" max="10733" width="6.77734375" style="56" customWidth="1"/>
    <col min="10734" max="10734" width="4.77734375" style="56" customWidth="1"/>
    <col min="10735" max="10736" width="5" style="56" customWidth="1"/>
    <col min="10737" max="10737" width="8.77734375" style="56"/>
    <col min="10738" max="10738" width="10.44140625" style="56" customWidth="1"/>
    <col min="10739" max="10739" width="3.77734375" style="56" customWidth="1"/>
    <col min="10740" max="10741" width="8.77734375" style="56"/>
    <col min="10742" max="10742" width="3.77734375" style="56" customWidth="1"/>
    <col min="10743" max="10982" width="8.77734375" style="56"/>
    <col min="10983" max="10983" width="24.77734375" style="56" customWidth="1"/>
    <col min="10984" max="10984" width="13.44140625" style="56" customWidth="1"/>
    <col min="10985" max="10985" width="8.77734375" style="56"/>
    <col min="10986" max="10986" width="6.77734375" style="56" customWidth="1"/>
    <col min="10987" max="10987" width="6.44140625" style="56" customWidth="1"/>
    <col min="10988" max="10988" width="8.21875" style="56" customWidth="1"/>
    <col min="10989" max="10989" width="6.77734375" style="56" customWidth="1"/>
    <col min="10990" max="10990" width="4.77734375" style="56" customWidth="1"/>
    <col min="10991" max="10992" width="5" style="56" customWidth="1"/>
    <col min="10993" max="10993" width="8.77734375" style="56"/>
    <col min="10994" max="10994" width="10.44140625" style="56" customWidth="1"/>
    <col min="10995" max="10995" width="3.77734375" style="56" customWidth="1"/>
    <col min="10996" max="10997" width="8.77734375" style="56"/>
    <col min="10998" max="10998" width="3.77734375" style="56" customWidth="1"/>
    <col min="10999" max="11238" width="8.77734375" style="56"/>
    <col min="11239" max="11239" width="24.77734375" style="56" customWidth="1"/>
    <col min="11240" max="11240" width="13.44140625" style="56" customWidth="1"/>
    <col min="11241" max="11241" width="8.77734375" style="56"/>
    <col min="11242" max="11242" width="6.77734375" style="56" customWidth="1"/>
    <col min="11243" max="11243" width="6.44140625" style="56" customWidth="1"/>
    <col min="11244" max="11244" width="8.21875" style="56" customWidth="1"/>
    <col min="11245" max="11245" width="6.77734375" style="56" customWidth="1"/>
    <col min="11246" max="11246" width="4.77734375" style="56" customWidth="1"/>
    <col min="11247" max="11248" width="5" style="56" customWidth="1"/>
    <col min="11249" max="11249" width="8.77734375" style="56"/>
    <col min="11250" max="11250" width="10.44140625" style="56" customWidth="1"/>
    <col min="11251" max="11251" width="3.77734375" style="56" customWidth="1"/>
    <col min="11252" max="11253" width="8.77734375" style="56"/>
    <col min="11254" max="11254" width="3.77734375" style="56" customWidth="1"/>
    <col min="11255" max="11494" width="8.77734375" style="56"/>
    <col min="11495" max="11495" width="24.77734375" style="56" customWidth="1"/>
    <col min="11496" max="11496" width="13.44140625" style="56" customWidth="1"/>
    <col min="11497" max="11497" width="8.77734375" style="56"/>
    <col min="11498" max="11498" width="6.77734375" style="56" customWidth="1"/>
    <col min="11499" max="11499" width="6.44140625" style="56" customWidth="1"/>
    <col min="11500" max="11500" width="8.21875" style="56" customWidth="1"/>
    <col min="11501" max="11501" width="6.77734375" style="56" customWidth="1"/>
    <col min="11502" max="11502" width="4.77734375" style="56" customWidth="1"/>
    <col min="11503" max="11504" width="5" style="56" customWidth="1"/>
    <col min="11505" max="11505" width="8.77734375" style="56"/>
    <col min="11506" max="11506" width="10.44140625" style="56" customWidth="1"/>
    <col min="11507" max="11507" width="3.77734375" style="56" customWidth="1"/>
    <col min="11508" max="11509" width="8.77734375" style="56"/>
    <col min="11510" max="11510" width="3.77734375" style="56" customWidth="1"/>
    <col min="11511" max="11750" width="8.77734375" style="56"/>
    <col min="11751" max="11751" width="24.77734375" style="56" customWidth="1"/>
    <col min="11752" max="11752" width="13.44140625" style="56" customWidth="1"/>
    <col min="11753" max="11753" width="8.77734375" style="56"/>
    <col min="11754" max="11754" width="6.77734375" style="56" customWidth="1"/>
    <col min="11755" max="11755" width="6.44140625" style="56" customWidth="1"/>
    <col min="11756" max="11756" width="8.21875" style="56" customWidth="1"/>
    <col min="11757" max="11757" width="6.77734375" style="56" customWidth="1"/>
    <col min="11758" max="11758" width="4.77734375" style="56" customWidth="1"/>
    <col min="11759" max="11760" width="5" style="56" customWidth="1"/>
    <col min="11761" max="11761" width="8.77734375" style="56"/>
    <col min="11762" max="11762" width="10.44140625" style="56" customWidth="1"/>
    <col min="11763" max="11763" width="3.77734375" style="56" customWidth="1"/>
    <col min="11764" max="11765" width="8.77734375" style="56"/>
    <col min="11766" max="11766" width="3.77734375" style="56" customWidth="1"/>
    <col min="11767" max="12006" width="8.77734375" style="56"/>
    <col min="12007" max="12007" width="24.77734375" style="56" customWidth="1"/>
    <col min="12008" max="12008" width="13.44140625" style="56" customWidth="1"/>
    <col min="12009" max="12009" width="8.77734375" style="56"/>
    <col min="12010" max="12010" width="6.77734375" style="56" customWidth="1"/>
    <col min="12011" max="12011" width="6.44140625" style="56" customWidth="1"/>
    <col min="12012" max="12012" width="8.21875" style="56" customWidth="1"/>
    <col min="12013" max="12013" width="6.77734375" style="56" customWidth="1"/>
    <col min="12014" max="12014" width="4.77734375" style="56" customWidth="1"/>
    <col min="12015" max="12016" width="5" style="56" customWidth="1"/>
    <col min="12017" max="12017" width="8.77734375" style="56"/>
    <col min="12018" max="12018" width="10.44140625" style="56" customWidth="1"/>
    <col min="12019" max="12019" width="3.77734375" style="56" customWidth="1"/>
    <col min="12020" max="12021" width="8.77734375" style="56"/>
    <col min="12022" max="12022" width="3.77734375" style="56" customWidth="1"/>
    <col min="12023" max="12262" width="8.77734375" style="56"/>
    <col min="12263" max="12263" width="24.77734375" style="56" customWidth="1"/>
    <col min="12264" max="12264" width="13.44140625" style="56" customWidth="1"/>
    <col min="12265" max="12265" width="8.77734375" style="56"/>
    <col min="12266" max="12266" width="6.77734375" style="56" customWidth="1"/>
    <col min="12267" max="12267" width="6.44140625" style="56" customWidth="1"/>
    <col min="12268" max="12268" width="8.21875" style="56" customWidth="1"/>
    <col min="12269" max="12269" width="6.77734375" style="56" customWidth="1"/>
    <col min="12270" max="12270" width="4.77734375" style="56" customWidth="1"/>
    <col min="12271" max="12272" width="5" style="56" customWidth="1"/>
    <col min="12273" max="12273" width="8.77734375" style="56"/>
    <col min="12274" max="12274" width="10.44140625" style="56" customWidth="1"/>
    <col min="12275" max="12275" width="3.77734375" style="56" customWidth="1"/>
    <col min="12276" max="12277" width="8.77734375" style="56"/>
    <col min="12278" max="12278" width="3.77734375" style="56" customWidth="1"/>
    <col min="12279" max="12518" width="8.77734375" style="56"/>
    <col min="12519" max="12519" width="24.77734375" style="56" customWidth="1"/>
    <col min="12520" max="12520" width="13.44140625" style="56" customWidth="1"/>
    <col min="12521" max="12521" width="8.77734375" style="56"/>
    <col min="12522" max="12522" width="6.77734375" style="56" customWidth="1"/>
    <col min="12523" max="12523" width="6.44140625" style="56" customWidth="1"/>
    <col min="12524" max="12524" width="8.21875" style="56" customWidth="1"/>
    <col min="12525" max="12525" width="6.77734375" style="56" customWidth="1"/>
    <col min="12526" max="12526" width="4.77734375" style="56" customWidth="1"/>
    <col min="12527" max="12528" width="5" style="56" customWidth="1"/>
    <col min="12529" max="12529" width="8.77734375" style="56"/>
    <col min="12530" max="12530" width="10.44140625" style="56" customWidth="1"/>
    <col min="12531" max="12531" width="3.77734375" style="56" customWidth="1"/>
    <col min="12532" max="12533" width="8.77734375" style="56"/>
    <col min="12534" max="12534" width="3.77734375" style="56" customWidth="1"/>
    <col min="12535" max="12774" width="8.77734375" style="56"/>
    <col min="12775" max="12775" width="24.77734375" style="56" customWidth="1"/>
    <col min="12776" max="12776" width="13.44140625" style="56" customWidth="1"/>
    <col min="12777" max="12777" width="8.77734375" style="56"/>
    <col min="12778" max="12778" width="6.77734375" style="56" customWidth="1"/>
    <col min="12779" max="12779" width="6.44140625" style="56" customWidth="1"/>
    <col min="12780" max="12780" width="8.21875" style="56" customWidth="1"/>
    <col min="12781" max="12781" width="6.77734375" style="56" customWidth="1"/>
    <col min="12782" max="12782" width="4.77734375" style="56" customWidth="1"/>
    <col min="12783" max="12784" width="5" style="56" customWidth="1"/>
    <col min="12785" max="12785" width="8.77734375" style="56"/>
    <col min="12786" max="12786" width="10.44140625" style="56" customWidth="1"/>
    <col min="12787" max="12787" width="3.77734375" style="56" customWidth="1"/>
    <col min="12788" max="12789" width="8.77734375" style="56"/>
    <col min="12790" max="12790" width="3.77734375" style="56" customWidth="1"/>
    <col min="12791" max="13030" width="8.77734375" style="56"/>
    <col min="13031" max="13031" width="24.77734375" style="56" customWidth="1"/>
    <col min="13032" max="13032" width="13.44140625" style="56" customWidth="1"/>
    <col min="13033" max="13033" width="8.77734375" style="56"/>
    <col min="13034" max="13034" width="6.77734375" style="56" customWidth="1"/>
    <col min="13035" max="13035" width="6.44140625" style="56" customWidth="1"/>
    <col min="13036" max="13036" width="8.21875" style="56" customWidth="1"/>
    <col min="13037" max="13037" width="6.77734375" style="56" customWidth="1"/>
    <col min="13038" max="13038" width="4.77734375" style="56" customWidth="1"/>
    <col min="13039" max="13040" width="5" style="56" customWidth="1"/>
    <col min="13041" max="13041" width="8.77734375" style="56"/>
    <col min="13042" max="13042" width="10.44140625" style="56" customWidth="1"/>
    <col min="13043" max="13043" width="3.77734375" style="56" customWidth="1"/>
    <col min="13044" max="13045" width="8.77734375" style="56"/>
    <col min="13046" max="13046" width="3.77734375" style="56" customWidth="1"/>
    <col min="13047" max="13286" width="8.77734375" style="56"/>
    <col min="13287" max="13287" width="24.77734375" style="56" customWidth="1"/>
    <col min="13288" max="13288" width="13.44140625" style="56" customWidth="1"/>
    <col min="13289" max="13289" width="8.77734375" style="56"/>
    <col min="13290" max="13290" width="6.77734375" style="56" customWidth="1"/>
    <col min="13291" max="13291" width="6.44140625" style="56" customWidth="1"/>
    <col min="13292" max="13292" width="8.21875" style="56" customWidth="1"/>
    <col min="13293" max="13293" width="6.77734375" style="56" customWidth="1"/>
    <col min="13294" max="13294" width="4.77734375" style="56" customWidth="1"/>
    <col min="13295" max="13296" width="5" style="56" customWidth="1"/>
    <col min="13297" max="13297" width="8.77734375" style="56"/>
    <col min="13298" max="13298" width="10.44140625" style="56" customWidth="1"/>
    <col min="13299" max="13299" width="3.77734375" style="56" customWidth="1"/>
    <col min="13300" max="13301" width="8.77734375" style="56"/>
    <col min="13302" max="13302" width="3.77734375" style="56" customWidth="1"/>
    <col min="13303" max="13542" width="8.77734375" style="56"/>
    <col min="13543" max="13543" width="24.77734375" style="56" customWidth="1"/>
    <col min="13544" max="13544" width="13.44140625" style="56" customWidth="1"/>
    <col min="13545" max="13545" width="8.77734375" style="56"/>
    <col min="13546" max="13546" width="6.77734375" style="56" customWidth="1"/>
    <col min="13547" max="13547" width="6.44140625" style="56" customWidth="1"/>
    <col min="13548" max="13548" width="8.21875" style="56" customWidth="1"/>
    <col min="13549" max="13549" width="6.77734375" style="56" customWidth="1"/>
    <col min="13550" max="13550" width="4.77734375" style="56" customWidth="1"/>
    <col min="13551" max="13552" width="5" style="56" customWidth="1"/>
    <col min="13553" max="13553" width="8.77734375" style="56"/>
    <col min="13554" max="13554" width="10.44140625" style="56" customWidth="1"/>
    <col min="13555" max="13555" width="3.77734375" style="56" customWidth="1"/>
    <col min="13556" max="13557" width="8.77734375" style="56"/>
    <col min="13558" max="13558" width="3.77734375" style="56" customWidth="1"/>
    <col min="13559" max="13798" width="8.77734375" style="56"/>
    <col min="13799" max="13799" width="24.77734375" style="56" customWidth="1"/>
    <col min="13800" max="13800" width="13.44140625" style="56" customWidth="1"/>
    <col min="13801" max="13801" width="8.77734375" style="56"/>
    <col min="13802" max="13802" width="6.77734375" style="56" customWidth="1"/>
    <col min="13803" max="13803" width="6.44140625" style="56" customWidth="1"/>
    <col min="13804" max="13804" width="8.21875" style="56" customWidth="1"/>
    <col min="13805" max="13805" width="6.77734375" style="56" customWidth="1"/>
    <col min="13806" max="13806" width="4.77734375" style="56" customWidth="1"/>
    <col min="13807" max="13808" width="5" style="56" customWidth="1"/>
    <col min="13809" max="13809" width="8.77734375" style="56"/>
    <col min="13810" max="13810" width="10.44140625" style="56" customWidth="1"/>
    <col min="13811" max="13811" width="3.77734375" style="56" customWidth="1"/>
    <col min="13812" max="13813" width="8.77734375" style="56"/>
    <col min="13814" max="13814" width="3.77734375" style="56" customWidth="1"/>
    <col min="13815" max="14054" width="8.77734375" style="56"/>
    <col min="14055" max="14055" width="24.77734375" style="56" customWidth="1"/>
    <col min="14056" max="14056" width="13.44140625" style="56" customWidth="1"/>
    <col min="14057" max="14057" width="8.77734375" style="56"/>
    <col min="14058" max="14058" width="6.77734375" style="56" customWidth="1"/>
    <col min="14059" max="14059" width="6.44140625" style="56" customWidth="1"/>
    <col min="14060" max="14060" width="8.21875" style="56" customWidth="1"/>
    <col min="14061" max="14061" width="6.77734375" style="56" customWidth="1"/>
    <col min="14062" max="14062" width="4.77734375" style="56" customWidth="1"/>
    <col min="14063" max="14064" width="5" style="56" customWidth="1"/>
    <col min="14065" max="14065" width="8.77734375" style="56"/>
    <col min="14066" max="14066" width="10.44140625" style="56" customWidth="1"/>
    <col min="14067" max="14067" width="3.77734375" style="56" customWidth="1"/>
    <col min="14068" max="14069" width="8.77734375" style="56"/>
    <col min="14070" max="14070" width="3.77734375" style="56" customWidth="1"/>
    <col min="14071" max="14310" width="8.77734375" style="56"/>
    <col min="14311" max="14311" width="24.77734375" style="56" customWidth="1"/>
    <col min="14312" max="14312" width="13.44140625" style="56" customWidth="1"/>
    <col min="14313" max="14313" width="8.77734375" style="56"/>
    <col min="14314" max="14314" width="6.77734375" style="56" customWidth="1"/>
    <col min="14315" max="14315" width="6.44140625" style="56" customWidth="1"/>
    <col min="14316" max="14316" width="8.21875" style="56" customWidth="1"/>
    <col min="14317" max="14317" width="6.77734375" style="56" customWidth="1"/>
    <col min="14318" max="14318" width="4.77734375" style="56" customWidth="1"/>
    <col min="14319" max="14320" width="5" style="56" customWidth="1"/>
    <col min="14321" max="14321" width="8.77734375" style="56"/>
    <col min="14322" max="14322" width="10.44140625" style="56" customWidth="1"/>
    <col min="14323" max="14323" width="3.77734375" style="56" customWidth="1"/>
    <col min="14324" max="14325" width="8.77734375" style="56"/>
    <col min="14326" max="14326" width="3.77734375" style="56" customWidth="1"/>
    <col min="14327" max="14566" width="8.77734375" style="56"/>
    <col min="14567" max="14567" width="24.77734375" style="56" customWidth="1"/>
    <col min="14568" max="14568" width="13.44140625" style="56" customWidth="1"/>
    <col min="14569" max="14569" width="8.77734375" style="56"/>
    <col min="14570" max="14570" width="6.77734375" style="56" customWidth="1"/>
    <col min="14571" max="14571" width="6.44140625" style="56" customWidth="1"/>
    <col min="14572" max="14572" width="8.21875" style="56" customWidth="1"/>
    <col min="14573" max="14573" width="6.77734375" style="56" customWidth="1"/>
    <col min="14574" max="14574" width="4.77734375" style="56" customWidth="1"/>
    <col min="14575" max="14576" width="5" style="56" customWidth="1"/>
    <col min="14577" max="14577" width="8.77734375" style="56"/>
    <col min="14578" max="14578" width="10.44140625" style="56" customWidth="1"/>
    <col min="14579" max="14579" width="3.77734375" style="56" customWidth="1"/>
    <col min="14580" max="14581" width="8.77734375" style="56"/>
    <col min="14582" max="14582" width="3.77734375" style="56" customWidth="1"/>
    <col min="14583" max="14822" width="8.77734375" style="56"/>
    <col min="14823" max="14823" width="24.77734375" style="56" customWidth="1"/>
    <col min="14824" max="14824" width="13.44140625" style="56" customWidth="1"/>
    <col min="14825" max="14825" width="8.77734375" style="56"/>
    <col min="14826" max="14826" width="6.77734375" style="56" customWidth="1"/>
    <col min="14827" max="14827" width="6.44140625" style="56" customWidth="1"/>
    <col min="14828" max="14828" width="8.21875" style="56" customWidth="1"/>
    <col min="14829" max="14829" width="6.77734375" style="56" customWidth="1"/>
    <col min="14830" max="14830" width="4.77734375" style="56" customWidth="1"/>
    <col min="14831" max="14832" width="5" style="56" customWidth="1"/>
    <col min="14833" max="14833" width="8.77734375" style="56"/>
    <col min="14834" max="14834" width="10.44140625" style="56" customWidth="1"/>
    <col min="14835" max="14835" width="3.77734375" style="56" customWidth="1"/>
    <col min="14836" max="14837" width="8.77734375" style="56"/>
    <col min="14838" max="14838" width="3.77734375" style="56" customWidth="1"/>
    <col min="14839" max="15078" width="8.77734375" style="56"/>
    <col min="15079" max="15079" width="24.77734375" style="56" customWidth="1"/>
    <col min="15080" max="15080" width="13.44140625" style="56" customWidth="1"/>
    <col min="15081" max="15081" width="8.77734375" style="56"/>
    <col min="15082" max="15082" width="6.77734375" style="56" customWidth="1"/>
    <col min="15083" max="15083" width="6.44140625" style="56" customWidth="1"/>
    <col min="15084" max="15084" width="8.21875" style="56" customWidth="1"/>
    <col min="15085" max="15085" width="6.77734375" style="56" customWidth="1"/>
    <col min="15086" max="15086" width="4.77734375" style="56" customWidth="1"/>
    <col min="15087" max="15088" width="5" style="56" customWidth="1"/>
    <col min="15089" max="15089" width="8.77734375" style="56"/>
    <col min="15090" max="15090" width="10.44140625" style="56" customWidth="1"/>
    <col min="15091" max="15091" width="3.77734375" style="56" customWidth="1"/>
    <col min="15092" max="15093" width="8.77734375" style="56"/>
    <col min="15094" max="15094" width="3.77734375" style="56" customWidth="1"/>
    <col min="15095" max="15334" width="8.77734375" style="56"/>
    <col min="15335" max="15335" width="24.77734375" style="56" customWidth="1"/>
    <col min="15336" max="15336" width="13.44140625" style="56" customWidth="1"/>
    <col min="15337" max="15337" width="8.77734375" style="56"/>
    <col min="15338" max="15338" width="6.77734375" style="56" customWidth="1"/>
    <col min="15339" max="15339" width="6.44140625" style="56" customWidth="1"/>
    <col min="15340" max="15340" width="8.21875" style="56" customWidth="1"/>
    <col min="15341" max="15341" width="6.77734375" style="56" customWidth="1"/>
    <col min="15342" max="15342" width="4.77734375" style="56" customWidth="1"/>
    <col min="15343" max="15344" width="5" style="56" customWidth="1"/>
    <col min="15345" max="15345" width="8.77734375" style="56"/>
    <col min="15346" max="15346" width="10.44140625" style="56" customWidth="1"/>
    <col min="15347" max="15347" width="3.77734375" style="56" customWidth="1"/>
    <col min="15348" max="15349" width="8.77734375" style="56"/>
    <col min="15350" max="15350" width="3.77734375" style="56" customWidth="1"/>
    <col min="15351" max="15590" width="8.77734375" style="56"/>
    <col min="15591" max="15591" width="24.77734375" style="56" customWidth="1"/>
    <col min="15592" max="15592" width="13.44140625" style="56" customWidth="1"/>
    <col min="15593" max="15593" width="8.77734375" style="56"/>
    <col min="15594" max="15594" width="6.77734375" style="56" customWidth="1"/>
    <col min="15595" max="15595" width="6.44140625" style="56" customWidth="1"/>
    <col min="15596" max="15596" width="8.21875" style="56" customWidth="1"/>
    <col min="15597" max="15597" width="6.77734375" style="56" customWidth="1"/>
    <col min="15598" max="15598" width="4.77734375" style="56" customWidth="1"/>
    <col min="15599" max="15600" width="5" style="56" customWidth="1"/>
    <col min="15601" max="15601" width="8.77734375" style="56"/>
    <col min="15602" max="15602" width="10.44140625" style="56" customWidth="1"/>
    <col min="15603" max="15603" width="3.77734375" style="56" customWidth="1"/>
    <col min="15604" max="15605" width="8.77734375" style="56"/>
    <col min="15606" max="15606" width="3.77734375" style="56" customWidth="1"/>
    <col min="15607" max="15846" width="8.77734375" style="56"/>
    <col min="15847" max="15847" width="24.77734375" style="56" customWidth="1"/>
    <col min="15848" max="15848" width="13.44140625" style="56" customWidth="1"/>
    <col min="15849" max="15849" width="8.77734375" style="56"/>
    <col min="15850" max="15850" width="6.77734375" style="56" customWidth="1"/>
    <col min="15851" max="15851" width="6.44140625" style="56" customWidth="1"/>
    <col min="15852" max="15852" width="8.21875" style="56" customWidth="1"/>
    <col min="15853" max="15853" width="6.77734375" style="56" customWidth="1"/>
    <col min="15854" max="15854" width="4.77734375" style="56" customWidth="1"/>
    <col min="15855" max="15856" width="5" style="56" customWidth="1"/>
    <col min="15857" max="15857" width="8.77734375" style="56"/>
    <col min="15858" max="15858" width="10.44140625" style="56" customWidth="1"/>
    <col min="15859" max="15859" width="3.77734375" style="56" customWidth="1"/>
    <col min="15860" max="15861" width="8.77734375" style="56"/>
    <col min="15862" max="15862" width="3.77734375" style="56" customWidth="1"/>
    <col min="15863" max="16102" width="8.77734375" style="56"/>
    <col min="16103" max="16103" width="24.77734375" style="56" customWidth="1"/>
    <col min="16104" max="16104" width="13.44140625" style="56" customWidth="1"/>
    <col min="16105" max="16105" width="8.77734375" style="56"/>
    <col min="16106" max="16106" width="6.77734375" style="56" customWidth="1"/>
    <col min="16107" max="16107" width="6.44140625" style="56" customWidth="1"/>
    <col min="16108" max="16108" width="8.21875" style="56" customWidth="1"/>
    <col min="16109" max="16109" width="6.77734375" style="56" customWidth="1"/>
    <col min="16110" max="16110" width="4.77734375" style="56" customWidth="1"/>
    <col min="16111" max="16112" width="5" style="56" customWidth="1"/>
    <col min="16113" max="16113" width="8.77734375" style="56"/>
    <col min="16114" max="16114" width="10.44140625" style="56" customWidth="1"/>
    <col min="16115" max="16115" width="3.77734375" style="56" customWidth="1"/>
    <col min="16116" max="16117" width="8.77734375" style="56"/>
    <col min="16118" max="16118" width="3.77734375" style="56" customWidth="1"/>
    <col min="16119" max="16384" width="8.77734375" style="56"/>
  </cols>
  <sheetData>
    <row r="16" spans="3:44" ht="15" x14ac:dyDescent="0.25">
      <c r="C16" s="53" t="s">
        <v>371</v>
      </c>
      <c r="D16" s="53" t="s">
        <v>0</v>
      </c>
      <c r="AR16" s="56"/>
    </row>
    <row r="17" spans="1:56" ht="15" x14ac:dyDescent="0.25">
      <c r="A17" s="53" t="s">
        <v>372</v>
      </c>
      <c r="B17" s="56"/>
      <c r="C17" s="53">
        <v>93</v>
      </c>
      <c r="D17" s="106">
        <v>44168</v>
      </c>
      <c r="E17" s="56"/>
      <c r="F17" s="56"/>
      <c r="AR17" s="56"/>
    </row>
    <row r="18" spans="1:56" ht="15" x14ac:dyDescent="0.25">
      <c r="B18" s="53" t="s">
        <v>373</v>
      </c>
      <c r="C18" s="107">
        <v>44568</v>
      </c>
      <c r="D18" s="106">
        <v>44266</v>
      </c>
      <c r="E18" s="56"/>
      <c r="F18" s="56" t="s">
        <v>374</v>
      </c>
      <c r="AR18" s="56"/>
    </row>
    <row r="19" spans="1:56" ht="15" x14ac:dyDescent="0.25">
      <c r="B19" s="53" t="s">
        <v>375</v>
      </c>
      <c r="C19" s="53">
        <v>124</v>
      </c>
      <c r="D19" s="106">
        <v>44350</v>
      </c>
      <c r="E19" s="56"/>
      <c r="F19" s="56"/>
      <c r="AR19" s="56"/>
    </row>
    <row r="20" spans="1:56" ht="15" x14ac:dyDescent="0.25">
      <c r="B20" s="53" t="s">
        <v>376</v>
      </c>
      <c r="C20" s="53">
        <v>143</v>
      </c>
      <c r="D20" s="106">
        <v>44425</v>
      </c>
      <c r="E20" s="56"/>
      <c r="F20" s="56" t="s">
        <v>377</v>
      </c>
      <c r="AR20" s="56"/>
    </row>
    <row r="21" spans="1:56" ht="15" x14ac:dyDescent="0.25">
      <c r="A21" s="56"/>
      <c r="B21" s="53" t="s">
        <v>378</v>
      </c>
      <c r="C21" s="53">
        <v>174</v>
      </c>
      <c r="D21" s="106">
        <v>44595</v>
      </c>
      <c r="E21" s="56"/>
      <c r="F21" s="56" t="s">
        <v>379</v>
      </c>
      <c r="AR21" s="56"/>
    </row>
    <row r="22" spans="1:56" ht="15" x14ac:dyDescent="0.25">
      <c r="D22" s="106"/>
      <c r="E22" s="56"/>
      <c r="F22" s="56" t="s">
        <v>380</v>
      </c>
      <c r="I22" s="53" t="e">
        <f>AVERAGE(#REF!)-2*(STDEV(#REF!))</f>
        <v>#REF!</v>
      </c>
      <c r="J22" s="53" t="e">
        <f>AVERAGE(#REF!)+2*(STDEV(#REF!))</f>
        <v>#REF!</v>
      </c>
      <c r="AR22" s="56"/>
    </row>
    <row r="23" spans="1:56" ht="15" x14ac:dyDescent="0.25">
      <c r="D23" s="106"/>
      <c r="E23" s="56"/>
      <c r="F23" s="56"/>
      <c r="AR23" s="56"/>
    </row>
    <row r="24" spans="1:56" s="101" customFormat="1" ht="14.4" x14ac:dyDescent="0.3">
      <c r="AQ24" s="1"/>
      <c r="AR24" s="1"/>
      <c r="AS24" s="7"/>
      <c r="AT24" s="19"/>
      <c r="AU24" s="19"/>
      <c r="AW24" s="19"/>
      <c r="AX24" s="19"/>
      <c r="AZ24" s="19"/>
      <c r="BA24" s="19"/>
      <c r="BC24" s="19"/>
      <c r="BD24" s="19"/>
    </row>
    <row r="25" spans="1:56" s="101" customFormat="1" x14ac:dyDescent="0.3">
      <c r="A25" s="101" t="s">
        <v>19</v>
      </c>
      <c r="E25" s="53"/>
      <c r="F25" s="53"/>
      <c r="I25" s="101" t="s">
        <v>122</v>
      </c>
      <c r="O25" s="101" t="s">
        <v>20</v>
      </c>
      <c r="AK25" s="101" t="s">
        <v>123</v>
      </c>
    </row>
    <row r="26" spans="1:56" s="101" customFormat="1" ht="187.2" x14ac:dyDescent="0.3">
      <c r="A26" s="101" t="s">
        <v>6</v>
      </c>
      <c r="B26" s="101" t="s">
        <v>7</v>
      </c>
      <c r="C26" s="101" t="s">
        <v>8</v>
      </c>
      <c r="D26" s="101" t="s">
        <v>9</v>
      </c>
      <c r="E26" s="101" t="s">
        <v>10</v>
      </c>
      <c r="F26" s="101" t="s">
        <v>11</v>
      </c>
      <c r="G26" s="101" t="s">
        <v>12</v>
      </c>
      <c r="H26" s="101" t="s">
        <v>13</v>
      </c>
      <c r="I26" s="101" t="s">
        <v>14</v>
      </c>
      <c r="J26" s="101" t="s">
        <v>15</v>
      </c>
      <c r="K26" s="101" t="s">
        <v>16</v>
      </c>
      <c r="L26" s="101" t="s">
        <v>22</v>
      </c>
      <c r="M26" s="101" t="s">
        <v>23</v>
      </c>
      <c r="O26" s="101" t="s">
        <v>6</v>
      </c>
      <c r="P26" s="101" t="s">
        <v>7</v>
      </c>
      <c r="Q26" s="101" t="s">
        <v>8</v>
      </c>
      <c r="R26" s="101" t="s">
        <v>9</v>
      </c>
      <c r="S26" s="101" t="s">
        <v>10</v>
      </c>
      <c r="T26" s="101" t="s">
        <v>11</v>
      </c>
      <c r="U26" s="101" t="s">
        <v>12</v>
      </c>
      <c r="V26" s="101" t="s">
        <v>13</v>
      </c>
      <c r="W26" s="101" t="s">
        <v>14</v>
      </c>
      <c r="X26" s="101" t="s">
        <v>15</v>
      </c>
      <c r="Y26" s="101" t="s">
        <v>16</v>
      </c>
      <c r="Z26" s="101" t="s">
        <v>22</v>
      </c>
      <c r="AA26" s="101" t="s">
        <v>23</v>
      </c>
      <c r="AC26" s="101" t="s">
        <v>6</v>
      </c>
      <c r="AD26" s="101" t="s">
        <v>7</v>
      </c>
      <c r="AE26" s="101" t="s">
        <v>8</v>
      </c>
      <c r="AF26" s="101" t="s">
        <v>9</v>
      </c>
      <c r="AG26" s="101" t="s">
        <v>10</v>
      </c>
      <c r="AH26" s="101" t="s">
        <v>11</v>
      </c>
      <c r="AI26" s="101" t="s">
        <v>12</v>
      </c>
      <c r="AJ26" s="101" t="s">
        <v>13</v>
      </c>
      <c r="AK26" s="101" t="s">
        <v>14</v>
      </c>
      <c r="AL26" s="101" t="s">
        <v>15</v>
      </c>
      <c r="AM26" s="101" t="s">
        <v>16</v>
      </c>
      <c r="AN26" s="101" t="s">
        <v>22</v>
      </c>
      <c r="AO26" s="101" t="s">
        <v>23</v>
      </c>
      <c r="AQ26" s="1" t="s">
        <v>359</v>
      </c>
      <c r="AR26" s="1" t="s">
        <v>360</v>
      </c>
      <c r="AS26" s="101" t="s">
        <v>124</v>
      </c>
      <c r="AT26" s="19" t="s">
        <v>125</v>
      </c>
      <c r="AU26" s="19" t="s">
        <v>126</v>
      </c>
      <c r="AW26" s="19" t="s">
        <v>361</v>
      </c>
      <c r="AX26" s="19" t="s">
        <v>362</v>
      </c>
      <c r="AZ26" s="19" t="s">
        <v>363</v>
      </c>
      <c r="BA26" s="19" t="s">
        <v>364</v>
      </c>
      <c r="BC26" s="19" t="s">
        <v>369</v>
      </c>
      <c r="BD26" s="19" t="s">
        <v>370</v>
      </c>
    </row>
    <row r="27" spans="1:56" s="101" customFormat="1" ht="14.4" x14ac:dyDescent="0.3">
      <c r="A27" s="101">
        <v>22</v>
      </c>
      <c r="B27" s="101" t="s">
        <v>163</v>
      </c>
      <c r="C27" s="20">
        <v>43858.485798611109</v>
      </c>
      <c r="D27" s="101" t="s">
        <v>25</v>
      </c>
      <c r="E27" s="101" t="s">
        <v>17</v>
      </c>
      <c r="F27" s="101">
        <v>0</v>
      </c>
      <c r="G27" s="101">
        <v>6.1150000000000002</v>
      </c>
      <c r="H27" s="12">
        <v>2101</v>
      </c>
      <c r="I27" s="101">
        <v>2.8170000000000002</v>
      </c>
      <c r="J27" s="101" t="s">
        <v>18</v>
      </c>
      <c r="K27" s="101" t="s">
        <v>18</v>
      </c>
      <c r="L27" s="101" t="s">
        <v>18</v>
      </c>
      <c r="M27" s="101" t="s">
        <v>18</v>
      </c>
      <c r="O27" s="101">
        <v>22</v>
      </c>
      <c r="P27" s="101" t="s">
        <v>163</v>
      </c>
      <c r="Q27" s="20">
        <v>43858.485798611109</v>
      </c>
      <c r="R27" s="101" t="s">
        <v>25</v>
      </c>
      <c r="S27" s="101" t="s">
        <v>17</v>
      </c>
      <c r="T27" s="101">
        <v>0</v>
      </c>
      <c r="U27" s="101" t="s">
        <v>18</v>
      </c>
      <c r="V27" s="101" t="s">
        <v>18</v>
      </c>
      <c r="W27" s="101" t="s">
        <v>18</v>
      </c>
      <c r="X27" s="101" t="s">
        <v>18</v>
      </c>
      <c r="Y27" s="101" t="s">
        <v>18</v>
      </c>
      <c r="Z27" s="101" t="s">
        <v>18</v>
      </c>
      <c r="AA27" s="101" t="s">
        <v>18</v>
      </c>
      <c r="AC27" s="101">
        <v>22</v>
      </c>
      <c r="AD27" s="101" t="s">
        <v>163</v>
      </c>
      <c r="AE27" s="20">
        <v>43858.485798611109</v>
      </c>
      <c r="AF27" s="101" t="s">
        <v>25</v>
      </c>
      <c r="AG27" s="101" t="s">
        <v>17</v>
      </c>
      <c r="AH27" s="101">
        <v>0</v>
      </c>
      <c r="AI27" s="101">
        <v>12.308</v>
      </c>
      <c r="AJ27" s="12">
        <v>1862</v>
      </c>
      <c r="AK27" s="101">
        <v>380.40100000000001</v>
      </c>
      <c r="AL27" s="101" t="s">
        <v>18</v>
      </c>
      <c r="AM27" s="101" t="s">
        <v>18</v>
      </c>
      <c r="AN27" s="101" t="s">
        <v>18</v>
      </c>
      <c r="AO27" s="101" t="s">
        <v>18</v>
      </c>
      <c r="AS27" s="7">
        <v>1</v>
      </c>
      <c r="AT27" s="108">
        <f t="shared" ref="AT27:AT33" si="0">IF(H27&lt;20000,((0.000000008558*H27^2)+(0.002341*H27)+(-2.791)),(IF(H27&lt;1000000,((-0.0000000006283*H27^2)+(0.002788*H27)+(-5.018)), ((-0.000000002617*V27^2)+(0.2267*V27)+(367.3)))))</f>
        <v>2.1652177321580006</v>
      </c>
      <c r="AU27" s="108">
        <f t="shared" ref="AU27:AU33" si="1">((0.00000001266*AJ27^2)+(0.1538*AJ27)+(107.1))</f>
        <v>393.51949277704</v>
      </c>
      <c r="AW27" s="60">
        <f t="shared" ref="AW27:AW53" si="2">IF(H27&lt;15000,((0.00000002125*H27^2)+(0.002705*H27)+(-4.371)),(IF(H27&lt;700000,((-0.0000000008162*H27^2)+(0.003141*H27)+(0.4702)), ((0.000000003285*V27^2)+(0.1899*V27)+(559.5)))))</f>
        <v>1.4060067712499995</v>
      </c>
      <c r="AX27" s="61">
        <f t="shared" ref="AX27:AX53" si="3">((-0.00000006277*AJ27^2)+(0.1854*AJ27)+(34.83))</f>
        <v>379.82717364811998</v>
      </c>
      <c r="AZ27" s="23">
        <f t="shared" ref="AZ27:AZ53" si="4">IF(H27&lt;10000,((-0.00000005795*H27^2)+(0.003823*H27)+(-6.715)),(IF(H27&lt;700000,((-0.0000000001209*H27^2)+(0.002635*H27)+(-0.4111)), ((-0.00000002007*V27^2)+(0.2564*V27)+(286.1)))))</f>
        <v>1.0613200520500001</v>
      </c>
      <c r="BA27" s="103">
        <f t="shared" ref="BA27:BA53" si="5">(-0.00000001626*AJ27^2)+(0.1912*AJ27)+(-3.858)</f>
        <v>352.10002586456</v>
      </c>
      <c r="BC27" s="104">
        <f t="shared" ref="BC27:BC53" si="6">IF(H27&lt;10000,((0.0000001453*H27^2)+(0.0008349*H27)+(-1.805)),(IF(H27&lt;700000,((-0.00000000008054*H27^2)+(0.002348*H27)+(-2.47)), ((-0.00000001938*V27^2)+(0.2471*V27)+(226.8)))))</f>
        <v>0.59050830529999998</v>
      </c>
      <c r="BD27" s="105">
        <f t="shared" ref="BD27:BD53" si="7">(-0.00000002552*AJ27^2)+(0.2067*AJ27)+(-103.7)</f>
        <v>281.08692103712002</v>
      </c>
    </row>
    <row r="28" spans="1:56" s="101" customFormat="1" ht="14.4" x14ac:dyDescent="0.3">
      <c r="A28" s="101">
        <v>20</v>
      </c>
      <c r="B28" s="101" t="s">
        <v>164</v>
      </c>
      <c r="C28" s="20">
        <v>43873.561620370368</v>
      </c>
      <c r="D28" s="101" t="s">
        <v>25</v>
      </c>
      <c r="E28" s="101" t="s">
        <v>17</v>
      </c>
      <c r="F28" s="101">
        <v>0</v>
      </c>
      <c r="G28" s="101">
        <v>6.0970000000000004</v>
      </c>
      <c r="H28" s="12">
        <v>2054</v>
      </c>
      <c r="I28" s="101">
        <v>2.7109999999999999</v>
      </c>
      <c r="J28" s="101" t="s">
        <v>18</v>
      </c>
      <c r="K28" s="101" t="s">
        <v>18</v>
      </c>
      <c r="L28" s="101" t="s">
        <v>18</v>
      </c>
      <c r="M28" s="101" t="s">
        <v>18</v>
      </c>
      <c r="O28" s="101">
        <v>20</v>
      </c>
      <c r="P28" s="101" t="s">
        <v>164</v>
      </c>
      <c r="Q28" s="20">
        <v>43873.561620370368</v>
      </c>
      <c r="R28" s="101" t="s">
        <v>25</v>
      </c>
      <c r="S28" s="101" t="s">
        <v>17</v>
      </c>
      <c r="T28" s="101">
        <v>0</v>
      </c>
      <c r="U28" s="101" t="s">
        <v>18</v>
      </c>
      <c r="V28" s="101" t="s">
        <v>18</v>
      </c>
      <c r="W28" s="101" t="s">
        <v>18</v>
      </c>
      <c r="X28" s="101" t="s">
        <v>18</v>
      </c>
      <c r="Y28" s="101" t="s">
        <v>18</v>
      </c>
      <c r="Z28" s="101" t="s">
        <v>18</v>
      </c>
      <c r="AA28" s="101" t="s">
        <v>18</v>
      </c>
      <c r="AC28" s="101">
        <v>20</v>
      </c>
      <c r="AD28" s="101" t="s">
        <v>164</v>
      </c>
      <c r="AE28" s="20">
        <v>43873.561620370368</v>
      </c>
      <c r="AF28" s="101" t="s">
        <v>25</v>
      </c>
      <c r="AG28" s="101" t="s">
        <v>17</v>
      </c>
      <c r="AH28" s="101">
        <v>0</v>
      </c>
      <c r="AI28" s="101">
        <v>12.279</v>
      </c>
      <c r="AJ28" s="12">
        <v>3107</v>
      </c>
      <c r="AK28" s="101">
        <v>594.92200000000003</v>
      </c>
      <c r="AL28" s="101" t="s">
        <v>18</v>
      </c>
      <c r="AM28" s="101" t="s">
        <v>18</v>
      </c>
      <c r="AN28" s="101" t="s">
        <v>18</v>
      </c>
      <c r="AO28" s="101" t="s">
        <v>18</v>
      </c>
      <c r="AS28" s="7">
        <v>2</v>
      </c>
      <c r="AT28" s="108">
        <f t="shared" si="0"/>
        <v>2.0535194831279999</v>
      </c>
      <c r="AU28" s="108">
        <f t="shared" si="1"/>
        <v>585.07881266433992</v>
      </c>
      <c r="AW28" s="60">
        <f t="shared" si="2"/>
        <v>1.2747219649999995</v>
      </c>
      <c r="AX28" s="61">
        <f t="shared" si="3"/>
        <v>610.26185300627014</v>
      </c>
      <c r="AZ28" s="23">
        <f t="shared" si="4"/>
        <v>0.89295581779999988</v>
      </c>
      <c r="BA28" s="103">
        <f t="shared" si="5"/>
        <v>590.04343491926011</v>
      </c>
      <c r="BC28" s="104">
        <f t="shared" si="6"/>
        <v>0.52289309480000035</v>
      </c>
      <c r="BD28" s="105">
        <f t="shared" si="7"/>
        <v>538.27054398151995</v>
      </c>
    </row>
    <row r="29" spans="1:56" s="101" customFormat="1" ht="14.4" x14ac:dyDescent="0.3">
      <c r="A29" s="101">
        <v>18</v>
      </c>
      <c r="B29" s="101" t="s">
        <v>163</v>
      </c>
      <c r="C29" s="20">
        <v>43880.510497685187</v>
      </c>
      <c r="D29" s="101" t="s">
        <v>25</v>
      </c>
      <c r="E29" s="101" t="s">
        <v>17</v>
      </c>
      <c r="F29" s="101">
        <v>0</v>
      </c>
      <c r="G29" s="101">
        <v>6.0890000000000004</v>
      </c>
      <c r="H29" s="12">
        <v>2067</v>
      </c>
      <c r="I29" s="101">
        <v>2.7389999999999999</v>
      </c>
      <c r="J29" s="101" t="s">
        <v>18</v>
      </c>
      <c r="K29" s="101" t="s">
        <v>18</v>
      </c>
      <c r="L29" s="101" t="s">
        <v>18</v>
      </c>
      <c r="M29" s="101" t="s">
        <v>18</v>
      </c>
      <c r="O29" s="101">
        <v>18</v>
      </c>
      <c r="P29" s="101" t="s">
        <v>163</v>
      </c>
      <c r="Q29" s="20">
        <v>43880.510497685187</v>
      </c>
      <c r="R29" s="101" t="s">
        <v>25</v>
      </c>
      <c r="S29" s="101" t="s">
        <v>17</v>
      </c>
      <c r="T29" s="101">
        <v>0</v>
      </c>
      <c r="U29" s="101" t="s">
        <v>18</v>
      </c>
      <c r="V29" s="101" t="s">
        <v>18</v>
      </c>
      <c r="W29" s="101" t="s">
        <v>18</v>
      </c>
      <c r="X29" s="101" t="s">
        <v>18</v>
      </c>
      <c r="Y29" s="101" t="s">
        <v>18</v>
      </c>
      <c r="Z29" s="101" t="s">
        <v>18</v>
      </c>
      <c r="AA29" s="101" t="s">
        <v>18</v>
      </c>
      <c r="AC29" s="101">
        <v>18</v>
      </c>
      <c r="AD29" s="101" t="s">
        <v>163</v>
      </c>
      <c r="AE29" s="20">
        <v>43880.510497685187</v>
      </c>
      <c r="AF29" s="101" t="s">
        <v>25</v>
      </c>
      <c r="AG29" s="101" t="s">
        <v>17</v>
      </c>
      <c r="AH29" s="101">
        <v>0</v>
      </c>
      <c r="AI29" s="101">
        <v>12.286</v>
      </c>
      <c r="AJ29" s="12">
        <v>2227</v>
      </c>
      <c r="AK29" s="101">
        <v>443.2</v>
      </c>
      <c r="AL29" s="101" t="s">
        <v>18</v>
      </c>
      <c r="AM29" s="101" t="s">
        <v>18</v>
      </c>
      <c r="AN29" s="101" t="s">
        <v>18</v>
      </c>
      <c r="AO29" s="101" t="s">
        <v>18</v>
      </c>
      <c r="AS29" s="7">
        <v>3</v>
      </c>
      <c r="AT29" s="108">
        <f t="shared" si="0"/>
        <v>2.0844109608620003</v>
      </c>
      <c r="AU29" s="108">
        <f t="shared" si="1"/>
        <v>449.67538763713992</v>
      </c>
      <c r="AW29" s="60">
        <f t="shared" si="2"/>
        <v>1.3110253912499994</v>
      </c>
      <c r="AX29" s="61">
        <f t="shared" si="3"/>
        <v>447.40449036466998</v>
      </c>
      <c r="AZ29" s="23">
        <f t="shared" si="4"/>
        <v>0.93955026245000006</v>
      </c>
      <c r="BA29" s="103">
        <f t="shared" si="5"/>
        <v>421.86375805846001</v>
      </c>
      <c r="BC29" s="104">
        <f t="shared" si="6"/>
        <v>0.54153095170000021</v>
      </c>
      <c r="BD29" s="105">
        <f t="shared" si="7"/>
        <v>356.49433281992003</v>
      </c>
    </row>
    <row r="30" spans="1:56" s="101" customFormat="1" ht="14.4" x14ac:dyDescent="0.3">
      <c r="A30" s="101">
        <v>19</v>
      </c>
      <c r="B30" s="101" t="s">
        <v>165</v>
      </c>
      <c r="C30" s="20">
        <v>43893.655358796299</v>
      </c>
      <c r="D30" s="101" t="s">
        <v>25</v>
      </c>
      <c r="E30" s="101" t="s">
        <v>17</v>
      </c>
      <c r="F30" s="101">
        <v>0</v>
      </c>
      <c r="G30" s="101">
        <v>6.0970000000000004</v>
      </c>
      <c r="H30" s="12">
        <v>1795</v>
      </c>
      <c r="I30" s="101">
        <v>2.121</v>
      </c>
      <c r="J30" s="101" t="s">
        <v>18</v>
      </c>
      <c r="K30" s="101" t="s">
        <v>18</v>
      </c>
      <c r="L30" s="101" t="s">
        <v>18</v>
      </c>
      <c r="M30" s="101" t="s">
        <v>18</v>
      </c>
      <c r="O30" s="101">
        <v>19</v>
      </c>
      <c r="P30" s="101" t="s">
        <v>165</v>
      </c>
      <c r="Q30" s="20">
        <v>43893.655358796299</v>
      </c>
      <c r="R30" s="101" t="s">
        <v>25</v>
      </c>
      <c r="S30" s="101" t="s">
        <v>17</v>
      </c>
      <c r="T30" s="101">
        <v>0</v>
      </c>
      <c r="U30" s="101" t="s">
        <v>18</v>
      </c>
      <c r="V30" s="101" t="s">
        <v>18</v>
      </c>
      <c r="W30" s="101" t="s">
        <v>18</v>
      </c>
      <c r="X30" s="101" t="s">
        <v>18</v>
      </c>
      <c r="Y30" s="101" t="s">
        <v>18</v>
      </c>
      <c r="Z30" s="101" t="s">
        <v>18</v>
      </c>
      <c r="AA30" s="101" t="s">
        <v>18</v>
      </c>
      <c r="AC30" s="101">
        <v>19</v>
      </c>
      <c r="AD30" s="101" t="s">
        <v>165</v>
      </c>
      <c r="AE30" s="20">
        <v>43893.655358796299</v>
      </c>
      <c r="AF30" s="101" t="s">
        <v>25</v>
      </c>
      <c r="AG30" s="101" t="s">
        <v>17</v>
      </c>
      <c r="AH30" s="101">
        <v>0</v>
      </c>
      <c r="AI30" s="101">
        <v>12.260999999999999</v>
      </c>
      <c r="AJ30" s="12">
        <v>3195</v>
      </c>
      <c r="AK30" s="101">
        <v>610.11900000000003</v>
      </c>
      <c r="AL30" s="101" t="s">
        <v>18</v>
      </c>
      <c r="AM30" s="101" t="s">
        <v>18</v>
      </c>
      <c r="AN30" s="101" t="s">
        <v>18</v>
      </c>
      <c r="AO30" s="101" t="s">
        <v>18</v>
      </c>
      <c r="AS30" s="7">
        <v>4</v>
      </c>
      <c r="AT30" s="108">
        <f t="shared" si="0"/>
        <v>1.4386690899499999</v>
      </c>
      <c r="AU30" s="108">
        <f t="shared" si="1"/>
        <v>598.62023359649993</v>
      </c>
      <c r="AW30" s="60">
        <f t="shared" si="2"/>
        <v>0.55294303124999988</v>
      </c>
      <c r="AX30" s="61">
        <f t="shared" si="3"/>
        <v>626.54224227075008</v>
      </c>
      <c r="AZ30" s="23">
        <f t="shared" si="4"/>
        <v>-3.9431348749999984E-2</v>
      </c>
      <c r="BA30" s="103">
        <f t="shared" si="5"/>
        <v>606.86001751350011</v>
      </c>
      <c r="BC30" s="104">
        <f t="shared" si="6"/>
        <v>0.16180573249999997</v>
      </c>
      <c r="BD30" s="105">
        <f t="shared" si="7"/>
        <v>556.44599120199985</v>
      </c>
    </row>
    <row r="31" spans="1:56" s="101" customFormat="1" ht="14.4" x14ac:dyDescent="0.3">
      <c r="A31" s="101">
        <v>30</v>
      </c>
      <c r="B31" s="101" t="s">
        <v>166</v>
      </c>
      <c r="C31" s="20">
        <v>43899.56391203704</v>
      </c>
      <c r="D31" s="101" t="s">
        <v>25</v>
      </c>
      <c r="E31" s="101" t="s">
        <v>17</v>
      </c>
      <c r="F31" s="101">
        <v>0</v>
      </c>
      <c r="G31" s="101">
        <v>6.1159999999999997</v>
      </c>
      <c r="H31" s="12">
        <v>1922</v>
      </c>
      <c r="I31" s="101">
        <v>2.41</v>
      </c>
      <c r="J31" s="101" t="s">
        <v>18</v>
      </c>
      <c r="K31" s="101" t="s">
        <v>18</v>
      </c>
      <c r="L31" s="101" t="s">
        <v>18</v>
      </c>
      <c r="M31" s="101" t="s">
        <v>18</v>
      </c>
      <c r="O31" s="101">
        <v>30</v>
      </c>
      <c r="P31" s="101" t="s">
        <v>166</v>
      </c>
      <c r="Q31" s="20">
        <v>43899.56391203704</v>
      </c>
      <c r="R31" s="101" t="s">
        <v>25</v>
      </c>
      <c r="S31" s="101" t="s">
        <v>17</v>
      </c>
      <c r="T31" s="101">
        <v>0</v>
      </c>
      <c r="U31" s="101" t="s">
        <v>18</v>
      </c>
      <c r="V31" s="101" t="s">
        <v>18</v>
      </c>
      <c r="W31" s="101" t="s">
        <v>18</v>
      </c>
      <c r="X31" s="101" t="s">
        <v>18</v>
      </c>
      <c r="Y31" s="101" t="s">
        <v>18</v>
      </c>
      <c r="Z31" s="101" t="s">
        <v>18</v>
      </c>
      <c r="AA31" s="101" t="s">
        <v>18</v>
      </c>
      <c r="AC31" s="101">
        <v>30</v>
      </c>
      <c r="AD31" s="101" t="s">
        <v>166</v>
      </c>
      <c r="AE31" s="20">
        <v>43899.56391203704</v>
      </c>
      <c r="AF31" s="101" t="s">
        <v>25</v>
      </c>
      <c r="AG31" s="101" t="s">
        <v>17</v>
      </c>
      <c r="AH31" s="101">
        <v>0</v>
      </c>
      <c r="AI31" s="101">
        <v>12.308999999999999</v>
      </c>
      <c r="AJ31" s="12">
        <v>2441</v>
      </c>
      <c r="AK31" s="101">
        <v>480.07</v>
      </c>
      <c r="AL31" s="101" t="s">
        <v>18</v>
      </c>
      <c r="AM31" s="101" t="s">
        <v>18</v>
      </c>
      <c r="AN31" s="101" t="s">
        <v>18</v>
      </c>
      <c r="AO31" s="101" t="s">
        <v>18</v>
      </c>
      <c r="AS31" s="7">
        <v>5</v>
      </c>
      <c r="AT31" s="108">
        <f t="shared" si="0"/>
        <v>1.7400159708720007</v>
      </c>
      <c r="AU31" s="108">
        <f t="shared" si="1"/>
        <v>482.60123436946003</v>
      </c>
      <c r="AW31" s="60">
        <f t="shared" si="2"/>
        <v>0.90650928499999939</v>
      </c>
      <c r="AX31" s="61">
        <f t="shared" si="3"/>
        <v>487.01738614763002</v>
      </c>
      <c r="AZ31" s="23">
        <f t="shared" si="4"/>
        <v>0.41873383220000004</v>
      </c>
      <c r="BA31" s="103">
        <f t="shared" si="5"/>
        <v>462.76431509894002</v>
      </c>
      <c r="BC31" s="104">
        <f t="shared" si="6"/>
        <v>0.33642820520000005</v>
      </c>
      <c r="BD31" s="105">
        <f t="shared" si="7"/>
        <v>400.70263956487997</v>
      </c>
    </row>
    <row r="32" spans="1:56" s="101" customFormat="1" ht="14.4" x14ac:dyDescent="0.3">
      <c r="A32" s="101">
        <v>92</v>
      </c>
      <c r="B32" s="101" t="s">
        <v>167</v>
      </c>
      <c r="C32" s="20">
        <v>43907.483217592591</v>
      </c>
      <c r="D32" s="101" t="s">
        <v>25</v>
      </c>
      <c r="E32" s="101" t="s">
        <v>17</v>
      </c>
      <c r="F32" s="101">
        <v>0</v>
      </c>
      <c r="G32" s="101">
        <v>6.1</v>
      </c>
      <c r="H32" s="12">
        <v>2213</v>
      </c>
      <c r="I32" s="101">
        <v>3.0720000000000001</v>
      </c>
      <c r="J32" s="101" t="s">
        <v>18</v>
      </c>
      <c r="K32" s="101" t="s">
        <v>18</v>
      </c>
      <c r="L32" s="101" t="s">
        <v>18</v>
      </c>
      <c r="M32" s="101" t="s">
        <v>18</v>
      </c>
      <c r="O32" s="101">
        <v>92</v>
      </c>
      <c r="P32" s="101" t="s">
        <v>167</v>
      </c>
      <c r="Q32" s="20">
        <v>43907.483217592591</v>
      </c>
      <c r="R32" s="101" t="s">
        <v>25</v>
      </c>
      <c r="S32" s="101" t="s">
        <v>17</v>
      </c>
      <c r="T32" s="101">
        <v>0</v>
      </c>
      <c r="U32" s="101" t="s">
        <v>18</v>
      </c>
      <c r="V32" s="101" t="s">
        <v>18</v>
      </c>
      <c r="W32" s="101" t="s">
        <v>18</v>
      </c>
      <c r="X32" s="101" t="s">
        <v>18</v>
      </c>
      <c r="Y32" s="101" t="s">
        <v>18</v>
      </c>
      <c r="Z32" s="101" t="s">
        <v>18</v>
      </c>
      <c r="AA32" s="101" t="s">
        <v>18</v>
      </c>
      <c r="AC32" s="101">
        <v>92</v>
      </c>
      <c r="AD32" s="101" t="s">
        <v>167</v>
      </c>
      <c r="AE32" s="20">
        <v>43907.483217592591</v>
      </c>
      <c r="AF32" s="101" t="s">
        <v>25</v>
      </c>
      <c r="AG32" s="101" t="s">
        <v>17</v>
      </c>
      <c r="AH32" s="101">
        <v>0</v>
      </c>
      <c r="AI32" s="101">
        <v>12.268000000000001</v>
      </c>
      <c r="AJ32" s="12">
        <v>2680</v>
      </c>
      <c r="AK32" s="101">
        <v>521.30899999999997</v>
      </c>
      <c r="AL32" s="101" t="s">
        <v>18</v>
      </c>
      <c r="AM32" s="101" t="s">
        <v>18</v>
      </c>
      <c r="AN32" s="101" t="s">
        <v>18</v>
      </c>
      <c r="AO32" s="101" t="s">
        <v>18</v>
      </c>
      <c r="AS32" s="7">
        <v>6</v>
      </c>
      <c r="AT32" s="108">
        <f t="shared" si="0"/>
        <v>2.4315446839020001</v>
      </c>
      <c r="AU32" s="108">
        <f t="shared" si="1"/>
        <v>519.37492918399994</v>
      </c>
      <c r="AW32" s="60">
        <f t="shared" si="2"/>
        <v>1.7192340912499997</v>
      </c>
      <c r="AX32" s="61">
        <f t="shared" si="3"/>
        <v>531.25116075200003</v>
      </c>
      <c r="AZ32" s="23">
        <f t="shared" si="4"/>
        <v>1.4614964664500008</v>
      </c>
      <c r="BA32" s="103">
        <f t="shared" si="5"/>
        <v>508.44121417600007</v>
      </c>
      <c r="BC32" s="104">
        <f t="shared" si="6"/>
        <v>0.75422141569999979</v>
      </c>
      <c r="BD32" s="105">
        <f t="shared" si="7"/>
        <v>450.07270515200008</v>
      </c>
    </row>
    <row r="33" spans="1:56" s="101" customFormat="1" ht="14.4" x14ac:dyDescent="0.3">
      <c r="A33" s="101">
        <v>59</v>
      </c>
      <c r="B33" s="101" t="s">
        <v>168</v>
      </c>
      <c r="C33" s="20">
        <v>43908.43346064815</v>
      </c>
      <c r="D33" s="101" t="s">
        <v>25</v>
      </c>
      <c r="E33" s="101" t="s">
        <v>17</v>
      </c>
      <c r="F33" s="101">
        <v>0</v>
      </c>
      <c r="G33" s="101">
        <v>6.1079999999999997</v>
      </c>
      <c r="H33" s="12">
        <v>2474</v>
      </c>
      <c r="I33" s="101">
        <v>3.6659999999999999</v>
      </c>
      <c r="J33" s="101" t="s">
        <v>18</v>
      </c>
      <c r="K33" s="101" t="s">
        <v>18</v>
      </c>
      <c r="L33" s="101" t="s">
        <v>18</v>
      </c>
      <c r="M33" s="101" t="s">
        <v>18</v>
      </c>
      <c r="O33" s="101">
        <v>59</v>
      </c>
      <c r="P33" s="101" t="s">
        <v>168</v>
      </c>
      <c r="Q33" s="20">
        <v>43908.43346064815</v>
      </c>
      <c r="R33" s="101" t="s">
        <v>25</v>
      </c>
      <c r="S33" s="101" t="s">
        <v>17</v>
      </c>
      <c r="T33" s="101">
        <v>0</v>
      </c>
      <c r="U33" s="101" t="s">
        <v>18</v>
      </c>
      <c r="V33" s="101" t="s">
        <v>18</v>
      </c>
      <c r="W33" s="101" t="s">
        <v>18</v>
      </c>
      <c r="X33" s="101" t="s">
        <v>18</v>
      </c>
      <c r="Y33" s="101" t="s">
        <v>18</v>
      </c>
      <c r="Z33" s="101" t="s">
        <v>18</v>
      </c>
      <c r="AA33" s="101" t="s">
        <v>18</v>
      </c>
      <c r="AC33" s="101">
        <v>59</v>
      </c>
      <c r="AD33" s="101" t="s">
        <v>168</v>
      </c>
      <c r="AE33" s="20">
        <v>43908.43346064815</v>
      </c>
      <c r="AF33" s="101" t="s">
        <v>25</v>
      </c>
      <c r="AG33" s="101" t="s">
        <v>17</v>
      </c>
      <c r="AH33" s="101">
        <v>0</v>
      </c>
      <c r="AI33" s="101">
        <v>12.252000000000001</v>
      </c>
      <c r="AJ33" s="12">
        <v>2690</v>
      </c>
      <c r="AK33" s="101">
        <v>523.08699999999999</v>
      </c>
      <c r="AL33" s="101" t="s">
        <v>18</v>
      </c>
      <c r="AM33" s="101" t="s">
        <v>18</v>
      </c>
      <c r="AN33" s="101" t="s">
        <v>18</v>
      </c>
      <c r="AO33" s="101" t="s">
        <v>18</v>
      </c>
      <c r="AS33" s="7">
        <v>7</v>
      </c>
      <c r="AT33" s="108">
        <f t="shared" si="0"/>
        <v>3.0530147452079999</v>
      </c>
      <c r="AU33" s="108">
        <f t="shared" si="1"/>
        <v>520.91360902600002</v>
      </c>
      <c r="AW33" s="60">
        <f t="shared" si="2"/>
        <v>2.4512343649999995</v>
      </c>
      <c r="AX33" s="61">
        <f t="shared" si="3"/>
        <v>533.10179000300002</v>
      </c>
      <c r="AZ33" s="23">
        <f t="shared" si="4"/>
        <v>2.3884088258000009</v>
      </c>
      <c r="BA33" s="103">
        <f t="shared" si="5"/>
        <v>510.35234101399993</v>
      </c>
      <c r="BC33" s="104">
        <f t="shared" si="6"/>
        <v>1.1498768228000003</v>
      </c>
      <c r="BD33" s="105">
        <f t="shared" si="7"/>
        <v>452.13833472800007</v>
      </c>
    </row>
    <row r="34" spans="1:56" s="101" customFormat="1" ht="14.4" x14ac:dyDescent="0.3">
      <c r="A34" s="101">
        <v>18</v>
      </c>
      <c r="B34" s="101" t="s">
        <v>169</v>
      </c>
      <c r="C34" s="20">
        <v>44004.477708333332</v>
      </c>
      <c r="D34" s="101" t="s">
        <v>25</v>
      </c>
      <c r="E34" s="101" t="s">
        <v>17</v>
      </c>
      <c r="F34" s="101">
        <v>0</v>
      </c>
      <c r="G34" s="101">
        <v>6.0519999999999996</v>
      </c>
      <c r="H34" s="12">
        <v>2051</v>
      </c>
      <c r="I34" s="101">
        <v>0</v>
      </c>
      <c r="J34" s="101" t="s">
        <v>18</v>
      </c>
      <c r="K34" s="101" t="s">
        <v>18</v>
      </c>
      <c r="L34" s="101" t="s">
        <v>18</v>
      </c>
      <c r="M34" s="101" t="s">
        <v>18</v>
      </c>
      <c r="O34" s="101">
        <v>18</v>
      </c>
      <c r="P34" s="101" t="s">
        <v>169</v>
      </c>
      <c r="Q34" s="20">
        <v>44004.477708333332</v>
      </c>
      <c r="R34" s="101" t="s">
        <v>25</v>
      </c>
      <c r="S34" s="101" t="s">
        <v>17</v>
      </c>
      <c r="T34" s="101">
        <v>0</v>
      </c>
      <c r="U34" s="101" t="s">
        <v>18</v>
      </c>
      <c r="V34" s="101" t="s">
        <v>18</v>
      </c>
      <c r="W34" s="101" t="s">
        <v>18</v>
      </c>
      <c r="X34" s="101" t="s">
        <v>18</v>
      </c>
      <c r="Y34" s="101" t="s">
        <v>18</v>
      </c>
      <c r="Z34" s="101" t="s">
        <v>18</v>
      </c>
      <c r="AA34" s="101" t="s">
        <v>18</v>
      </c>
      <c r="AC34" s="101">
        <v>18</v>
      </c>
      <c r="AD34" s="101" t="s">
        <v>169</v>
      </c>
      <c r="AE34" s="20">
        <v>44004.477708333332</v>
      </c>
      <c r="AF34" s="101" t="s">
        <v>25</v>
      </c>
      <c r="AG34" s="101" t="s">
        <v>17</v>
      </c>
      <c r="AH34" s="101">
        <v>0</v>
      </c>
      <c r="AI34" s="101">
        <v>12.189</v>
      </c>
      <c r="AJ34" s="12">
        <v>3785</v>
      </c>
      <c r="AK34" s="101">
        <v>0</v>
      </c>
      <c r="AL34" s="101" t="s">
        <v>18</v>
      </c>
      <c r="AM34" s="101" t="s">
        <v>18</v>
      </c>
      <c r="AN34" s="101" t="s">
        <v>18</v>
      </c>
      <c r="AO34" s="101" t="s">
        <v>18</v>
      </c>
      <c r="AS34" s="7">
        <v>8</v>
      </c>
      <c r="AT34" s="60">
        <f t="shared" ref="AT34:AT41" si="8">IF(H34&lt;15000,((0.00000002125*H34^2)+(0.002705*H34)+(-4.371)),(IF(H34&lt;700000,((-0.0000000008162*H34^2)+(0.003141*H34)+(0.4702)), ((0.000000003285*V34^2)+(0.1899*V34)+(559.5)))))</f>
        <v>1.2663452712499996</v>
      </c>
      <c r="AU34" s="61">
        <f t="shared" ref="AU34:AU41" si="9">((-0.00000006277*AJ34^2)+(0.1854*AJ34)+(34.83))</f>
        <v>735.66974285675008</v>
      </c>
      <c r="AW34" s="60">
        <f t="shared" si="2"/>
        <v>1.2663452712499996</v>
      </c>
      <c r="AX34" s="61">
        <f t="shared" si="3"/>
        <v>735.66974285675008</v>
      </c>
      <c r="AZ34" s="23">
        <f t="shared" si="4"/>
        <v>0.88220047205000007</v>
      </c>
      <c r="BA34" s="103">
        <f t="shared" si="5"/>
        <v>719.60105558150008</v>
      </c>
      <c r="BC34" s="104">
        <f t="shared" si="6"/>
        <v>0.51859902530000013</v>
      </c>
      <c r="BD34" s="105">
        <f t="shared" si="7"/>
        <v>678.29389473799995</v>
      </c>
    </row>
    <row r="35" spans="1:56" ht="14.4" x14ac:dyDescent="0.3">
      <c r="A35" s="101">
        <v>27</v>
      </c>
      <c r="B35" s="101" t="s">
        <v>170</v>
      </c>
      <c r="C35" s="20">
        <v>44004.543912037036</v>
      </c>
      <c r="D35" s="101" t="s">
        <v>25</v>
      </c>
      <c r="E35" s="101" t="s">
        <v>17</v>
      </c>
      <c r="F35" s="101">
        <v>0</v>
      </c>
      <c r="G35" s="101">
        <v>6.0590000000000002</v>
      </c>
      <c r="H35" s="12">
        <v>2269</v>
      </c>
      <c r="I35" s="101">
        <v>1E-3</v>
      </c>
      <c r="J35" s="101" t="s">
        <v>18</v>
      </c>
      <c r="K35" s="101" t="s">
        <v>18</v>
      </c>
      <c r="L35" s="101" t="s">
        <v>18</v>
      </c>
      <c r="M35" s="101" t="s">
        <v>18</v>
      </c>
      <c r="N35" s="101"/>
      <c r="O35" s="101">
        <v>27</v>
      </c>
      <c r="P35" s="101" t="s">
        <v>170</v>
      </c>
      <c r="Q35" s="20">
        <v>44004.543912037036</v>
      </c>
      <c r="R35" s="101" t="s">
        <v>25</v>
      </c>
      <c r="S35" s="101" t="s">
        <v>17</v>
      </c>
      <c r="T35" s="101">
        <v>0</v>
      </c>
      <c r="U35" s="101" t="s">
        <v>18</v>
      </c>
      <c r="V35" s="101" t="s">
        <v>18</v>
      </c>
      <c r="W35" s="101" t="s">
        <v>18</v>
      </c>
      <c r="X35" s="101" t="s">
        <v>18</v>
      </c>
      <c r="Y35" s="101" t="s">
        <v>18</v>
      </c>
      <c r="Z35" s="101" t="s">
        <v>18</v>
      </c>
      <c r="AA35" s="101" t="s">
        <v>18</v>
      </c>
      <c r="AB35" s="101"/>
      <c r="AC35" s="101">
        <v>27</v>
      </c>
      <c r="AD35" s="101" t="s">
        <v>170</v>
      </c>
      <c r="AE35" s="20">
        <v>44004.543912037036</v>
      </c>
      <c r="AF35" s="101" t="s">
        <v>25</v>
      </c>
      <c r="AG35" s="101" t="s">
        <v>17</v>
      </c>
      <c r="AH35" s="101">
        <v>0</v>
      </c>
      <c r="AI35" s="101">
        <v>12.205</v>
      </c>
      <c r="AJ35" s="12">
        <v>1936</v>
      </c>
      <c r="AK35" s="101">
        <v>0.379</v>
      </c>
      <c r="AL35" s="101" t="s">
        <v>18</v>
      </c>
      <c r="AM35" s="101" t="s">
        <v>18</v>
      </c>
      <c r="AN35" s="101" t="s">
        <v>18</v>
      </c>
      <c r="AO35" s="101" t="s">
        <v>18</v>
      </c>
      <c r="AR35" s="56"/>
      <c r="AS35" s="7">
        <v>9</v>
      </c>
      <c r="AT35" s="60">
        <f t="shared" si="8"/>
        <v>1.8760476712499994</v>
      </c>
      <c r="AU35" s="61">
        <f t="shared" si="9"/>
        <v>393.52913201408001</v>
      </c>
      <c r="AW35" s="60">
        <f t="shared" si="2"/>
        <v>1.8760476712499994</v>
      </c>
      <c r="AX35" s="61">
        <f t="shared" si="3"/>
        <v>393.52913201408001</v>
      </c>
      <c r="AZ35" s="23">
        <f t="shared" si="4"/>
        <v>1.6610394800500003</v>
      </c>
      <c r="BA35" s="103">
        <f t="shared" si="5"/>
        <v>366.24425595904</v>
      </c>
      <c r="BC35" s="104">
        <f t="shared" si="6"/>
        <v>0.83744495330000013</v>
      </c>
      <c r="BD35" s="105">
        <f t="shared" si="7"/>
        <v>296.37554859008003</v>
      </c>
    </row>
    <row r="36" spans="1:56" s="101" customFormat="1" ht="14.4" x14ac:dyDescent="0.3">
      <c r="A36" s="101">
        <v>28</v>
      </c>
      <c r="B36" s="101" t="s">
        <v>171</v>
      </c>
      <c r="C36" s="20">
        <v>44004.565127314818</v>
      </c>
      <c r="D36" s="101" t="s">
        <v>25</v>
      </c>
      <c r="E36" s="101" t="s">
        <v>17</v>
      </c>
      <c r="F36" s="101">
        <v>0</v>
      </c>
      <c r="G36" s="101">
        <v>6.0469999999999997</v>
      </c>
      <c r="H36" s="12">
        <v>2299</v>
      </c>
      <c r="I36" s="101">
        <v>1E-3</v>
      </c>
      <c r="J36" s="101" t="s">
        <v>18</v>
      </c>
      <c r="K36" s="101" t="s">
        <v>18</v>
      </c>
      <c r="L36" s="101" t="s">
        <v>18</v>
      </c>
      <c r="M36" s="101" t="s">
        <v>18</v>
      </c>
      <c r="O36" s="101">
        <v>28</v>
      </c>
      <c r="P36" s="101" t="s">
        <v>171</v>
      </c>
      <c r="Q36" s="20">
        <v>44004.565127314818</v>
      </c>
      <c r="R36" s="101" t="s">
        <v>25</v>
      </c>
      <c r="S36" s="101" t="s">
        <v>17</v>
      </c>
      <c r="T36" s="101">
        <v>0</v>
      </c>
      <c r="U36" s="101" t="s">
        <v>18</v>
      </c>
      <c r="V36" s="101" t="s">
        <v>18</v>
      </c>
      <c r="W36" s="101" t="s">
        <v>18</v>
      </c>
      <c r="X36" s="101" t="s">
        <v>18</v>
      </c>
      <c r="Y36" s="101" t="s">
        <v>18</v>
      </c>
      <c r="Z36" s="101" t="s">
        <v>18</v>
      </c>
      <c r="AA36" s="101" t="s">
        <v>18</v>
      </c>
      <c r="AC36" s="101">
        <v>28</v>
      </c>
      <c r="AD36" s="101" t="s">
        <v>171</v>
      </c>
      <c r="AE36" s="20">
        <v>44004.565127314818</v>
      </c>
      <c r="AF36" s="101" t="s">
        <v>25</v>
      </c>
      <c r="AG36" s="101" t="s">
        <v>17</v>
      </c>
      <c r="AH36" s="101">
        <v>0</v>
      </c>
      <c r="AI36" s="101">
        <v>12.179</v>
      </c>
      <c r="AJ36" s="12">
        <v>2219</v>
      </c>
      <c r="AK36" s="101">
        <v>0.438</v>
      </c>
      <c r="AL36" s="101" t="s">
        <v>18</v>
      </c>
      <c r="AM36" s="101" t="s">
        <v>18</v>
      </c>
      <c r="AN36" s="101" t="s">
        <v>18</v>
      </c>
      <c r="AO36" s="101" t="s">
        <v>18</v>
      </c>
      <c r="AS36" s="7">
        <v>10</v>
      </c>
      <c r="AT36" s="60">
        <f t="shared" si="8"/>
        <v>1.96010977125</v>
      </c>
      <c r="AU36" s="61">
        <f t="shared" si="9"/>
        <v>445.92352296803</v>
      </c>
      <c r="AW36" s="60">
        <f t="shared" si="2"/>
        <v>1.96010977125</v>
      </c>
      <c r="AX36" s="61">
        <f t="shared" si="3"/>
        <v>445.92352296803</v>
      </c>
      <c r="AZ36" s="23">
        <f t="shared" si="4"/>
        <v>1.7677880120500014</v>
      </c>
      <c r="BA36" s="103">
        <f t="shared" si="5"/>
        <v>420.33473639414001</v>
      </c>
      <c r="BC36" s="104">
        <f t="shared" si="6"/>
        <v>0.88240386529999992</v>
      </c>
      <c r="BD36" s="105">
        <f t="shared" si="7"/>
        <v>354.84164051528001</v>
      </c>
    </row>
    <row r="37" spans="1:56" s="101" customFormat="1" ht="14.4" x14ac:dyDescent="0.3">
      <c r="A37" s="101">
        <v>29</v>
      </c>
      <c r="B37" s="101" t="s">
        <v>172</v>
      </c>
      <c r="C37" s="20">
        <v>44004.586342592593</v>
      </c>
      <c r="D37" s="101" t="s">
        <v>25</v>
      </c>
      <c r="E37" s="101" t="s">
        <v>17</v>
      </c>
      <c r="F37" s="101">
        <v>0</v>
      </c>
      <c r="G37" s="101">
        <v>6.0460000000000003</v>
      </c>
      <c r="H37" s="12">
        <v>2212</v>
      </c>
      <c r="I37" s="101">
        <v>1E-3</v>
      </c>
      <c r="J37" s="101" t="s">
        <v>18</v>
      </c>
      <c r="K37" s="101" t="s">
        <v>18</v>
      </c>
      <c r="L37" s="101" t="s">
        <v>18</v>
      </c>
      <c r="M37" s="101" t="s">
        <v>18</v>
      </c>
      <c r="O37" s="101">
        <v>29</v>
      </c>
      <c r="P37" s="101" t="s">
        <v>172</v>
      </c>
      <c r="Q37" s="20">
        <v>44004.586342592593</v>
      </c>
      <c r="R37" s="101" t="s">
        <v>25</v>
      </c>
      <c r="S37" s="101" t="s">
        <v>17</v>
      </c>
      <c r="T37" s="101">
        <v>0</v>
      </c>
      <c r="U37" s="101" t="s">
        <v>18</v>
      </c>
      <c r="V37" s="101" t="s">
        <v>18</v>
      </c>
      <c r="W37" s="101" t="s">
        <v>18</v>
      </c>
      <c r="X37" s="101" t="s">
        <v>18</v>
      </c>
      <c r="Y37" s="101" t="s">
        <v>18</v>
      </c>
      <c r="Z37" s="101" t="s">
        <v>18</v>
      </c>
      <c r="AA37" s="101" t="s">
        <v>18</v>
      </c>
      <c r="AC37" s="101">
        <v>29</v>
      </c>
      <c r="AD37" s="101" t="s">
        <v>172</v>
      </c>
      <c r="AE37" s="20">
        <v>44004.586342592593</v>
      </c>
      <c r="AF37" s="101" t="s">
        <v>25</v>
      </c>
      <c r="AG37" s="101" t="s">
        <v>17</v>
      </c>
      <c r="AH37" s="101">
        <v>0</v>
      </c>
      <c r="AI37" s="101">
        <v>12.151</v>
      </c>
      <c r="AJ37" s="12">
        <v>2045</v>
      </c>
      <c r="AK37" s="101">
        <v>0.40200000000000002</v>
      </c>
      <c r="AL37" s="101" t="s">
        <v>18</v>
      </c>
      <c r="AM37" s="101" t="s">
        <v>18</v>
      </c>
      <c r="AN37" s="101" t="s">
        <v>18</v>
      </c>
      <c r="AO37" s="101" t="s">
        <v>18</v>
      </c>
      <c r="AS37" s="7">
        <v>11</v>
      </c>
      <c r="AT37" s="60">
        <f t="shared" si="8"/>
        <v>1.7164350599999993</v>
      </c>
      <c r="AU37" s="61">
        <f t="shared" si="9"/>
        <v>413.71049429075003</v>
      </c>
      <c r="AW37" s="60">
        <f t="shared" si="2"/>
        <v>1.7164350599999993</v>
      </c>
      <c r="AX37" s="61">
        <f t="shared" si="3"/>
        <v>413.71049429075003</v>
      </c>
      <c r="AZ37" s="23">
        <f t="shared" si="4"/>
        <v>1.4579298952000013</v>
      </c>
      <c r="BA37" s="103">
        <f t="shared" si="5"/>
        <v>387.07800027350004</v>
      </c>
      <c r="BC37" s="104">
        <f t="shared" si="6"/>
        <v>0.75274356319999991</v>
      </c>
      <c r="BD37" s="105">
        <f t="shared" si="7"/>
        <v>318.89477472200002</v>
      </c>
    </row>
    <row r="38" spans="1:56" s="101" customFormat="1" ht="14.4" x14ac:dyDescent="0.3">
      <c r="A38" s="101">
        <v>44</v>
      </c>
      <c r="B38" s="101" t="s">
        <v>173</v>
      </c>
      <c r="C38" s="20">
        <v>44005.428136574075</v>
      </c>
      <c r="D38" s="101" t="s">
        <v>25</v>
      </c>
      <c r="E38" s="101" t="s">
        <v>17</v>
      </c>
      <c r="F38" s="101">
        <v>0</v>
      </c>
      <c r="G38" s="101">
        <v>6.0720000000000001</v>
      </c>
      <c r="H38" s="12">
        <v>2336</v>
      </c>
      <c r="I38" s="101">
        <v>1E-3</v>
      </c>
      <c r="J38" s="101" t="s">
        <v>18</v>
      </c>
      <c r="K38" s="101" t="s">
        <v>18</v>
      </c>
      <c r="L38" s="101" t="s">
        <v>18</v>
      </c>
      <c r="M38" s="101" t="s">
        <v>18</v>
      </c>
      <c r="O38" s="101">
        <v>44</v>
      </c>
      <c r="P38" s="101" t="s">
        <v>173</v>
      </c>
      <c r="Q38" s="20">
        <v>44005.428136574075</v>
      </c>
      <c r="R38" s="101" t="s">
        <v>25</v>
      </c>
      <c r="S38" s="101" t="s">
        <v>17</v>
      </c>
      <c r="T38" s="101">
        <v>0</v>
      </c>
      <c r="U38" s="101" t="s">
        <v>18</v>
      </c>
      <c r="V38" s="101" t="s">
        <v>18</v>
      </c>
      <c r="W38" s="101" t="s">
        <v>18</v>
      </c>
      <c r="X38" s="101" t="s">
        <v>18</v>
      </c>
      <c r="Y38" s="101" t="s">
        <v>18</v>
      </c>
      <c r="Z38" s="101" t="s">
        <v>18</v>
      </c>
      <c r="AA38" s="101" t="s">
        <v>18</v>
      </c>
      <c r="AC38" s="101">
        <v>44</v>
      </c>
      <c r="AD38" s="101" t="s">
        <v>173</v>
      </c>
      <c r="AE38" s="20">
        <v>44005.428136574075</v>
      </c>
      <c r="AF38" s="101" t="s">
        <v>25</v>
      </c>
      <c r="AG38" s="101" t="s">
        <v>17</v>
      </c>
      <c r="AH38" s="101">
        <v>0</v>
      </c>
      <c r="AI38" s="101">
        <v>12.221</v>
      </c>
      <c r="AJ38" s="12">
        <v>3573</v>
      </c>
      <c r="AK38" s="101">
        <v>0.71799999999999997</v>
      </c>
      <c r="AL38" s="101" t="s">
        <v>18</v>
      </c>
      <c r="AM38" s="101" t="s">
        <v>18</v>
      </c>
      <c r="AN38" s="101" t="s">
        <v>18</v>
      </c>
      <c r="AO38" s="101" t="s">
        <v>18</v>
      </c>
      <c r="AS38" s="7">
        <v>12</v>
      </c>
      <c r="AT38" s="60">
        <f t="shared" si="8"/>
        <v>2.0638390399999995</v>
      </c>
      <c r="AU38" s="61">
        <f t="shared" si="9"/>
        <v>696.46285752867004</v>
      </c>
      <c r="AW38" s="60">
        <f t="shared" si="2"/>
        <v>2.0638390399999995</v>
      </c>
      <c r="AX38" s="61">
        <f t="shared" si="3"/>
        <v>696.46285752867004</v>
      </c>
      <c r="AZ38" s="23">
        <f t="shared" si="4"/>
        <v>1.8993008768000017</v>
      </c>
      <c r="BA38" s="103">
        <f t="shared" si="5"/>
        <v>679.09201949046007</v>
      </c>
      <c r="BC38" s="104">
        <f t="shared" si="6"/>
        <v>0.93821338880000016</v>
      </c>
      <c r="BD38" s="105">
        <f t="shared" si="7"/>
        <v>634.51330328391987</v>
      </c>
    </row>
    <row r="39" spans="1:56" s="101" customFormat="1" ht="14.4" x14ac:dyDescent="0.3">
      <c r="A39" s="101">
        <v>40</v>
      </c>
      <c r="B39" s="101" t="s">
        <v>174</v>
      </c>
      <c r="C39" s="20">
        <v>44006.384895833333</v>
      </c>
      <c r="D39" s="101" t="s">
        <v>25</v>
      </c>
      <c r="E39" s="101" t="s">
        <v>17</v>
      </c>
      <c r="F39" s="101">
        <v>0</v>
      </c>
      <c r="G39" s="101">
        <v>6.0730000000000004</v>
      </c>
      <c r="H39" s="12">
        <v>2469</v>
      </c>
      <c r="I39" s="101">
        <v>2E-3</v>
      </c>
      <c r="J39" s="101" t="s">
        <v>18</v>
      </c>
      <c r="K39" s="101" t="s">
        <v>18</v>
      </c>
      <c r="L39" s="101" t="s">
        <v>18</v>
      </c>
      <c r="M39" s="101" t="s">
        <v>18</v>
      </c>
      <c r="O39" s="101">
        <v>40</v>
      </c>
      <c r="P39" s="101" t="s">
        <v>174</v>
      </c>
      <c r="Q39" s="20">
        <v>44006.384895833333</v>
      </c>
      <c r="R39" s="101" t="s">
        <v>25</v>
      </c>
      <c r="S39" s="101" t="s">
        <v>17</v>
      </c>
      <c r="T39" s="101">
        <v>0</v>
      </c>
      <c r="U39" s="101" t="s">
        <v>18</v>
      </c>
      <c r="V39" s="101" t="s">
        <v>18</v>
      </c>
      <c r="W39" s="101" t="s">
        <v>18</v>
      </c>
      <c r="X39" s="101" t="s">
        <v>18</v>
      </c>
      <c r="Y39" s="101" t="s">
        <v>18</v>
      </c>
      <c r="Z39" s="101" t="s">
        <v>18</v>
      </c>
      <c r="AA39" s="101" t="s">
        <v>18</v>
      </c>
      <c r="AC39" s="101">
        <v>40</v>
      </c>
      <c r="AD39" s="101" t="s">
        <v>174</v>
      </c>
      <c r="AE39" s="20">
        <v>44006.384895833333</v>
      </c>
      <c r="AF39" s="101" t="s">
        <v>25</v>
      </c>
      <c r="AG39" s="101" t="s">
        <v>17</v>
      </c>
      <c r="AH39" s="101">
        <v>0</v>
      </c>
      <c r="AI39" s="101">
        <v>12.215999999999999</v>
      </c>
      <c r="AJ39" s="12">
        <v>2982</v>
      </c>
      <c r="AK39" s="101">
        <v>0.59599999999999997</v>
      </c>
      <c r="AL39" s="101" t="s">
        <v>18</v>
      </c>
      <c r="AM39" s="101" t="s">
        <v>18</v>
      </c>
      <c r="AN39" s="101" t="s">
        <v>18</v>
      </c>
      <c r="AO39" s="101" t="s">
        <v>18</v>
      </c>
      <c r="AS39" s="7">
        <v>13</v>
      </c>
      <c r="AT39" s="60">
        <f t="shared" si="8"/>
        <v>2.4371841712499993</v>
      </c>
      <c r="AU39" s="61">
        <f t="shared" si="9"/>
        <v>587.13462882252009</v>
      </c>
      <c r="AW39" s="60">
        <f t="shared" si="2"/>
        <v>2.4371841712499993</v>
      </c>
      <c r="AX39" s="61">
        <f t="shared" si="3"/>
        <v>587.13462882252009</v>
      </c>
      <c r="AZ39" s="23">
        <f t="shared" si="4"/>
        <v>2.3707260600500017</v>
      </c>
      <c r="BA39" s="103">
        <f t="shared" si="5"/>
        <v>566.15581081176003</v>
      </c>
      <c r="BC39" s="104">
        <f t="shared" si="6"/>
        <v>1.1421112332999999</v>
      </c>
      <c r="BD39" s="105">
        <f t="shared" si="7"/>
        <v>512.45246789151997</v>
      </c>
    </row>
    <row r="40" spans="1:56" s="101" customFormat="1" ht="14.4" x14ac:dyDescent="0.3">
      <c r="A40" s="101">
        <v>13</v>
      </c>
      <c r="B40" s="101" t="s">
        <v>175</v>
      </c>
      <c r="C40" s="20">
        <v>44007.444143518522</v>
      </c>
      <c r="D40" s="101" t="s">
        <v>25</v>
      </c>
      <c r="E40" s="101" t="s">
        <v>17</v>
      </c>
      <c r="F40" s="101">
        <v>0</v>
      </c>
      <c r="G40" s="101">
        <v>6.0830000000000002</v>
      </c>
      <c r="H40" s="12">
        <v>2364</v>
      </c>
      <c r="I40" s="101">
        <v>0.123</v>
      </c>
      <c r="J40" s="101" t="s">
        <v>18</v>
      </c>
      <c r="K40" s="101" t="s">
        <v>18</v>
      </c>
      <c r="L40" s="101" t="s">
        <v>18</v>
      </c>
      <c r="M40" s="101" t="s">
        <v>18</v>
      </c>
      <c r="O40" s="101">
        <v>13</v>
      </c>
      <c r="P40" s="101" t="s">
        <v>175</v>
      </c>
      <c r="Q40" s="20">
        <v>44007.444143518522</v>
      </c>
      <c r="R40" s="101" t="s">
        <v>25</v>
      </c>
      <c r="S40" s="101" t="s">
        <v>17</v>
      </c>
      <c r="T40" s="101">
        <v>0</v>
      </c>
      <c r="U40" s="101" t="s">
        <v>18</v>
      </c>
      <c r="V40" s="101" t="s">
        <v>18</v>
      </c>
      <c r="W40" s="101" t="s">
        <v>18</v>
      </c>
      <c r="X40" s="101" t="s">
        <v>18</v>
      </c>
      <c r="Y40" s="101" t="s">
        <v>18</v>
      </c>
      <c r="Z40" s="101" t="s">
        <v>18</v>
      </c>
      <c r="AA40" s="101" t="s">
        <v>18</v>
      </c>
      <c r="AC40" s="101">
        <v>13</v>
      </c>
      <c r="AD40" s="101" t="s">
        <v>175</v>
      </c>
      <c r="AE40" s="20">
        <v>44007.444143518522</v>
      </c>
      <c r="AF40" s="101" t="s">
        <v>25</v>
      </c>
      <c r="AG40" s="101" t="s">
        <v>17</v>
      </c>
      <c r="AH40" s="101">
        <v>0</v>
      </c>
      <c r="AI40" s="101">
        <v>12.215</v>
      </c>
      <c r="AJ40" s="12">
        <v>2285</v>
      </c>
      <c r="AK40" s="101">
        <v>0.47099999999999997</v>
      </c>
      <c r="AL40" s="101" t="s">
        <v>18</v>
      </c>
      <c r="AM40" s="101" t="s">
        <v>18</v>
      </c>
      <c r="AN40" s="101" t="s">
        <v>18</v>
      </c>
      <c r="AO40" s="101" t="s">
        <v>18</v>
      </c>
      <c r="AS40" s="7">
        <v>14</v>
      </c>
      <c r="AT40" s="60">
        <f t="shared" si="8"/>
        <v>2.1423755399999997</v>
      </c>
      <c r="AU40" s="61">
        <f t="shared" si="9"/>
        <v>458.14126370675001</v>
      </c>
      <c r="AW40" s="60">
        <f t="shared" si="2"/>
        <v>2.1423755399999997</v>
      </c>
      <c r="AX40" s="61">
        <f t="shared" si="3"/>
        <v>458.14126370675001</v>
      </c>
      <c r="AZ40" s="23">
        <f t="shared" si="4"/>
        <v>1.9987186568000013</v>
      </c>
      <c r="BA40" s="103">
        <f t="shared" si="5"/>
        <v>432.94910288149998</v>
      </c>
      <c r="BC40" s="104">
        <f t="shared" si="6"/>
        <v>0.98071206880000017</v>
      </c>
      <c r="BD40" s="105">
        <f t="shared" si="7"/>
        <v>368.47625433800005</v>
      </c>
    </row>
    <row r="41" spans="1:56" s="101" customFormat="1" ht="14.4" x14ac:dyDescent="0.3">
      <c r="A41" s="101">
        <v>37</v>
      </c>
      <c r="B41" s="101" t="s">
        <v>176</v>
      </c>
      <c r="C41" s="20">
        <v>44008.458078703705</v>
      </c>
      <c r="D41" s="101" t="s">
        <v>25</v>
      </c>
      <c r="E41" s="101" t="s">
        <v>17</v>
      </c>
      <c r="F41" s="101">
        <v>0</v>
      </c>
      <c r="G41" s="101">
        <v>6.0709999999999997</v>
      </c>
      <c r="H41" s="12">
        <v>2944</v>
      </c>
      <c r="I41" s="101">
        <v>3.0000000000000001E-3</v>
      </c>
      <c r="J41" s="101" t="s">
        <v>18</v>
      </c>
      <c r="K41" s="101" t="s">
        <v>18</v>
      </c>
      <c r="L41" s="101" t="s">
        <v>18</v>
      </c>
      <c r="M41" s="101" t="s">
        <v>18</v>
      </c>
      <c r="O41" s="101">
        <v>37</v>
      </c>
      <c r="P41" s="101" t="s">
        <v>176</v>
      </c>
      <c r="Q41" s="20">
        <v>44008.458078703705</v>
      </c>
      <c r="R41" s="101" t="s">
        <v>25</v>
      </c>
      <c r="S41" s="101" t="s">
        <v>17</v>
      </c>
      <c r="T41" s="101">
        <v>0</v>
      </c>
      <c r="U41" s="101" t="s">
        <v>18</v>
      </c>
      <c r="V41" s="101" t="s">
        <v>18</v>
      </c>
      <c r="W41" s="101" t="s">
        <v>18</v>
      </c>
      <c r="X41" s="101" t="s">
        <v>18</v>
      </c>
      <c r="Y41" s="101" t="s">
        <v>18</v>
      </c>
      <c r="Z41" s="101" t="s">
        <v>18</v>
      </c>
      <c r="AA41" s="101" t="s">
        <v>18</v>
      </c>
      <c r="AC41" s="101">
        <v>37</v>
      </c>
      <c r="AD41" s="101" t="s">
        <v>176</v>
      </c>
      <c r="AE41" s="20">
        <v>44008.458078703705</v>
      </c>
      <c r="AF41" s="101" t="s">
        <v>25</v>
      </c>
      <c r="AG41" s="101" t="s">
        <v>17</v>
      </c>
      <c r="AH41" s="101">
        <v>0</v>
      </c>
      <c r="AI41" s="101">
        <v>12.212999999999999</v>
      </c>
      <c r="AJ41" s="12">
        <v>2092</v>
      </c>
      <c r="AK41" s="101">
        <v>0.46</v>
      </c>
      <c r="AL41" s="101" t="s">
        <v>18</v>
      </c>
      <c r="AM41" s="101" t="s">
        <v>18</v>
      </c>
      <c r="AN41" s="101" t="s">
        <v>18</v>
      </c>
      <c r="AO41" s="101" t="s">
        <v>18</v>
      </c>
      <c r="AS41" s="7">
        <v>15</v>
      </c>
      <c r="AT41" s="60">
        <f t="shared" si="8"/>
        <v>3.7766966399999991</v>
      </c>
      <c r="AU41" s="61">
        <f t="shared" si="9"/>
        <v>422.41208935472002</v>
      </c>
      <c r="AW41" s="60">
        <f t="shared" si="2"/>
        <v>3.7766966399999991</v>
      </c>
      <c r="AX41" s="61">
        <f t="shared" si="3"/>
        <v>422.41208935472002</v>
      </c>
      <c r="AZ41" s="23">
        <f t="shared" si="4"/>
        <v>4.0376514688000018</v>
      </c>
      <c r="BA41" s="103">
        <f t="shared" si="5"/>
        <v>396.06123869536003</v>
      </c>
      <c r="BC41" s="104">
        <f t="shared" si="6"/>
        <v>1.9122804608000001</v>
      </c>
      <c r="BD41" s="105">
        <f t="shared" si="7"/>
        <v>328.60471263872</v>
      </c>
    </row>
    <row r="42" spans="1:56" s="101" customFormat="1" ht="14.4" x14ac:dyDescent="0.3">
      <c r="A42" s="101">
        <v>37</v>
      </c>
      <c r="B42" s="101" t="s">
        <v>177</v>
      </c>
      <c r="C42" s="20">
        <v>44012.426736111112</v>
      </c>
      <c r="D42" s="101" t="s">
        <v>25</v>
      </c>
      <c r="E42" s="101" t="s">
        <v>17</v>
      </c>
      <c r="F42" s="101">
        <v>0</v>
      </c>
      <c r="G42" s="101">
        <v>6.0720000000000001</v>
      </c>
      <c r="H42" s="12">
        <v>2324</v>
      </c>
      <c r="I42" s="101">
        <v>2E-3</v>
      </c>
      <c r="J42" s="101" t="s">
        <v>18</v>
      </c>
      <c r="K42" s="101" t="s">
        <v>18</v>
      </c>
      <c r="L42" s="101" t="s">
        <v>18</v>
      </c>
      <c r="M42" s="101" t="s">
        <v>18</v>
      </c>
      <c r="O42" s="101">
        <v>37</v>
      </c>
      <c r="P42" s="101" t="s">
        <v>177</v>
      </c>
      <c r="Q42" s="20">
        <v>44012.426736111112</v>
      </c>
      <c r="R42" s="101" t="s">
        <v>25</v>
      </c>
      <c r="S42" s="101" t="s">
        <v>17</v>
      </c>
      <c r="T42" s="101">
        <v>0</v>
      </c>
      <c r="U42" s="101" t="s">
        <v>18</v>
      </c>
      <c r="V42" s="101" t="s">
        <v>18</v>
      </c>
      <c r="W42" s="101" t="s">
        <v>18</v>
      </c>
      <c r="X42" s="101" t="s">
        <v>18</v>
      </c>
      <c r="Y42" s="101" t="s">
        <v>18</v>
      </c>
      <c r="Z42" s="101" t="s">
        <v>18</v>
      </c>
      <c r="AA42" s="101" t="s">
        <v>18</v>
      </c>
      <c r="AC42" s="101">
        <v>37</v>
      </c>
      <c r="AD42" s="101" t="s">
        <v>177</v>
      </c>
      <c r="AE42" s="20">
        <v>44012.426736111112</v>
      </c>
      <c r="AF42" s="101" t="s">
        <v>25</v>
      </c>
      <c r="AG42" s="101" t="s">
        <v>17</v>
      </c>
      <c r="AH42" s="101">
        <v>0</v>
      </c>
      <c r="AI42" s="101">
        <v>12.224</v>
      </c>
      <c r="AJ42" s="12">
        <v>2233</v>
      </c>
      <c r="AK42" s="101">
        <v>0.47899999999999998</v>
      </c>
      <c r="AL42" s="101" t="s">
        <v>18</v>
      </c>
      <c r="AM42" s="101" t="s">
        <v>18</v>
      </c>
      <c r="AN42" s="101" t="s">
        <v>18</v>
      </c>
      <c r="AO42" s="101" t="s">
        <v>18</v>
      </c>
      <c r="AS42" s="7">
        <v>16</v>
      </c>
      <c r="AT42" s="60">
        <f>IF(H42&lt;15000,((0.00000002125*H42^2)+(0.002705*H42)+(-4.371)),(IF(H42&lt;700000,((-0.0000000008162*H42^2)+(0.003141*H42)+(0.4702)), ((0.000000003285*V42^2)+(0.1899*V42)+(559.5)))))</f>
        <v>2.0301907399999992</v>
      </c>
      <c r="AU42" s="61">
        <f>((-0.00000006277*AJ42^2)+(0.1854*AJ42)+(34.83))</f>
        <v>448.51521063946996</v>
      </c>
      <c r="AW42" s="60">
        <f t="shared" si="2"/>
        <v>2.0301907399999992</v>
      </c>
      <c r="AX42" s="61">
        <f t="shared" si="3"/>
        <v>448.51521063946996</v>
      </c>
      <c r="AZ42" s="23">
        <f t="shared" si="4"/>
        <v>1.8566654408000005</v>
      </c>
      <c r="BA42" s="103">
        <f t="shared" si="5"/>
        <v>423.01052294086003</v>
      </c>
      <c r="BC42" s="104">
        <f t="shared" si="6"/>
        <v>0.92006941279999999</v>
      </c>
      <c r="BD42" s="105">
        <f t="shared" si="7"/>
        <v>357.73384990472005</v>
      </c>
    </row>
    <row r="43" spans="1:56" s="101" customFormat="1" ht="14.4" x14ac:dyDescent="0.3">
      <c r="A43" s="101">
        <v>37</v>
      </c>
      <c r="B43" s="101" t="s">
        <v>178</v>
      </c>
      <c r="C43" s="20">
        <v>44015.431793981479</v>
      </c>
      <c r="D43" s="101" t="s">
        <v>25</v>
      </c>
      <c r="E43" s="101" t="s">
        <v>17</v>
      </c>
      <c r="F43" s="101">
        <v>0</v>
      </c>
      <c r="G43" s="101">
        <v>6.0780000000000003</v>
      </c>
      <c r="H43" s="12">
        <v>2388</v>
      </c>
      <c r="I43" s="101">
        <v>2E-3</v>
      </c>
      <c r="J43" s="101" t="s">
        <v>18</v>
      </c>
      <c r="K43" s="101" t="s">
        <v>18</v>
      </c>
      <c r="L43" s="101" t="s">
        <v>18</v>
      </c>
      <c r="M43" s="101" t="s">
        <v>18</v>
      </c>
      <c r="O43" s="101">
        <v>37</v>
      </c>
      <c r="P43" s="101" t="s">
        <v>178</v>
      </c>
      <c r="Q43" s="20">
        <v>44015.431793981479</v>
      </c>
      <c r="R43" s="101" t="s">
        <v>25</v>
      </c>
      <c r="S43" s="101" t="s">
        <v>17</v>
      </c>
      <c r="T43" s="101">
        <v>0</v>
      </c>
      <c r="U43" s="101" t="s">
        <v>18</v>
      </c>
      <c r="V43" s="101" t="s">
        <v>18</v>
      </c>
      <c r="W43" s="101" t="s">
        <v>18</v>
      </c>
      <c r="X43" s="101" t="s">
        <v>18</v>
      </c>
      <c r="Y43" s="101" t="s">
        <v>18</v>
      </c>
      <c r="Z43" s="101" t="s">
        <v>18</v>
      </c>
      <c r="AA43" s="101" t="s">
        <v>18</v>
      </c>
      <c r="AC43" s="101">
        <v>37</v>
      </c>
      <c r="AD43" s="101" t="s">
        <v>178</v>
      </c>
      <c r="AE43" s="20">
        <v>44015.431793981479</v>
      </c>
      <c r="AF43" s="101" t="s">
        <v>25</v>
      </c>
      <c r="AG43" s="101" t="s">
        <v>17</v>
      </c>
      <c r="AH43" s="101">
        <v>0</v>
      </c>
      <c r="AI43" s="101">
        <v>12.222</v>
      </c>
      <c r="AJ43" s="12">
        <v>1715</v>
      </c>
      <c r="AK43" s="101">
        <v>0.40799999999999997</v>
      </c>
      <c r="AL43" s="101" t="s">
        <v>18</v>
      </c>
      <c r="AM43" s="101" t="s">
        <v>18</v>
      </c>
      <c r="AN43" s="101" t="s">
        <v>18</v>
      </c>
      <c r="AO43" s="101" t="s">
        <v>18</v>
      </c>
      <c r="AS43" s="7">
        <v>17</v>
      </c>
      <c r="AT43" s="60">
        <f>IF(H43&lt;15000,((0.00000002125*H43^2)+(0.002705*H43)+(-4.371)),(IF(H43&lt;700000,((-0.0000000008162*H43^2)+(0.003141*H43)+(0.4702)), ((0.000000003285*V43^2)+(0.1899*V43)+(559.5)))))</f>
        <v>2.2097190599999994</v>
      </c>
      <c r="AU43" s="61">
        <f>((-0.00000006277*AJ43^2)+(0.1854*AJ43)+(34.83))</f>
        <v>352.60637930675</v>
      </c>
      <c r="AW43" s="60">
        <f t="shared" si="2"/>
        <v>2.2097190599999994</v>
      </c>
      <c r="AX43" s="61">
        <f t="shared" si="3"/>
        <v>352.60637930675</v>
      </c>
      <c r="AZ43" s="23">
        <f t="shared" si="4"/>
        <v>2.0838615752000003</v>
      </c>
      <c r="BA43" s="103">
        <f t="shared" si="5"/>
        <v>324.00217568150003</v>
      </c>
      <c r="BC43" s="104">
        <f t="shared" si="6"/>
        <v>1.0173208432</v>
      </c>
      <c r="BD43" s="105">
        <f t="shared" si="7"/>
        <v>250.71543993800003</v>
      </c>
    </row>
    <row r="44" spans="1:56" s="101" customFormat="1" ht="14.4" x14ac:dyDescent="0.3">
      <c r="A44" s="101">
        <v>37</v>
      </c>
      <c r="B44" s="101" t="s">
        <v>179</v>
      </c>
      <c r="C44" s="20">
        <v>44019.450856481482</v>
      </c>
      <c r="D44" s="101" t="s">
        <v>25</v>
      </c>
      <c r="E44" s="101" t="s">
        <v>17</v>
      </c>
      <c r="F44" s="101">
        <v>0</v>
      </c>
      <c r="G44" s="101">
        <v>6.0709999999999997</v>
      </c>
      <c r="H44" s="12">
        <v>2693</v>
      </c>
      <c r="I44" s="101">
        <v>2E-3</v>
      </c>
      <c r="J44" s="101" t="s">
        <v>18</v>
      </c>
      <c r="K44" s="101" t="s">
        <v>18</v>
      </c>
      <c r="L44" s="101" t="s">
        <v>18</v>
      </c>
      <c r="M44" s="101" t="s">
        <v>18</v>
      </c>
      <c r="O44" s="101">
        <v>37</v>
      </c>
      <c r="P44" s="101" t="s">
        <v>179</v>
      </c>
      <c r="Q44" s="20">
        <v>44019.450856481482</v>
      </c>
      <c r="R44" s="101" t="s">
        <v>25</v>
      </c>
      <c r="S44" s="101" t="s">
        <v>17</v>
      </c>
      <c r="T44" s="101">
        <v>0</v>
      </c>
      <c r="U44" s="101" t="s">
        <v>18</v>
      </c>
      <c r="V44" s="101" t="s">
        <v>18</v>
      </c>
      <c r="W44" s="101" t="s">
        <v>18</v>
      </c>
      <c r="X44" s="101" t="s">
        <v>18</v>
      </c>
      <c r="Y44" s="101" t="s">
        <v>18</v>
      </c>
      <c r="Z44" s="101" t="s">
        <v>18</v>
      </c>
      <c r="AA44" s="101" t="s">
        <v>18</v>
      </c>
      <c r="AC44" s="101">
        <v>37</v>
      </c>
      <c r="AD44" s="101" t="s">
        <v>179</v>
      </c>
      <c r="AE44" s="20">
        <v>44019.450856481482</v>
      </c>
      <c r="AF44" s="101" t="s">
        <v>25</v>
      </c>
      <c r="AG44" s="101" t="s">
        <v>17</v>
      </c>
      <c r="AH44" s="101">
        <v>0</v>
      </c>
      <c r="AI44" s="101">
        <v>12.239000000000001</v>
      </c>
      <c r="AJ44" s="12">
        <v>2284</v>
      </c>
      <c r="AK44" s="101">
        <v>0.48599999999999999</v>
      </c>
      <c r="AL44" s="101" t="s">
        <v>18</v>
      </c>
      <c r="AM44" s="101" t="s">
        <v>18</v>
      </c>
      <c r="AN44" s="101" t="s">
        <v>18</v>
      </c>
      <c r="AO44" s="101" t="s">
        <v>18</v>
      </c>
      <c r="AS44" s="7">
        <v>18</v>
      </c>
      <c r="AT44" s="60">
        <f>IF(H44&lt;15000,((0.00000002125*H44^2)+(0.002705*H44)+(-4.371)),(IF(H44&lt;700000,((-0.0000000008162*H44^2)+(0.003141*H44)+(0.4702)), ((0.000000003285*V44^2)+(0.1899*V44)+(559.5)))))</f>
        <v>3.0676752912499996</v>
      </c>
      <c r="AU44" s="61">
        <f>((-0.00000006277*AJ44^2)+(0.1854*AJ44)+(34.83))</f>
        <v>457.95615050287995</v>
      </c>
      <c r="AW44" s="60">
        <f t="shared" si="2"/>
        <v>3.0676752912499996</v>
      </c>
      <c r="AX44" s="61">
        <f t="shared" si="3"/>
        <v>457.95615050287995</v>
      </c>
      <c r="AZ44" s="23">
        <f t="shared" si="4"/>
        <v>3.1600711704500011</v>
      </c>
      <c r="BA44" s="103">
        <f t="shared" si="5"/>
        <v>432.75797717344</v>
      </c>
      <c r="BC44" s="104">
        <f t="shared" si="6"/>
        <v>1.4971374796999999</v>
      </c>
      <c r="BD44" s="105">
        <f t="shared" si="7"/>
        <v>368.26967093888004</v>
      </c>
    </row>
    <row r="45" spans="1:56" s="101" customFormat="1" ht="14.4" x14ac:dyDescent="0.3">
      <c r="A45" s="101">
        <v>37</v>
      </c>
      <c r="B45" s="101" t="s">
        <v>180</v>
      </c>
      <c r="C45" s="20">
        <v>44021.409803240742</v>
      </c>
      <c r="D45" s="101" t="s">
        <v>25</v>
      </c>
      <c r="E45" s="101" t="s">
        <v>17</v>
      </c>
      <c r="F45" s="101">
        <v>0</v>
      </c>
      <c r="G45" s="101">
        <v>6.0720000000000001</v>
      </c>
      <c r="H45" s="12">
        <v>2808</v>
      </c>
      <c r="I45" s="101">
        <v>2E-3</v>
      </c>
      <c r="J45" s="101" t="s">
        <v>18</v>
      </c>
      <c r="K45" s="101" t="s">
        <v>18</v>
      </c>
      <c r="L45" s="101" t="s">
        <v>18</v>
      </c>
      <c r="M45" s="101" t="s">
        <v>18</v>
      </c>
      <c r="O45" s="101">
        <v>37</v>
      </c>
      <c r="P45" s="101" t="s">
        <v>180</v>
      </c>
      <c r="Q45" s="20">
        <v>44021.409803240742</v>
      </c>
      <c r="R45" s="101" t="s">
        <v>25</v>
      </c>
      <c r="S45" s="101" t="s">
        <v>17</v>
      </c>
      <c r="T45" s="101">
        <v>0</v>
      </c>
      <c r="U45" s="101" t="s">
        <v>18</v>
      </c>
      <c r="V45" s="101" t="s">
        <v>18</v>
      </c>
      <c r="W45" s="101" t="s">
        <v>18</v>
      </c>
      <c r="X45" s="101" t="s">
        <v>18</v>
      </c>
      <c r="Y45" s="101" t="s">
        <v>18</v>
      </c>
      <c r="Z45" s="101" t="s">
        <v>18</v>
      </c>
      <c r="AA45" s="101" t="s">
        <v>18</v>
      </c>
      <c r="AC45" s="101">
        <v>37</v>
      </c>
      <c r="AD45" s="101" t="s">
        <v>180</v>
      </c>
      <c r="AE45" s="20">
        <v>44021.409803240742</v>
      </c>
      <c r="AF45" s="101" t="s">
        <v>25</v>
      </c>
      <c r="AG45" s="101" t="s">
        <v>17</v>
      </c>
      <c r="AH45" s="101">
        <v>0</v>
      </c>
      <c r="AI45" s="101">
        <v>12.22</v>
      </c>
      <c r="AJ45" s="12">
        <v>2170</v>
      </c>
      <c r="AK45" s="101">
        <v>0.47</v>
      </c>
      <c r="AL45" s="101" t="s">
        <v>18</v>
      </c>
      <c r="AM45" s="101" t="s">
        <v>18</v>
      </c>
      <c r="AN45" s="101" t="s">
        <v>18</v>
      </c>
      <c r="AO45" s="101" t="s">
        <v>18</v>
      </c>
      <c r="AS45" s="7">
        <v>19</v>
      </c>
      <c r="AT45" s="60">
        <f t="shared" ref="AT45:AT85" si="10">IF(H45&lt;15000,((0.00000002125*H45^2)+(0.002705*H45)+(-4.371)),(IF(H45&lt;700000,((-0.0000000008162*H45^2)+(0.003141*H45)+(0.4702)), ((0.000000003285*V45^2)+(0.1899*V45)+(559.5)))))</f>
        <v>3.3921933599999994</v>
      </c>
      <c r="AU45" s="61">
        <f t="shared" ref="AU45:AU85" si="11">((-0.00000006277*AJ45^2)+(0.1854*AJ45)+(34.83))</f>
        <v>436.85242234700002</v>
      </c>
      <c r="AW45" s="60">
        <f t="shared" si="2"/>
        <v>3.3921933599999994</v>
      </c>
      <c r="AX45" s="61">
        <f t="shared" si="3"/>
        <v>436.85242234700002</v>
      </c>
      <c r="AZ45" s="23">
        <f t="shared" si="4"/>
        <v>3.5630561312000015</v>
      </c>
      <c r="BA45" s="103">
        <f t="shared" si="5"/>
        <v>410.96943328599997</v>
      </c>
      <c r="BC45" s="104">
        <f t="shared" si="6"/>
        <v>1.6850699391999997</v>
      </c>
      <c r="BD45" s="105">
        <f t="shared" si="7"/>
        <v>344.71882887200002</v>
      </c>
    </row>
    <row r="46" spans="1:56" s="101" customFormat="1" ht="14.4" x14ac:dyDescent="0.3">
      <c r="A46" s="101">
        <v>37</v>
      </c>
      <c r="B46" s="101" t="s">
        <v>181</v>
      </c>
      <c r="C46" s="20">
        <v>44022.432905092595</v>
      </c>
      <c r="D46" s="101" t="s">
        <v>25</v>
      </c>
      <c r="E46" s="101" t="s">
        <v>17</v>
      </c>
      <c r="F46" s="101">
        <v>0</v>
      </c>
      <c r="G46" s="101">
        <v>6.077</v>
      </c>
      <c r="H46" s="12">
        <v>2849</v>
      </c>
      <c r="I46" s="101">
        <v>2E-3</v>
      </c>
      <c r="J46" s="101" t="s">
        <v>18</v>
      </c>
      <c r="K46" s="101" t="s">
        <v>18</v>
      </c>
      <c r="L46" s="101" t="s">
        <v>18</v>
      </c>
      <c r="M46" s="101" t="s">
        <v>18</v>
      </c>
      <c r="O46" s="101">
        <v>37</v>
      </c>
      <c r="P46" s="101" t="s">
        <v>181</v>
      </c>
      <c r="Q46" s="20">
        <v>44022.432905092595</v>
      </c>
      <c r="R46" s="101" t="s">
        <v>25</v>
      </c>
      <c r="S46" s="101" t="s">
        <v>17</v>
      </c>
      <c r="T46" s="101">
        <v>0</v>
      </c>
      <c r="U46" s="101" t="s">
        <v>18</v>
      </c>
      <c r="V46" s="101" t="s">
        <v>18</v>
      </c>
      <c r="W46" s="101" t="s">
        <v>18</v>
      </c>
      <c r="X46" s="101" t="s">
        <v>18</v>
      </c>
      <c r="Y46" s="101" t="s">
        <v>18</v>
      </c>
      <c r="Z46" s="101" t="s">
        <v>18</v>
      </c>
      <c r="AA46" s="101" t="s">
        <v>18</v>
      </c>
      <c r="AC46" s="101">
        <v>37</v>
      </c>
      <c r="AD46" s="101" t="s">
        <v>181</v>
      </c>
      <c r="AE46" s="20">
        <v>44022.432905092595</v>
      </c>
      <c r="AF46" s="101" t="s">
        <v>25</v>
      </c>
      <c r="AG46" s="101" t="s">
        <v>17</v>
      </c>
      <c r="AH46" s="101">
        <v>0</v>
      </c>
      <c r="AI46" s="101">
        <v>12.204000000000001</v>
      </c>
      <c r="AJ46" s="12">
        <v>1961</v>
      </c>
      <c r="AK46" s="101">
        <v>0.442</v>
      </c>
      <c r="AL46" s="101" t="s">
        <v>18</v>
      </c>
      <c r="AM46" s="101" t="s">
        <v>18</v>
      </c>
      <c r="AN46" s="101" t="s">
        <v>18</v>
      </c>
      <c r="AO46" s="101" t="s">
        <v>18</v>
      </c>
      <c r="AS46" s="7">
        <v>20</v>
      </c>
      <c r="AT46" s="60">
        <f t="shared" si="10"/>
        <v>3.5080270212499993</v>
      </c>
      <c r="AU46" s="61">
        <f t="shared" si="11"/>
        <v>398.15801664682999</v>
      </c>
      <c r="AW46" s="60">
        <f t="shared" si="2"/>
        <v>3.5080270212499993</v>
      </c>
      <c r="AX46" s="61">
        <f t="shared" si="3"/>
        <v>398.15801664682999</v>
      </c>
      <c r="AZ46" s="23">
        <f t="shared" si="4"/>
        <v>3.7063583820500003</v>
      </c>
      <c r="BA46" s="103">
        <f t="shared" si="5"/>
        <v>371.02267182854001</v>
      </c>
      <c r="BC46" s="104">
        <f t="shared" si="6"/>
        <v>1.7530012853000005</v>
      </c>
      <c r="BD46" s="105">
        <f t="shared" si="7"/>
        <v>301.54056230408003</v>
      </c>
    </row>
    <row r="47" spans="1:56" s="101" customFormat="1" ht="14.4" x14ac:dyDescent="0.3">
      <c r="A47" s="101">
        <v>37</v>
      </c>
      <c r="B47" s="101" t="s">
        <v>182</v>
      </c>
      <c r="C47" s="20">
        <v>44032.428101851852</v>
      </c>
      <c r="D47" s="101" t="s">
        <v>25</v>
      </c>
      <c r="E47" s="101" t="s">
        <v>17</v>
      </c>
      <c r="F47" s="101">
        <v>0</v>
      </c>
      <c r="G47" s="101">
        <v>6.0679999999999996</v>
      </c>
      <c r="H47" s="12">
        <v>1957</v>
      </c>
      <c r="I47" s="101">
        <v>1E-3</v>
      </c>
      <c r="J47" s="101" t="s">
        <v>18</v>
      </c>
      <c r="K47" s="101" t="s">
        <v>18</v>
      </c>
      <c r="L47" s="101" t="s">
        <v>18</v>
      </c>
      <c r="M47" s="101" t="s">
        <v>18</v>
      </c>
      <c r="O47" s="101">
        <v>37</v>
      </c>
      <c r="P47" s="101" t="s">
        <v>182</v>
      </c>
      <c r="Q47" s="20">
        <v>44032.428101851852</v>
      </c>
      <c r="R47" s="101" t="s">
        <v>25</v>
      </c>
      <c r="S47" s="101" t="s">
        <v>17</v>
      </c>
      <c r="T47" s="101">
        <v>0</v>
      </c>
      <c r="U47" s="101" t="s">
        <v>18</v>
      </c>
      <c r="V47" s="101" t="s">
        <v>18</v>
      </c>
      <c r="W47" s="101" t="s">
        <v>18</v>
      </c>
      <c r="X47" s="101" t="s">
        <v>18</v>
      </c>
      <c r="Y47" s="101" t="s">
        <v>18</v>
      </c>
      <c r="Z47" s="101" t="s">
        <v>18</v>
      </c>
      <c r="AA47" s="101" t="s">
        <v>18</v>
      </c>
      <c r="AC47" s="101">
        <v>37</v>
      </c>
      <c r="AD47" s="101" t="s">
        <v>182</v>
      </c>
      <c r="AE47" s="20">
        <v>44032.428101851852</v>
      </c>
      <c r="AF47" s="101" t="s">
        <v>25</v>
      </c>
      <c r="AG47" s="101" t="s">
        <v>17</v>
      </c>
      <c r="AH47" s="101">
        <v>0</v>
      </c>
      <c r="AI47" s="101">
        <v>12.207000000000001</v>
      </c>
      <c r="AJ47" s="12">
        <v>2323</v>
      </c>
      <c r="AK47" s="101">
        <v>0.49099999999999999</v>
      </c>
      <c r="AL47" s="101" t="s">
        <v>18</v>
      </c>
      <c r="AM47" s="101" t="s">
        <v>18</v>
      </c>
      <c r="AN47" s="101" t="s">
        <v>18</v>
      </c>
      <c r="AO47" s="101" t="s">
        <v>18</v>
      </c>
      <c r="AS47" s="7">
        <v>21</v>
      </c>
      <c r="AT47" s="60">
        <f t="shared" si="10"/>
        <v>1.0040692912499996</v>
      </c>
      <c r="AU47" s="61">
        <f t="shared" si="11"/>
        <v>465.17547242866999</v>
      </c>
      <c r="AW47" s="60">
        <f t="shared" si="2"/>
        <v>1.0040692912499996</v>
      </c>
      <c r="AX47" s="61">
        <f t="shared" si="3"/>
        <v>465.17547242866999</v>
      </c>
      <c r="AZ47" s="23">
        <f t="shared" si="4"/>
        <v>0.54467125045000042</v>
      </c>
      <c r="BA47" s="103">
        <f t="shared" si="5"/>
        <v>440.21185569045997</v>
      </c>
      <c r="BC47" s="104">
        <f t="shared" si="6"/>
        <v>0.38537635970000017</v>
      </c>
      <c r="BD47" s="105">
        <f t="shared" si="7"/>
        <v>376.32638568391997</v>
      </c>
    </row>
    <row r="48" spans="1:56" s="101" customFormat="1" ht="14.4" x14ac:dyDescent="0.3">
      <c r="A48" s="101">
        <v>37</v>
      </c>
      <c r="B48" s="101" t="s">
        <v>183</v>
      </c>
      <c r="C48" s="20">
        <v>44036.418425925927</v>
      </c>
      <c r="D48" s="101" t="s">
        <v>25</v>
      </c>
      <c r="E48" s="101" t="s">
        <v>17</v>
      </c>
      <c r="F48" s="101">
        <v>0</v>
      </c>
      <c r="G48" s="101">
        <v>6.0739999999999998</v>
      </c>
      <c r="H48" s="12">
        <v>2193</v>
      </c>
      <c r="I48" s="101">
        <v>1E-3</v>
      </c>
      <c r="J48" s="101" t="s">
        <v>18</v>
      </c>
      <c r="K48" s="101" t="s">
        <v>18</v>
      </c>
      <c r="L48" s="101" t="s">
        <v>18</v>
      </c>
      <c r="M48" s="101" t="s">
        <v>18</v>
      </c>
      <c r="O48" s="101">
        <v>37</v>
      </c>
      <c r="P48" s="101" t="s">
        <v>183</v>
      </c>
      <c r="Q48" s="20">
        <v>44036.418425925927</v>
      </c>
      <c r="R48" s="101" t="s">
        <v>25</v>
      </c>
      <c r="S48" s="101" t="s">
        <v>17</v>
      </c>
      <c r="T48" s="101">
        <v>0</v>
      </c>
      <c r="U48" s="101" t="s">
        <v>18</v>
      </c>
      <c r="V48" s="101" t="s">
        <v>18</v>
      </c>
      <c r="W48" s="101" t="s">
        <v>18</v>
      </c>
      <c r="X48" s="101" t="s">
        <v>18</v>
      </c>
      <c r="Y48" s="101" t="s">
        <v>18</v>
      </c>
      <c r="Z48" s="101" t="s">
        <v>18</v>
      </c>
      <c r="AA48" s="101" t="s">
        <v>18</v>
      </c>
      <c r="AC48" s="101">
        <v>37</v>
      </c>
      <c r="AD48" s="101" t="s">
        <v>183</v>
      </c>
      <c r="AE48" s="20">
        <v>44036.418425925927</v>
      </c>
      <c r="AF48" s="101" t="s">
        <v>25</v>
      </c>
      <c r="AG48" s="101" t="s">
        <v>17</v>
      </c>
      <c r="AH48" s="101">
        <v>0</v>
      </c>
      <c r="AI48" s="101">
        <v>12.214</v>
      </c>
      <c r="AJ48" s="12">
        <v>2461</v>
      </c>
      <c r="AK48" s="101">
        <v>0.51</v>
      </c>
      <c r="AL48" s="101" t="s">
        <v>18</v>
      </c>
      <c r="AM48" s="101" t="s">
        <v>18</v>
      </c>
      <c r="AN48" s="101" t="s">
        <v>18</v>
      </c>
      <c r="AO48" s="101" t="s">
        <v>18</v>
      </c>
      <c r="AS48" s="7">
        <v>22</v>
      </c>
      <c r="AT48" s="60">
        <f t="shared" si="10"/>
        <v>1.6632615412499989</v>
      </c>
      <c r="AU48" s="61">
        <f t="shared" si="11"/>
        <v>490.71923217683002</v>
      </c>
      <c r="AW48" s="60">
        <f t="shared" si="2"/>
        <v>1.6632615412499989</v>
      </c>
      <c r="AX48" s="61">
        <f t="shared" si="3"/>
        <v>490.71923217683002</v>
      </c>
      <c r="AZ48" s="23">
        <f t="shared" si="4"/>
        <v>1.3901430204500009</v>
      </c>
      <c r="BA48" s="103">
        <f t="shared" si="5"/>
        <v>466.58672096854002</v>
      </c>
      <c r="BC48" s="104">
        <f t="shared" si="6"/>
        <v>0.72471957970000012</v>
      </c>
      <c r="BD48" s="105">
        <f t="shared" si="7"/>
        <v>404.83413758408</v>
      </c>
    </row>
    <row r="49" spans="1:56" s="101" customFormat="1" ht="14.4" x14ac:dyDescent="0.3">
      <c r="A49" s="101">
        <v>37</v>
      </c>
      <c r="B49" s="101" t="s">
        <v>184</v>
      </c>
      <c r="C49" s="20">
        <v>44040.484027777777</v>
      </c>
      <c r="D49" s="101" t="s">
        <v>25</v>
      </c>
      <c r="E49" s="101" t="s">
        <v>17</v>
      </c>
      <c r="F49" s="101">
        <v>0</v>
      </c>
      <c r="G49" s="101">
        <v>6.0620000000000003</v>
      </c>
      <c r="H49" s="12">
        <v>2405</v>
      </c>
      <c r="I49" s="101">
        <v>2E-3</v>
      </c>
      <c r="J49" s="101" t="s">
        <v>18</v>
      </c>
      <c r="K49" s="101" t="s">
        <v>18</v>
      </c>
      <c r="L49" s="101" t="s">
        <v>18</v>
      </c>
      <c r="M49" s="101" t="s">
        <v>18</v>
      </c>
      <c r="O49" s="101">
        <v>37</v>
      </c>
      <c r="P49" s="101" t="s">
        <v>184</v>
      </c>
      <c r="Q49" s="20">
        <v>44040.484027777777</v>
      </c>
      <c r="R49" s="101" t="s">
        <v>25</v>
      </c>
      <c r="S49" s="101" t="s">
        <v>17</v>
      </c>
      <c r="T49" s="101">
        <v>0</v>
      </c>
      <c r="U49" s="101" t="s">
        <v>18</v>
      </c>
      <c r="V49" s="101" t="s">
        <v>18</v>
      </c>
      <c r="W49" s="101" t="s">
        <v>18</v>
      </c>
      <c r="X49" s="101" t="s">
        <v>18</v>
      </c>
      <c r="Y49" s="101" t="s">
        <v>18</v>
      </c>
      <c r="Z49" s="101" t="s">
        <v>18</v>
      </c>
      <c r="AA49" s="101" t="s">
        <v>18</v>
      </c>
      <c r="AC49" s="101">
        <v>37</v>
      </c>
      <c r="AD49" s="101" t="s">
        <v>184</v>
      </c>
      <c r="AE49" s="20">
        <v>44040.484027777777</v>
      </c>
      <c r="AF49" s="101" t="s">
        <v>25</v>
      </c>
      <c r="AG49" s="101" t="s">
        <v>17</v>
      </c>
      <c r="AH49" s="101">
        <v>0</v>
      </c>
      <c r="AI49" s="101">
        <v>12.199</v>
      </c>
      <c r="AJ49" s="12">
        <v>2091</v>
      </c>
      <c r="AK49" s="101">
        <v>0.46</v>
      </c>
      <c r="AL49" s="101" t="s">
        <v>18</v>
      </c>
      <c r="AM49" s="101" t="s">
        <v>18</v>
      </c>
      <c r="AN49" s="101" t="s">
        <v>18</v>
      </c>
      <c r="AO49" s="101" t="s">
        <v>18</v>
      </c>
      <c r="AS49" s="7">
        <v>23</v>
      </c>
      <c r="AT49" s="60">
        <f t="shared" si="10"/>
        <v>2.2574355312499987</v>
      </c>
      <c r="AU49" s="61">
        <f t="shared" si="11"/>
        <v>422.22695192162996</v>
      </c>
      <c r="AW49" s="60">
        <f t="shared" si="2"/>
        <v>2.2574355312499987</v>
      </c>
      <c r="AX49" s="61">
        <f t="shared" si="3"/>
        <v>422.22695192162996</v>
      </c>
      <c r="AZ49" s="23">
        <f t="shared" si="4"/>
        <v>2.1441307512499996</v>
      </c>
      <c r="BA49" s="103">
        <f t="shared" si="5"/>
        <v>395.87010671094004</v>
      </c>
      <c r="BC49" s="104">
        <f t="shared" si="6"/>
        <v>1.0433533325</v>
      </c>
      <c r="BD49" s="105">
        <f t="shared" si="7"/>
        <v>328.39811938887999</v>
      </c>
    </row>
    <row r="50" spans="1:56" s="101" customFormat="1" ht="14.4" x14ac:dyDescent="0.3">
      <c r="A50" s="101">
        <v>37</v>
      </c>
      <c r="B50" s="101" t="s">
        <v>185</v>
      </c>
      <c r="C50" s="20">
        <v>44042.393506944441</v>
      </c>
      <c r="D50" s="101" t="s">
        <v>25</v>
      </c>
      <c r="E50" s="101" t="s">
        <v>17</v>
      </c>
      <c r="F50" s="101">
        <v>0</v>
      </c>
      <c r="G50" s="101">
        <v>6.0670000000000002</v>
      </c>
      <c r="H50" s="12">
        <v>2464</v>
      </c>
      <c r="I50" s="101">
        <v>2E-3</v>
      </c>
      <c r="J50" s="101" t="s">
        <v>18</v>
      </c>
      <c r="K50" s="101" t="s">
        <v>18</v>
      </c>
      <c r="L50" s="101" t="s">
        <v>18</v>
      </c>
      <c r="M50" s="101" t="s">
        <v>18</v>
      </c>
      <c r="O50" s="101">
        <v>37</v>
      </c>
      <c r="P50" s="101" t="s">
        <v>185</v>
      </c>
      <c r="Q50" s="20">
        <v>44042.393506944441</v>
      </c>
      <c r="R50" s="101" t="s">
        <v>25</v>
      </c>
      <c r="S50" s="101" t="s">
        <v>17</v>
      </c>
      <c r="T50" s="101">
        <v>0</v>
      </c>
      <c r="U50" s="101" t="s">
        <v>18</v>
      </c>
      <c r="V50" s="101" t="s">
        <v>18</v>
      </c>
      <c r="W50" s="101" t="s">
        <v>18</v>
      </c>
      <c r="X50" s="101" t="s">
        <v>18</v>
      </c>
      <c r="Y50" s="101" t="s">
        <v>18</v>
      </c>
      <c r="Z50" s="101" t="s">
        <v>18</v>
      </c>
      <c r="AA50" s="101" t="s">
        <v>18</v>
      </c>
      <c r="AC50" s="101">
        <v>37</v>
      </c>
      <c r="AD50" s="101" t="s">
        <v>185</v>
      </c>
      <c r="AE50" s="20">
        <v>44042.393506944441</v>
      </c>
      <c r="AF50" s="101" t="s">
        <v>25</v>
      </c>
      <c r="AG50" s="101" t="s">
        <v>17</v>
      </c>
      <c r="AH50" s="101">
        <v>0</v>
      </c>
      <c r="AI50" s="101">
        <v>12.207000000000001</v>
      </c>
      <c r="AJ50" s="12">
        <v>1994</v>
      </c>
      <c r="AK50" s="101">
        <v>0.44600000000000001</v>
      </c>
      <c r="AL50" s="101" t="s">
        <v>18</v>
      </c>
      <c r="AM50" s="101" t="s">
        <v>18</v>
      </c>
      <c r="AN50" s="101" t="s">
        <v>18</v>
      </c>
      <c r="AO50" s="101" t="s">
        <v>18</v>
      </c>
      <c r="AS50" s="7">
        <v>24</v>
      </c>
      <c r="AT50" s="60">
        <f t="shared" si="10"/>
        <v>2.4231350399999991</v>
      </c>
      <c r="AU50" s="61">
        <f t="shared" si="11"/>
        <v>404.26802422028004</v>
      </c>
      <c r="AW50" s="60">
        <f t="shared" si="2"/>
        <v>2.4231350399999991</v>
      </c>
      <c r="AX50" s="61">
        <f t="shared" si="3"/>
        <v>404.26802422028004</v>
      </c>
      <c r="AZ50" s="23">
        <f t="shared" si="4"/>
        <v>2.3530403967999991</v>
      </c>
      <c r="BA50" s="103">
        <f t="shared" si="5"/>
        <v>377.33014965464002</v>
      </c>
      <c r="BC50" s="104">
        <f t="shared" si="6"/>
        <v>1.1343529087999997</v>
      </c>
      <c r="BD50" s="105">
        <f t="shared" si="7"/>
        <v>308.35833156127995</v>
      </c>
    </row>
    <row r="51" spans="1:56" s="101" customFormat="1" ht="14.4" x14ac:dyDescent="0.3">
      <c r="A51" s="101">
        <v>37</v>
      </c>
      <c r="B51" s="101" t="s">
        <v>186</v>
      </c>
      <c r="C51" s="20">
        <v>44043.416458333333</v>
      </c>
      <c r="D51" s="101" t="s">
        <v>25</v>
      </c>
      <c r="E51" s="101" t="s">
        <v>17</v>
      </c>
      <c r="F51" s="101">
        <v>0</v>
      </c>
      <c r="G51" s="101">
        <v>6.0789999999999997</v>
      </c>
      <c r="H51" s="12">
        <v>2178</v>
      </c>
      <c r="I51" s="101">
        <v>1E-3</v>
      </c>
      <c r="J51" s="101" t="s">
        <v>18</v>
      </c>
      <c r="K51" s="101" t="s">
        <v>18</v>
      </c>
      <c r="L51" s="101" t="s">
        <v>18</v>
      </c>
      <c r="M51" s="101" t="s">
        <v>18</v>
      </c>
      <c r="O51" s="101">
        <v>37</v>
      </c>
      <c r="P51" s="101" t="s">
        <v>186</v>
      </c>
      <c r="Q51" s="20">
        <v>44043.416458333333</v>
      </c>
      <c r="R51" s="101" t="s">
        <v>25</v>
      </c>
      <c r="S51" s="101" t="s">
        <v>17</v>
      </c>
      <c r="T51" s="101">
        <v>0</v>
      </c>
      <c r="U51" s="101" t="s">
        <v>18</v>
      </c>
      <c r="V51" s="101" t="s">
        <v>18</v>
      </c>
      <c r="W51" s="101" t="s">
        <v>18</v>
      </c>
      <c r="X51" s="101" t="s">
        <v>18</v>
      </c>
      <c r="Y51" s="101" t="s">
        <v>18</v>
      </c>
      <c r="Z51" s="101" t="s">
        <v>18</v>
      </c>
      <c r="AA51" s="101" t="s">
        <v>18</v>
      </c>
      <c r="AC51" s="101">
        <v>37</v>
      </c>
      <c r="AD51" s="101" t="s">
        <v>186</v>
      </c>
      <c r="AE51" s="20">
        <v>44043.416458333333</v>
      </c>
      <c r="AF51" s="101" t="s">
        <v>25</v>
      </c>
      <c r="AG51" s="101" t="s">
        <v>17</v>
      </c>
      <c r="AH51" s="101">
        <v>0</v>
      </c>
      <c r="AI51" s="101">
        <v>12.194000000000001</v>
      </c>
      <c r="AJ51" s="12">
        <v>1734</v>
      </c>
      <c r="AK51" s="101">
        <v>0.41099999999999998</v>
      </c>
      <c r="AL51" s="101" t="s">
        <v>18</v>
      </c>
      <c r="AM51" s="101" t="s">
        <v>18</v>
      </c>
      <c r="AN51" s="101" t="s">
        <v>18</v>
      </c>
      <c r="AO51" s="101" t="s">
        <v>18</v>
      </c>
      <c r="AS51" s="7">
        <v>25</v>
      </c>
      <c r="AT51" s="60">
        <f t="shared" si="10"/>
        <v>1.6212932849999993</v>
      </c>
      <c r="AU51" s="61">
        <f t="shared" si="11"/>
        <v>356.12486592587999</v>
      </c>
      <c r="AW51" s="60">
        <f t="shared" si="2"/>
        <v>1.6212932849999993</v>
      </c>
      <c r="AX51" s="61">
        <f t="shared" si="3"/>
        <v>356.12486592587999</v>
      </c>
      <c r="AZ51" s="23">
        <f t="shared" si="4"/>
        <v>1.3365975122000009</v>
      </c>
      <c r="BA51" s="103">
        <f t="shared" si="5"/>
        <v>327.63391014743996</v>
      </c>
      <c r="BC51" s="104">
        <f t="shared" si="6"/>
        <v>0.70266948520000017</v>
      </c>
      <c r="BD51" s="105">
        <f t="shared" si="7"/>
        <v>254.64106758688001</v>
      </c>
    </row>
    <row r="52" spans="1:56" ht="14.4" x14ac:dyDescent="0.3">
      <c r="A52" s="62">
        <v>37</v>
      </c>
      <c r="B52" s="62" t="s">
        <v>187</v>
      </c>
      <c r="C52" s="63">
        <v>44047.436724537038</v>
      </c>
      <c r="D52" s="62" t="s">
        <v>25</v>
      </c>
      <c r="E52" s="62" t="s">
        <v>17</v>
      </c>
      <c r="F52" s="62">
        <v>0</v>
      </c>
      <c r="G52" s="62">
        <v>6.0709999999999997</v>
      </c>
      <c r="H52" s="64">
        <v>2284</v>
      </c>
      <c r="I52" s="62">
        <v>2E-3</v>
      </c>
      <c r="J52" s="62" t="s">
        <v>18</v>
      </c>
      <c r="K52" s="62" t="s">
        <v>18</v>
      </c>
      <c r="L52" s="62" t="s">
        <v>18</v>
      </c>
      <c r="M52" s="64" t="s">
        <v>18</v>
      </c>
      <c r="N52" s="64"/>
      <c r="O52" s="64">
        <v>37</v>
      </c>
      <c r="P52" s="62" t="s">
        <v>187</v>
      </c>
      <c r="Q52" s="63">
        <v>44047.436724537038</v>
      </c>
      <c r="R52" s="62" t="s">
        <v>25</v>
      </c>
      <c r="S52" s="62" t="s">
        <v>17</v>
      </c>
      <c r="T52" s="62">
        <v>0</v>
      </c>
      <c r="U52" s="62" t="s">
        <v>18</v>
      </c>
      <c r="V52" s="62" t="s">
        <v>18</v>
      </c>
      <c r="W52" s="62" t="s">
        <v>18</v>
      </c>
      <c r="X52" s="62" t="s">
        <v>18</v>
      </c>
      <c r="Y52" s="62" t="s">
        <v>18</v>
      </c>
      <c r="Z52" s="62" t="s">
        <v>18</v>
      </c>
      <c r="AA52" s="62" t="s">
        <v>18</v>
      </c>
      <c r="AB52" s="62"/>
      <c r="AC52" s="62">
        <v>37</v>
      </c>
      <c r="AD52" s="62" t="s">
        <v>187</v>
      </c>
      <c r="AE52" s="63">
        <v>44047.436724537038</v>
      </c>
      <c r="AF52" s="62" t="s">
        <v>25</v>
      </c>
      <c r="AG52" s="62" t="s">
        <v>17</v>
      </c>
      <c r="AH52" s="62">
        <v>0</v>
      </c>
      <c r="AI52" s="62">
        <v>12.206</v>
      </c>
      <c r="AJ52" s="64">
        <v>1893</v>
      </c>
      <c r="AK52" s="62">
        <v>0.433</v>
      </c>
      <c r="AL52" s="62" t="s">
        <v>18</v>
      </c>
      <c r="AM52" s="62" t="s">
        <v>18</v>
      </c>
      <c r="AN52" s="62" t="s">
        <v>18</v>
      </c>
      <c r="AO52" s="62" t="s">
        <v>18</v>
      </c>
      <c r="AR52" s="56"/>
      <c r="AS52" s="7">
        <v>26</v>
      </c>
      <c r="AT52" s="60">
        <f t="shared" si="10"/>
        <v>1.9180739399999993</v>
      </c>
      <c r="AU52" s="61">
        <f t="shared" si="11"/>
        <v>385.56726690626999</v>
      </c>
      <c r="AW52" s="60">
        <f t="shared" si="2"/>
        <v>1.9180739399999993</v>
      </c>
      <c r="AX52" s="61">
        <f t="shared" si="3"/>
        <v>385.56726690626999</v>
      </c>
      <c r="AZ52" s="23">
        <f t="shared" si="4"/>
        <v>1.7144267847999988</v>
      </c>
      <c r="BA52" s="103">
        <f t="shared" si="5"/>
        <v>358.02533311925998</v>
      </c>
      <c r="BC52" s="104">
        <f t="shared" si="6"/>
        <v>0.85989171680000021</v>
      </c>
      <c r="BD52" s="105">
        <f t="shared" si="7"/>
        <v>287.49165038152</v>
      </c>
    </row>
    <row r="53" spans="1:56" s="101" customFormat="1" ht="14.4" x14ac:dyDescent="0.3">
      <c r="A53" s="101">
        <v>37</v>
      </c>
      <c r="B53" s="101" t="s">
        <v>188</v>
      </c>
      <c r="C53" s="20">
        <v>44050.415752314817</v>
      </c>
      <c r="D53" s="101" t="s">
        <v>25</v>
      </c>
      <c r="E53" s="101" t="s">
        <v>17</v>
      </c>
      <c r="F53" s="101">
        <v>0</v>
      </c>
      <c r="G53" s="101">
        <v>6.077</v>
      </c>
      <c r="H53" s="12">
        <v>2348</v>
      </c>
      <c r="I53" s="101">
        <v>2E-3</v>
      </c>
      <c r="J53" s="101" t="s">
        <v>18</v>
      </c>
      <c r="K53" s="101" t="s">
        <v>18</v>
      </c>
      <c r="L53" s="101" t="s">
        <v>18</v>
      </c>
      <c r="M53" s="101" t="s">
        <v>18</v>
      </c>
      <c r="O53" s="101">
        <v>37</v>
      </c>
      <c r="P53" s="101" t="s">
        <v>188</v>
      </c>
      <c r="Q53" s="20">
        <v>44050.415752314817</v>
      </c>
      <c r="R53" s="101" t="s">
        <v>25</v>
      </c>
      <c r="S53" s="101" t="s">
        <v>17</v>
      </c>
      <c r="T53" s="101">
        <v>0</v>
      </c>
      <c r="U53" s="101" t="s">
        <v>18</v>
      </c>
      <c r="V53" s="101" t="s">
        <v>18</v>
      </c>
      <c r="W53" s="101" t="s">
        <v>18</v>
      </c>
      <c r="X53" s="101" t="s">
        <v>18</v>
      </c>
      <c r="Y53" s="101" t="s">
        <v>18</v>
      </c>
      <c r="Z53" s="101" t="s">
        <v>18</v>
      </c>
      <c r="AA53" s="101" t="s">
        <v>18</v>
      </c>
      <c r="AC53" s="101">
        <v>37</v>
      </c>
      <c r="AD53" s="101" t="s">
        <v>188</v>
      </c>
      <c r="AE53" s="20">
        <v>44050.415752314817</v>
      </c>
      <c r="AF53" s="101" t="s">
        <v>25</v>
      </c>
      <c r="AG53" s="101" t="s">
        <v>17</v>
      </c>
      <c r="AH53" s="101">
        <v>0</v>
      </c>
      <c r="AI53" s="101">
        <v>12.192</v>
      </c>
      <c r="AJ53" s="12">
        <v>2033</v>
      </c>
      <c r="AK53" s="101">
        <v>0.45200000000000001</v>
      </c>
      <c r="AL53" s="101" t="s">
        <v>18</v>
      </c>
      <c r="AM53" s="101" t="s">
        <v>18</v>
      </c>
      <c r="AN53" s="101" t="s">
        <v>18</v>
      </c>
      <c r="AO53" s="101" t="s">
        <v>18</v>
      </c>
      <c r="AS53" s="7">
        <v>27</v>
      </c>
      <c r="AT53" s="60">
        <f t="shared" si="10"/>
        <v>2.097493459999999</v>
      </c>
      <c r="AU53" s="61">
        <f t="shared" si="11"/>
        <v>411.48876600347</v>
      </c>
      <c r="AW53" s="60">
        <f t="shared" si="2"/>
        <v>2.097493459999999</v>
      </c>
      <c r="AX53" s="61">
        <f t="shared" si="3"/>
        <v>411.48876600347</v>
      </c>
      <c r="AZ53" s="23">
        <f t="shared" si="4"/>
        <v>1.9419196232000004</v>
      </c>
      <c r="BA53" s="103">
        <f t="shared" si="5"/>
        <v>384.78439597286001</v>
      </c>
      <c r="BC53" s="104">
        <f t="shared" si="6"/>
        <v>0.95639921120000015</v>
      </c>
      <c r="BD53" s="105">
        <f t="shared" si="7"/>
        <v>316.41562356871998</v>
      </c>
    </row>
    <row r="54" spans="1:56" s="101" customFormat="1" ht="14.4" x14ac:dyDescent="0.3">
      <c r="A54" s="101">
        <v>37</v>
      </c>
      <c r="B54" s="101" t="s">
        <v>189</v>
      </c>
      <c r="C54" s="20">
        <v>44053.412754629629</v>
      </c>
      <c r="D54" s="101" t="s">
        <v>25</v>
      </c>
      <c r="E54" s="101" t="s">
        <v>17</v>
      </c>
      <c r="F54" s="101">
        <v>0</v>
      </c>
      <c r="G54" s="101">
        <v>6.0750000000000002</v>
      </c>
      <c r="H54" s="12">
        <v>2509</v>
      </c>
      <c r="I54" s="101">
        <v>2E-3</v>
      </c>
      <c r="J54" s="101" t="s">
        <v>18</v>
      </c>
      <c r="K54" s="101" t="s">
        <v>18</v>
      </c>
      <c r="L54" s="101" t="s">
        <v>18</v>
      </c>
      <c r="M54" s="101" t="s">
        <v>18</v>
      </c>
      <c r="O54" s="101">
        <v>37</v>
      </c>
      <c r="P54" s="101" t="s">
        <v>189</v>
      </c>
      <c r="Q54" s="20">
        <v>44053.412754629629</v>
      </c>
      <c r="R54" s="101" t="s">
        <v>25</v>
      </c>
      <c r="S54" s="101" t="s">
        <v>17</v>
      </c>
      <c r="T54" s="101">
        <v>0</v>
      </c>
      <c r="U54" s="101" t="s">
        <v>18</v>
      </c>
      <c r="V54" s="101" t="s">
        <v>18</v>
      </c>
      <c r="W54" s="101" t="s">
        <v>18</v>
      </c>
      <c r="X54" s="101" t="s">
        <v>18</v>
      </c>
      <c r="Y54" s="101" t="s">
        <v>18</v>
      </c>
      <c r="Z54" s="101" t="s">
        <v>18</v>
      </c>
      <c r="AA54" s="101" t="s">
        <v>18</v>
      </c>
      <c r="AC54" s="101">
        <v>37</v>
      </c>
      <c r="AD54" s="101" t="s">
        <v>189</v>
      </c>
      <c r="AE54" s="20">
        <v>44053.412754629629</v>
      </c>
      <c r="AF54" s="101" t="s">
        <v>25</v>
      </c>
      <c r="AG54" s="101" t="s">
        <v>17</v>
      </c>
      <c r="AH54" s="101">
        <v>0</v>
      </c>
      <c r="AI54" s="101">
        <v>12.21</v>
      </c>
      <c r="AJ54" s="12">
        <v>2960</v>
      </c>
      <c r="AK54" s="101">
        <v>0.57799999999999996</v>
      </c>
      <c r="AL54" s="101" t="s">
        <v>18</v>
      </c>
      <c r="AM54" s="101" t="s">
        <v>18</v>
      </c>
      <c r="AN54" s="101" t="s">
        <v>18</v>
      </c>
      <c r="AO54" s="101" t="s">
        <v>18</v>
      </c>
      <c r="AS54" s="7">
        <v>28</v>
      </c>
      <c r="AT54" s="60">
        <f t="shared" si="10"/>
        <v>2.5496154712499992</v>
      </c>
      <c r="AU54" s="61">
        <f t="shared" si="11"/>
        <v>583.06403436800008</v>
      </c>
      <c r="AW54" s="60">
        <f t="shared" ref="AW54:AW85" si="12">IF(H54&lt;15000,((0.00000002125*H54^2)+(0.002705*H54)+(-4.371)),(IF(H54&lt;700000,((-0.0000000008162*H54^2)+(0.003141*H54)+(0.4702)), ((0.000000003285*V54^2)+(0.1899*V54)+(559.5)))))</f>
        <v>2.5496154712499992</v>
      </c>
      <c r="AX54" s="61">
        <f t="shared" ref="AX54:AX85" si="13">((-0.00000006277*AJ54^2)+(0.1854*AJ54)+(34.83))</f>
        <v>583.06403436800008</v>
      </c>
      <c r="AZ54" s="23">
        <f t="shared" ref="AZ54:AZ85" si="14">IF(H54&lt;10000,((-0.00000005795*H54^2)+(0.003823*H54)+(-6.715)),(IF(H54&lt;700000,((-0.0000000001209*H54^2)+(0.002635*H54)+(-0.4111)), ((-0.00000002007*V54^2)+(0.2564*V54)+(286.1)))))</f>
        <v>2.5121070560500005</v>
      </c>
      <c r="BA54" s="103">
        <f t="shared" ref="BA54:BA85" si="15">(-0.00000001626*AJ54^2)+(0.1912*AJ54)+(-3.858)</f>
        <v>561.95153638400006</v>
      </c>
      <c r="BC54" s="104">
        <f t="shared" ref="BC54:BC85" si="16">IF(H54&lt;10000,((0.0000001453*H54^2)+(0.0008349*H54)+(-1.805)),(IF(H54&lt;700000,((-0.00000000008054*H54^2)+(0.002348*H54)+(-2.47)), ((-0.00000001938*V54^2)+(0.2471*V54)+(226.8)))))</f>
        <v>1.2044393693</v>
      </c>
      <c r="BD54" s="105">
        <f t="shared" ref="BD54:BD85" si="17">(-0.00000002552*AJ54^2)+(0.2067*AJ54)+(-103.7)</f>
        <v>507.90840396799996</v>
      </c>
    </row>
    <row r="55" spans="1:56" s="101" customFormat="1" ht="14.4" x14ac:dyDescent="0.3">
      <c r="A55" s="101">
        <v>37</v>
      </c>
      <c r="B55" s="101" t="s">
        <v>190</v>
      </c>
      <c r="C55" s="20">
        <v>44054.460138888891</v>
      </c>
      <c r="D55" s="101" t="s">
        <v>25</v>
      </c>
      <c r="E55" s="101" t="s">
        <v>17</v>
      </c>
      <c r="F55" s="101">
        <v>0</v>
      </c>
      <c r="G55" s="101">
        <v>6.0819999999999999</v>
      </c>
      <c r="H55" s="12">
        <v>2218</v>
      </c>
      <c r="I55" s="101">
        <v>1E-3</v>
      </c>
      <c r="J55" s="101" t="s">
        <v>18</v>
      </c>
      <c r="K55" s="101" t="s">
        <v>18</v>
      </c>
      <c r="L55" s="101" t="s">
        <v>18</v>
      </c>
      <c r="M55" s="101" t="s">
        <v>18</v>
      </c>
      <c r="O55" s="101">
        <v>37</v>
      </c>
      <c r="P55" s="101" t="s">
        <v>190</v>
      </c>
      <c r="Q55" s="20">
        <v>44054.460138888891</v>
      </c>
      <c r="R55" s="101" t="s">
        <v>25</v>
      </c>
      <c r="S55" s="101" t="s">
        <v>17</v>
      </c>
      <c r="T55" s="101">
        <v>0</v>
      </c>
      <c r="U55" s="101" t="s">
        <v>18</v>
      </c>
      <c r="V55" s="101" t="s">
        <v>18</v>
      </c>
      <c r="W55" s="101" t="s">
        <v>18</v>
      </c>
      <c r="X55" s="101" t="s">
        <v>18</v>
      </c>
      <c r="Y55" s="101" t="s">
        <v>18</v>
      </c>
      <c r="Z55" s="101" t="s">
        <v>18</v>
      </c>
      <c r="AA55" s="101" t="s">
        <v>18</v>
      </c>
      <c r="AC55" s="101">
        <v>37</v>
      </c>
      <c r="AD55" s="101" t="s">
        <v>190</v>
      </c>
      <c r="AE55" s="20">
        <v>44054.460138888891</v>
      </c>
      <c r="AF55" s="101" t="s">
        <v>25</v>
      </c>
      <c r="AG55" s="101" t="s">
        <v>17</v>
      </c>
      <c r="AH55" s="101">
        <v>0</v>
      </c>
      <c r="AI55" s="101">
        <v>12.208</v>
      </c>
      <c r="AJ55" s="12">
        <v>1438</v>
      </c>
      <c r="AK55" s="101">
        <v>0.371</v>
      </c>
      <c r="AL55" s="101" t="s">
        <v>18</v>
      </c>
      <c r="AM55" s="101" t="s">
        <v>18</v>
      </c>
      <c r="AN55" s="101" t="s">
        <v>18</v>
      </c>
      <c r="AO55" s="101" t="s">
        <v>18</v>
      </c>
      <c r="AQ55" s="56">
        <v>1</v>
      </c>
      <c r="AS55" s="7">
        <v>29</v>
      </c>
      <c r="AT55" s="60">
        <f t="shared" si="10"/>
        <v>1.7332298850000001</v>
      </c>
      <c r="AU55" s="61">
        <f t="shared" si="11"/>
        <v>301.30540143211999</v>
      </c>
      <c r="AW55" s="60">
        <f t="shared" si="12"/>
        <v>1.7332298850000001</v>
      </c>
      <c r="AX55" s="61">
        <f t="shared" si="13"/>
        <v>301.30540143211999</v>
      </c>
      <c r="AZ55" s="23">
        <f t="shared" si="14"/>
        <v>1.4793275842</v>
      </c>
      <c r="BA55" s="103">
        <f t="shared" si="15"/>
        <v>271.05397685655998</v>
      </c>
      <c r="BC55" s="104">
        <f t="shared" si="16"/>
        <v>0.76161503720000012</v>
      </c>
      <c r="BD55" s="105">
        <f t="shared" si="17"/>
        <v>193.48182862112003</v>
      </c>
    </row>
    <row r="56" spans="1:56" s="101" customFormat="1" ht="14.4" x14ac:dyDescent="0.3">
      <c r="A56" s="101">
        <v>37</v>
      </c>
      <c r="B56" s="101" t="s">
        <v>191</v>
      </c>
      <c r="C56" s="20">
        <v>44061.413425925923</v>
      </c>
      <c r="D56" s="101" t="s">
        <v>25</v>
      </c>
      <c r="E56" s="101" t="s">
        <v>17</v>
      </c>
      <c r="F56" s="101">
        <v>0</v>
      </c>
      <c r="G56" s="101">
        <v>6.0739999999999998</v>
      </c>
      <c r="H56" s="12">
        <v>2437</v>
      </c>
      <c r="I56" s="101">
        <v>2E-3</v>
      </c>
      <c r="J56" s="101" t="s">
        <v>18</v>
      </c>
      <c r="K56" s="101" t="s">
        <v>18</v>
      </c>
      <c r="L56" s="101" t="s">
        <v>18</v>
      </c>
      <c r="M56" s="101" t="s">
        <v>18</v>
      </c>
      <c r="O56" s="101">
        <v>37</v>
      </c>
      <c r="P56" s="101" t="s">
        <v>191</v>
      </c>
      <c r="Q56" s="20">
        <v>44061.413425925923</v>
      </c>
      <c r="R56" s="101" t="s">
        <v>25</v>
      </c>
      <c r="S56" s="101" t="s">
        <v>17</v>
      </c>
      <c r="T56" s="101">
        <v>0</v>
      </c>
      <c r="U56" s="101" t="s">
        <v>18</v>
      </c>
      <c r="V56" s="101" t="s">
        <v>18</v>
      </c>
      <c r="W56" s="101" t="s">
        <v>18</v>
      </c>
      <c r="X56" s="101" t="s">
        <v>18</v>
      </c>
      <c r="Y56" s="101" t="s">
        <v>18</v>
      </c>
      <c r="Z56" s="101" t="s">
        <v>18</v>
      </c>
      <c r="AA56" s="101" t="s">
        <v>18</v>
      </c>
      <c r="AC56" s="101">
        <v>37</v>
      </c>
      <c r="AD56" s="101" t="s">
        <v>191</v>
      </c>
      <c r="AE56" s="20">
        <v>44061.413425925923</v>
      </c>
      <c r="AF56" s="101" t="s">
        <v>25</v>
      </c>
      <c r="AG56" s="101" t="s">
        <v>17</v>
      </c>
      <c r="AH56" s="101">
        <v>0</v>
      </c>
      <c r="AI56" s="101">
        <v>12.215</v>
      </c>
      <c r="AJ56" s="12">
        <v>2143</v>
      </c>
      <c r="AK56" s="101">
        <v>0.46700000000000003</v>
      </c>
      <c r="AL56" s="101" t="s">
        <v>18</v>
      </c>
      <c r="AM56" s="101" t="s">
        <v>18</v>
      </c>
      <c r="AN56" s="101" t="s">
        <v>18</v>
      </c>
      <c r="AO56" s="101" t="s">
        <v>18</v>
      </c>
      <c r="AQ56" s="56">
        <v>1</v>
      </c>
      <c r="AS56" s="7">
        <v>30</v>
      </c>
      <c r="AT56" s="60">
        <f t="shared" si="10"/>
        <v>2.3472880912499994</v>
      </c>
      <c r="AU56" s="61">
        <f t="shared" si="11"/>
        <v>431.85393197627002</v>
      </c>
      <c r="AW56" s="60">
        <f t="shared" si="12"/>
        <v>2.3472880912499994</v>
      </c>
      <c r="AX56" s="61">
        <f t="shared" si="13"/>
        <v>431.85393197627002</v>
      </c>
      <c r="AZ56" s="23">
        <f t="shared" si="14"/>
        <v>2.2574877464499998</v>
      </c>
      <c r="BA56" s="103">
        <f t="shared" si="15"/>
        <v>405.80892677925999</v>
      </c>
      <c r="BC56" s="104">
        <f t="shared" si="16"/>
        <v>1.0925834956999998</v>
      </c>
      <c r="BD56" s="105">
        <f t="shared" si="17"/>
        <v>339.14090070152002</v>
      </c>
    </row>
    <row r="57" spans="1:56" s="101" customFormat="1" ht="14.4" x14ac:dyDescent="0.3">
      <c r="A57" s="101">
        <v>37</v>
      </c>
      <c r="B57" s="101" t="s">
        <v>192</v>
      </c>
      <c r="C57" s="20">
        <v>44064.492615740739</v>
      </c>
      <c r="D57" s="101" t="s">
        <v>25</v>
      </c>
      <c r="E57" s="101" t="s">
        <v>17</v>
      </c>
      <c r="F57" s="101">
        <v>0</v>
      </c>
      <c r="G57" s="101">
        <v>6.07</v>
      </c>
      <c r="H57" s="12">
        <v>2583</v>
      </c>
      <c r="I57" s="101">
        <v>2E-3</v>
      </c>
      <c r="J57" s="101" t="s">
        <v>18</v>
      </c>
      <c r="K57" s="101" t="s">
        <v>18</v>
      </c>
      <c r="L57" s="101" t="s">
        <v>18</v>
      </c>
      <c r="M57" s="101" t="s">
        <v>18</v>
      </c>
      <c r="O57" s="101">
        <v>37</v>
      </c>
      <c r="P57" s="101" t="s">
        <v>192</v>
      </c>
      <c r="Q57" s="20">
        <v>44064.492615740739</v>
      </c>
      <c r="R57" s="101" t="s">
        <v>25</v>
      </c>
      <c r="S57" s="101" t="s">
        <v>17</v>
      </c>
      <c r="T57" s="101">
        <v>0</v>
      </c>
      <c r="U57" s="101" t="s">
        <v>18</v>
      </c>
      <c r="V57" s="101" t="s">
        <v>18</v>
      </c>
      <c r="W57" s="101" t="s">
        <v>18</v>
      </c>
      <c r="X57" s="101" t="s">
        <v>18</v>
      </c>
      <c r="Y57" s="101" t="s">
        <v>18</v>
      </c>
      <c r="Z57" s="101" t="s">
        <v>18</v>
      </c>
      <c r="AA57" s="101" t="s">
        <v>18</v>
      </c>
      <c r="AC57" s="101">
        <v>37</v>
      </c>
      <c r="AD57" s="101" t="s">
        <v>192</v>
      </c>
      <c r="AE57" s="20">
        <v>44064.492615740739</v>
      </c>
      <c r="AF57" s="101" t="s">
        <v>25</v>
      </c>
      <c r="AG57" s="101" t="s">
        <v>17</v>
      </c>
      <c r="AH57" s="101">
        <v>0</v>
      </c>
      <c r="AI57" s="101">
        <v>12.212</v>
      </c>
      <c r="AJ57" s="12">
        <v>2063</v>
      </c>
      <c r="AK57" s="101">
        <v>0.45600000000000002</v>
      </c>
      <c r="AL57" s="101" t="s">
        <v>18</v>
      </c>
      <c r="AM57" s="101" t="s">
        <v>18</v>
      </c>
      <c r="AN57" s="101" t="s">
        <v>18</v>
      </c>
      <c r="AO57" s="101" t="s">
        <v>18</v>
      </c>
      <c r="AQ57" s="56">
        <v>1</v>
      </c>
      <c r="AS57" s="7">
        <v>31</v>
      </c>
      <c r="AT57" s="60">
        <f t="shared" si="10"/>
        <v>2.7577926412499991</v>
      </c>
      <c r="AU57" s="61">
        <f t="shared" si="11"/>
        <v>417.04305282587001</v>
      </c>
      <c r="AW57" s="60">
        <f t="shared" si="12"/>
        <v>2.7577926412499991</v>
      </c>
      <c r="AX57" s="61">
        <f t="shared" si="13"/>
        <v>417.04305282587001</v>
      </c>
      <c r="AZ57" s="23">
        <f t="shared" si="14"/>
        <v>2.7731730324500017</v>
      </c>
      <c r="BA57" s="103">
        <f t="shared" si="15"/>
        <v>390.51839794405998</v>
      </c>
      <c r="BC57" s="104">
        <f t="shared" si="16"/>
        <v>1.3209721717</v>
      </c>
      <c r="BD57" s="105">
        <f t="shared" si="17"/>
        <v>322.61348767112003</v>
      </c>
    </row>
    <row r="58" spans="1:56" s="101" customFormat="1" ht="14.4" x14ac:dyDescent="0.3">
      <c r="A58" s="101">
        <v>37</v>
      </c>
      <c r="B58" s="101" t="s">
        <v>193</v>
      </c>
      <c r="C58" s="20">
        <v>44068.399525462963</v>
      </c>
      <c r="D58" s="101" t="s">
        <v>25</v>
      </c>
      <c r="E58" s="101" t="s">
        <v>17</v>
      </c>
      <c r="F58" s="101">
        <v>0</v>
      </c>
      <c r="G58" s="101">
        <v>6.0640000000000001</v>
      </c>
      <c r="H58" s="12">
        <v>2648</v>
      </c>
      <c r="I58" s="101">
        <v>2E-3</v>
      </c>
      <c r="J58" s="101" t="s">
        <v>18</v>
      </c>
      <c r="K58" s="101" t="s">
        <v>18</v>
      </c>
      <c r="L58" s="101" t="s">
        <v>18</v>
      </c>
      <c r="M58" s="101" t="s">
        <v>18</v>
      </c>
      <c r="O58" s="101">
        <v>37</v>
      </c>
      <c r="P58" s="101" t="s">
        <v>193</v>
      </c>
      <c r="Q58" s="20">
        <v>44068.399525462963</v>
      </c>
      <c r="R58" s="101" t="s">
        <v>25</v>
      </c>
      <c r="S58" s="101" t="s">
        <v>17</v>
      </c>
      <c r="T58" s="101">
        <v>0</v>
      </c>
      <c r="U58" s="101" t="s">
        <v>18</v>
      </c>
      <c r="V58" s="12" t="s">
        <v>18</v>
      </c>
      <c r="W58" s="101" t="s">
        <v>18</v>
      </c>
      <c r="X58" s="101" t="s">
        <v>18</v>
      </c>
      <c r="Y58" s="101" t="s">
        <v>18</v>
      </c>
      <c r="Z58" s="101" t="s">
        <v>18</v>
      </c>
      <c r="AA58" s="101" t="s">
        <v>18</v>
      </c>
      <c r="AC58" s="101">
        <v>37</v>
      </c>
      <c r="AD58" s="101" t="s">
        <v>193</v>
      </c>
      <c r="AE58" s="20">
        <v>44068.399525462963</v>
      </c>
      <c r="AF58" s="101" t="s">
        <v>25</v>
      </c>
      <c r="AG58" s="101" t="s">
        <v>17</v>
      </c>
      <c r="AH58" s="101">
        <v>0</v>
      </c>
      <c r="AI58" s="101">
        <v>12.207000000000001</v>
      </c>
      <c r="AJ58" s="12">
        <v>2390</v>
      </c>
      <c r="AK58" s="101">
        <v>0.5</v>
      </c>
      <c r="AL58" s="101" t="s">
        <v>18</v>
      </c>
      <c r="AM58" s="101" t="s">
        <v>18</v>
      </c>
      <c r="AN58" s="101" t="s">
        <v>18</v>
      </c>
      <c r="AO58" s="101" t="s">
        <v>18</v>
      </c>
      <c r="AQ58" s="56">
        <v>1</v>
      </c>
      <c r="AS58" s="7">
        <v>32</v>
      </c>
      <c r="AT58" s="60">
        <v>2.9408429599999995</v>
      </c>
      <c r="AU58" s="61">
        <v>477.577451483</v>
      </c>
      <c r="AW58" s="60">
        <f t="shared" si="12"/>
        <v>2.9408429599999995</v>
      </c>
      <c r="AX58" s="61">
        <f t="shared" si="13"/>
        <v>477.577451483</v>
      </c>
      <c r="AZ58" s="23">
        <f t="shared" si="14"/>
        <v>3.0019641631999985</v>
      </c>
      <c r="BA58" s="103">
        <f t="shared" si="15"/>
        <v>453.01712125400002</v>
      </c>
      <c r="BC58" s="104">
        <f t="shared" si="16"/>
        <v>1.4246448511999998</v>
      </c>
      <c r="BD58" s="105">
        <f t="shared" si="17"/>
        <v>390.16722720799999</v>
      </c>
    </row>
    <row r="59" spans="1:56" s="101" customFormat="1" ht="14.4" x14ac:dyDescent="0.3">
      <c r="A59" s="101">
        <v>37</v>
      </c>
      <c r="B59" s="101" t="s">
        <v>194</v>
      </c>
      <c r="C59" s="20">
        <v>44076.483263888891</v>
      </c>
      <c r="D59" s="101" t="s">
        <v>25</v>
      </c>
      <c r="E59" s="101" t="s">
        <v>17</v>
      </c>
      <c r="F59" s="101">
        <v>0</v>
      </c>
      <c r="G59" s="101">
        <v>6.0670000000000002</v>
      </c>
      <c r="H59" s="12">
        <v>2283</v>
      </c>
      <c r="I59" s="101">
        <v>2E-3</v>
      </c>
      <c r="J59" s="101" t="s">
        <v>18</v>
      </c>
      <c r="K59" s="101" t="s">
        <v>18</v>
      </c>
      <c r="L59" s="101" t="s">
        <v>18</v>
      </c>
      <c r="M59" s="101" t="s">
        <v>18</v>
      </c>
      <c r="O59" s="101">
        <v>37</v>
      </c>
      <c r="P59" s="101" t="s">
        <v>194</v>
      </c>
      <c r="Q59" s="20">
        <v>44076.483263888891</v>
      </c>
      <c r="R59" s="101" t="s">
        <v>25</v>
      </c>
      <c r="S59" s="101" t="s">
        <v>17</v>
      </c>
      <c r="T59" s="101">
        <v>0</v>
      </c>
      <c r="U59" s="101" t="s">
        <v>18</v>
      </c>
      <c r="V59" s="101" t="s">
        <v>18</v>
      </c>
      <c r="W59" s="101" t="s">
        <v>18</v>
      </c>
      <c r="X59" s="101" t="s">
        <v>18</v>
      </c>
      <c r="Y59" s="101" t="s">
        <v>18</v>
      </c>
      <c r="Z59" s="101" t="s">
        <v>18</v>
      </c>
      <c r="AA59" s="101" t="s">
        <v>18</v>
      </c>
      <c r="AC59" s="101">
        <v>37</v>
      </c>
      <c r="AD59" s="101" t="s">
        <v>194</v>
      </c>
      <c r="AE59" s="20">
        <v>44076.483263888891</v>
      </c>
      <c r="AF59" s="101" t="s">
        <v>25</v>
      </c>
      <c r="AG59" s="101" t="s">
        <v>17</v>
      </c>
      <c r="AH59" s="101">
        <v>0</v>
      </c>
      <c r="AI59" s="101">
        <v>12.191000000000001</v>
      </c>
      <c r="AJ59" s="12">
        <v>1982</v>
      </c>
      <c r="AK59" s="101">
        <v>0.44500000000000001</v>
      </c>
      <c r="AL59" s="101" t="s">
        <v>18</v>
      </c>
      <c r="AM59" s="101" t="s">
        <v>18</v>
      </c>
      <c r="AN59" s="101" t="s">
        <v>18</v>
      </c>
      <c r="AO59" s="101" t="s">
        <v>18</v>
      </c>
      <c r="AS59" s="7">
        <v>33</v>
      </c>
      <c r="AT59" s="60">
        <f t="shared" si="10"/>
        <v>1.9152718912499997</v>
      </c>
      <c r="AU59" s="61">
        <f t="shared" si="11"/>
        <v>402.04621910252001</v>
      </c>
      <c r="AW59" s="60">
        <f t="shared" si="12"/>
        <v>1.9152718912499997</v>
      </c>
      <c r="AX59" s="61">
        <f t="shared" si="13"/>
        <v>402.04621910252001</v>
      </c>
      <c r="AZ59" s="23">
        <f t="shared" si="14"/>
        <v>1.7108684424499998</v>
      </c>
      <c r="BA59" s="103">
        <f t="shared" si="15"/>
        <v>375.03652545176004</v>
      </c>
      <c r="BC59" s="104">
        <f t="shared" si="16"/>
        <v>0.85839323169999981</v>
      </c>
      <c r="BD59" s="105">
        <f t="shared" si="17"/>
        <v>305.87914917152</v>
      </c>
    </row>
    <row r="60" spans="1:56" s="101" customFormat="1" ht="14.4" x14ac:dyDescent="0.3">
      <c r="A60" s="101">
        <v>37</v>
      </c>
      <c r="B60" s="101" t="s">
        <v>195</v>
      </c>
      <c r="C60" s="20">
        <v>44077.492349537039</v>
      </c>
      <c r="D60" s="101" t="s">
        <v>25</v>
      </c>
      <c r="E60" s="101" t="s">
        <v>17</v>
      </c>
      <c r="F60" s="101">
        <v>0</v>
      </c>
      <c r="G60" s="101">
        <v>6.0819999999999999</v>
      </c>
      <c r="H60" s="12">
        <v>2578</v>
      </c>
      <c r="I60" s="101">
        <v>2E-3</v>
      </c>
      <c r="J60" s="101" t="s">
        <v>18</v>
      </c>
      <c r="K60" s="101" t="s">
        <v>18</v>
      </c>
      <c r="L60" s="101" t="s">
        <v>18</v>
      </c>
      <c r="M60" s="101" t="s">
        <v>18</v>
      </c>
      <c r="O60" s="101">
        <v>37</v>
      </c>
      <c r="P60" s="101" t="s">
        <v>195</v>
      </c>
      <c r="Q60" s="20">
        <v>44077.492349537039</v>
      </c>
      <c r="R60" s="101" t="s">
        <v>25</v>
      </c>
      <c r="S60" s="101" t="s">
        <v>17</v>
      </c>
      <c r="T60" s="101">
        <v>0</v>
      </c>
      <c r="U60" s="101" t="s">
        <v>18</v>
      </c>
      <c r="V60" s="101" t="s">
        <v>18</v>
      </c>
      <c r="W60" s="101" t="s">
        <v>18</v>
      </c>
      <c r="X60" s="101" t="s">
        <v>18</v>
      </c>
      <c r="Y60" s="101" t="s">
        <v>18</v>
      </c>
      <c r="Z60" s="101" t="s">
        <v>18</v>
      </c>
      <c r="AA60" s="101" t="s">
        <v>18</v>
      </c>
      <c r="AC60" s="101">
        <v>37</v>
      </c>
      <c r="AD60" s="101" t="s">
        <v>195</v>
      </c>
      <c r="AE60" s="20">
        <v>44077.492349537039</v>
      </c>
      <c r="AF60" s="101" t="s">
        <v>25</v>
      </c>
      <c r="AG60" s="101" t="s">
        <v>17</v>
      </c>
      <c r="AH60" s="101">
        <v>0</v>
      </c>
      <c r="AI60" s="101">
        <v>12.199</v>
      </c>
      <c r="AJ60" s="12">
        <v>2456</v>
      </c>
      <c r="AK60" s="101">
        <v>0.50900000000000001</v>
      </c>
      <c r="AL60" s="101" t="s">
        <v>18</v>
      </c>
      <c r="AM60" s="101" t="s">
        <v>18</v>
      </c>
      <c r="AN60" s="101" t="s">
        <v>18</v>
      </c>
      <c r="AO60" s="101" t="s">
        <v>18</v>
      </c>
      <c r="AQ60" s="101">
        <v>1</v>
      </c>
      <c r="AS60" s="7">
        <v>34</v>
      </c>
      <c r="AT60" s="60">
        <f t="shared" si="10"/>
        <v>2.7437192849999992</v>
      </c>
      <c r="AU60" s="61">
        <f t="shared" si="11"/>
        <v>489.79377537727999</v>
      </c>
      <c r="AW60" s="60">
        <f t="shared" si="12"/>
        <v>2.7437192849999992</v>
      </c>
      <c r="AX60" s="61">
        <f t="shared" si="13"/>
        <v>489.79377537727999</v>
      </c>
      <c r="AZ60" s="23">
        <f t="shared" si="14"/>
        <v>2.7555534321999993</v>
      </c>
      <c r="BA60" s="103">
        <f t="shared" si="15"/>
        <v>465.63112072064001</v>
      </c>
      <c r="BC60" s="104">
        <f t="shared" si="16"/>
        <v>1.3130482052000001</v>
      </c>
      <c r="BD60" s="105">
        <f t="shared" si="17"/>
        <v>403.80126499327997</v>
      </c>
    </row>
    <row r="61" spans="1:56" s="101" customFormat="1" ht="14.4" x14ac:dyDescent="0.3">
      <c r="A61" s="101">
        <v>37</v>
      </c>
      <c r="B61" s="101" t="s">
        <v>196</v>
      </c>
      <c r="C61" s="20">
        <v>44078.547997685186</v>
      </c>
      <c r="D61" s="101" t="s">
        <v>25</v>
      </c>
      <c r="E61" s="101" t="s">
        <v>17</v>
      </c>
      <c r="F61" s="101">
        <v>0</v>
      </c>
      <c r="G61" s="101">
        <v>6.093</v>
      </c>
      <c r="H61" s="12">
        <v>1992</v>
      </c>
      <c r="I61" s="101">
        <v>1E-3</v>
      </c>
      <c r="J61" s="101" t="s">
        <v>18</v>
      </c>
      <c r="K61" s="101" t="s">
        <v>18</v>
      </c>
      <c r="L61" s="101" t="s">
        <v>18</v>
      </c>
      <c r="M61" s="101" t="s">
        <v>18</v>
      </c>
      <c r="O61" s="101">
        <v>37</v>
      </c>
      <c r="P61" s="101" t="s">
        <v>196</v>
      </c>
      <c r="Q61" s="20">
        <v>44078.547997685186</v>
      </c>
      <c r="R61" s="101" t="s">
        <v>25</v>
      </c>
      <c r="S61" s="101" t="s">
        <v>17</v>
      </c>
      <c r="T61" s="101">
        <v>0</v>
      </c>
      <c r="U61" s="101" t="s">
        <v>18</v>
      </c>
      <c r="V61" s="101" t="s">
        <v>18</v>
      </c>
      <c r="W61" s="101" t="s">
        <v>18</v>
      </c>
      <c r="X61" s="101" t="s">
        <v>18</v>
      </c>
      <c r="Y61" s="101" t="s">
        <v>18</v>
      </c>
      <c r="Z61" s="101" t="s">
        <v>18</v>
      </c>
      <c r="AA61" s="101" t="s">
        <v>18</v>
      </c>
      <c r="AC61" s="101">
        <v>37</v>
      </c>
      <c r="AD61" s="101" t="s">
        <v>196</v>
      </c>
      <c r="AE61" s="20">
        <v>44078.547997685186</v>
      </c>
      <c r="AF61" s="101" t="s">
        <v>25</v>
      </c>
      <c r="AG61" s="101" t="s">
        <v>17</v>
      </c>
      <c r="AH61" s="101">
        <v>0</v>
      </c>
      <c r="AI61" s="101">
        <v>12.223000000000001</v>
      </c>
      <c r="AJ61" s="12">
        <v>1790</v>
      </c>
      <c r="AK61" s="101">
        <v>0.41899999999999998</v>
      </c>
      <c r="AL61" s="101" t="s">
        <v>18</v>
      </c>
      <c r="AM61" s="101" t="s">
        <v>18</v>
      </c>
      <c r="AN61" s="101" t="s">
        <v>18</v>
      </c>
      <c r="AO61" s="101" t="s">
        <v>18</v>
      </c>
      <c r="AQ61" s="101">
        <v>1</v>
      </c>
      <c r="AS61" s="7">
        <v>35</v>
      </c>
      <c r="AT61" s="60">
        <f t="shared" si="10"/>
        <v>1.1016813599999988</v>
      </c>
      <c r="AU61" s="61">
        <f t="shared" si="11"/>
        <v>366.49487864300005</v>
      </c>
      <c r="AW61" s="60">
        <f t="shared" si="12"/>
        <v>1.1016813599999988</v>
      </c>
      <c r="AX61" s="61">
        <f t="shared" si="13"/>
        <v>366.49487864300005</v>
      </c>
      <c r="AZ61" s="23">
        <f t="shared" si="14"/>
        <v>0.67046669119999969</v>
      </c>
      <c r="BA61" s="103">
        <f t="shared" si="15"/>
        <v>338.33790133399998</v>
      </c>
      <c r="BC61" s="104">
        <f t="shared" si="16"/>
        <v>0.43468049919999996</v>
      </c>
      <c r="BD61" s="105">
        <f t="shared" si="17"/>
        <v>266.21123136800003</v>
      </c>
    </row>
    <row r="62" spans="1:56" s="101" customFormat="1" ht="14.4" x14ac:dyDescent="0.3">
      <c r="A62" s="101">
        <v>37</v>
      </c>
      <c r="B62" s="101" t="s">
        <v>197</v>
      </c>
      <c r="C62" s="20">
        <v>44082.386331018519</v>
      </c>
      <c r="D62" s="101" t="s">
        <v>25</v>
      </c>
      <c r="E62" s="101" t="s">
        <v>17</v>
      </c>
      <c r="F62" s="101">
        <v>0</v>
      </c>
      <c r="G62" s="101">
        <v>6.0670000000000002</v>
      </c>
      <c r="H62" s="12">
        <v>2308</v>
      </c>
      <c r="I62" s="101">
        <v>2E-3</v>
      </c>
      <c r="J62" s="101" t="s">
        <v>18</v>
      </c>
      <c r="K62" s="101" t="s">
        <v>18</v>
      </c>
      <c r="L62" s="101" t="s">
        <v>18</v>
      </c>
      <c r="M62" s="101" t="s">
        <v>18</v>
      </c>
      <c r="O62" s="101">
        <v>37</v>
      </c>
      <c r="P62" s="101" t="s">
        <v>197</v>
      </c>
      <c r="Q62" s="20">
        <v>44082.386331018519</v>
      </c>
      <c r="R62" s="101" t="s">
        <v>25</v>
      </c>
      <c r="S62" s="101" t="s">
        <v>17</v>
      </c>
      <c r="T62" s="101">
        <v>0</v>
      </c>
      <c r="U62" s="101" t="s">
        <v>18</v>
      </c>
      <c r="V62" s="101" t="s">
        <v>18</v>
      </c>
      <c r="W62" s="101" t="s">
        <v>18</v>
      </c>
      <c r="X62" s="101" t="s">
        <v>18</v>
      </c>
      <c r="Y62" s="101" t="s">
        <v>18</v>
      </c>
      <c r="Z62" s="101" t="s">
        <v>18</v>
      </c>
      <c r="AA62" s="101" t="s">
        <v>18</v>
      </c>
      <c r="AC62" s="101">
        <v>37</v>
      </c>
      <c r="AD62" s="101" t="s">
        <v>197</v>
      </c>
      <c r="AE62" s="20">
        <v>44082.386331018519</v>
      </c>
      <c r="AF62" s="101" t="s">
        <v>25</v>
      </c>
      <c r="AG62" s="101" t="s">
        <v>17</v>
      </c>
      <c r="AH62" s="101">
        <v>0</v>
      </c>
      <c r="AI62" s="101">
        <v>12.131</v>
      </c>
      <c r="AJ62" s="12"/>
      <c r="AL62" s="101" t="s">
        <v>18</v>
      </c>
      <c r="AM62" s="101" t="s">
        <v>18</v>
      </c>
      <c r="AN62" s="101" t="s">
        <v>18</v>
      </c>
      <c r="AO62" s="101" t="s">
        <v>18</v>
      </c>
      <c r="AQ62" s="101">
        <v>3</v>
      </c>
      <c r="AR62" s="101" t="s">
        <v>198</v>
      </c>
      <c r="AS62" s="7">
        <v>36</v>
      </c>
      <c r="AT62" s="60">
        <f t="shared" si="10"/>
        <v>1.9853358599999993</v>
      </c>
      <c r="AU62" s="61"/>
      <c r="AW62" s="60">
        <f t="shared" si="12"/>
        <v>1.9853358599999993</v>
      </c>
      <c r="AX62" s="61">
        <f t="shared" si="13"/>
        <v>34.83</v>
      </c>
      <c r="AZ62" s="23">
        <f t="shared" si="14"/>
        <v>1.7997922312000014</v>
      </c>
      <c r="BA62" s="103">
        <f t="shared" si="15"/>
        <v>-3.8580000000000001</v>
      </c>
      <c r="BC62" s="104">
        <f t="shared" si="16"/>
        <v>0.89594253919999978</v>
      </c>
      <c r="BD62" s="105">
        <f t="shared" si="17"/>
        <v>-103.7</v>
      </c>
    </row>
    <row r="63" spans="1:56" s="101" customFormat="1" ht="14.4" x14ac:dyDescent="0.3">
      <c r="A63" s="101">
        <v>37</v>
      </c>
      <c r="B63" s="101" t="s">
        <v>199</v>
      </c>
      <c r="C63" s="20">
        <v>44088.482928240737</v>
      </c>
      <c r="D63" s="101" t="s">
        <v>25</v>
      </c>
      <c r="E63" s="101" t="s">
        <v>17</v>
      </c>
      <c r="F63" s="101">
        <v>0</v>
      </c>
      <c r="G63" s="101">
        <v>6.08</v>
      </c>
      <c r="H63" s="12">
        <v>2315</v>
      </c>
      <c r="I63" s="101">
        <v>2E-3</v>
      </c>
      <c r="J63" s="101" t="s">
        <v>18</v>
      </c>
      <c r="K63" s="101" t="s">
        <v>18</v>
      </c>
      <c r="L63" s="101" t="s">
        <v>18</v>
      </c>
      <c r="M63" s="101" t="s">
        <v>18</v>
      </c>
      <c r="O63" s="101">
        <v>37</v>
      </c>
      <c r="P63" s="101" t="s">
        <v>199</v>
      </c>
      <c r="Q63" s="20">
        <v>44088.482928240737</v>
      </c>
      <c r="R63" s="101" t="s">
        <v>25</v>
      </c>
      <c r="S63" s="101" t="s">
        <v>17</v>
      </c>
      <c r="T63" s="101">
        <v>0</v>
      </c>
      <c r="U63" s="101" t="s">
        <v>18</v>
      </c>
      <c r="V63" s="101" t="s">
        <v>18</v>
      </c>
      <c r="W63" s="101" t="s">
        <v>18</v>
      </c>
      <c r="X63" s="101" t="s">
        <v>18</v>
      </c>
      <c r="Y63" s="101" t="s">
        <v>18</v>
      </c>
      <c r="Z63" s="101" t="s">
        <v>18</v>
      </c>
      <c r="AA63" s="101" t="s">
        <v>18</v>
      </c>
      <c r="AC63" s="101">
        <v>37</v>
      </c>
      <c r="AD63" s="101" t="s">
        <v>199</v>
      </c>
      <c r="AE63" s="20">
        <v>44088.482928240737</v>
      </c>
      <c r="AF63" s="101" t="s">
        <v>25</v>
      </c>
      <c r="AG63" s="101" t="s">
        <v>17</v>
      </c>
      <c r="AH63" s="101">
        <v>0</v>
      </c>
      <c r="AI63" s="101">
        <v>12.195</v>
      </c>
      <c r="AJ63" s="12">
        <v>2142</v>
      </c>
      <c r="AK63" s="101">
        <v>0.46600000000000003</v>
      </c>
      <c r="AL63" s="101" t="s">
        <v>18</v>
      </c>
      <c r="AM63" s="101" t="s">
        <v>18</v>
      </c>
      <c r="AN63" s="101" t="s">
        <v>18</v>
      </c>
      <c r="AO63" s="101" t="s">
        <v>18</v>
      </c>
      <c r="AQ63" s="101">
        <v>1</v>
      </c>
      <c r="AS63" s="7">
        <v>37</v>
      </c>
      <c r="AT63" s="60">
        <f t="shared" si="10"/>
        <v>2.0049585312499998</v>
      </c>
      <c r="AU63" s="61">
        <f t="shared" si="11"/>
        <v>431.66880094571997</v>
      </c>
      <c r="AW63" s="60">
        <f t="shared" si="12"/>
        <v>2.0049585312499998</v>
      </c>
      <c r="AX63" s="61">
        <f t="shared" si="13"/>
        <v>431.66880094571997</v>
      </c>
      <c r="AZ63" s="23">
        <f t="shared" si="14"/>
        <v>1.8246779112499993</v>
      </c>
      <c r="BA63" s="103">
        <f t="shared" si="15"/>
        <v>405.61779645336003</v>
      </c>
      <c r="BC63" s="104">
        <f t="shared" si="16"/>
        <v>0.90648889249999987</v>
      </c>
      <c r="BD63" s="105">
        <f t="shared" si="17"/>
        <v>338.93431005472002</v>
      </c>
    </row>
    <row r="64" spans="1:56" s="101" customFormat="1" ht="14.4" x14ac:dyDescent="0.3">
      <c r="A64" s="101">
        <v>37</v>
      </c>
      <c r="B64" s="101" t="s">
        <v>200</v>
      </c>
      <c r="C64" s="20">
        <v>44090.43959490741</v>
      </c>
      <c r="D64" s="101" t="s">
        <v>25</v>
      </c>
      <c r="E64" s="101" t="s">
        <v>17</v>
      </c>
      <c r="F64" s="101">
        <v>0</v>
      </c>
      <c r="G64" s="101">
        <v>6.07</v>
      </c>
      <c r="H64" s="12">
        <v>2436</v>
      </c>
      <c r="I64" s="101">
        <v>2E-3</v>
      </c>
      <c r="J64" s="101" t="s">
        <v>18</v>
      </c>
      <c r="K64" s="101" t="s">
        <v>18</v>
      </c>
      <c r="L64" s="101" t="s">
        <v>18</v>
      </c>
      <c r="M64" s="101" t="s">
        <v>18</v>
      </c>
      <c r="O64" s="101">
        <v>37</v>
      </c>
      <c r="P64" s="101" t="s">
        <v>200</v>
      </c>
      <c r="Q64" s="20">
        <v>44090.43959490741</v>
      </c>
      <c r="R64" s="101" t="s">
        <v>25</v>
      </c>
      <c r="S64" s="101" t="s">
        <v>17</v>
      </c>
      <c r="T64" s="101">
        <v>0</v>
      </c>
      <c r="U64" s="101" t="s">
        <v>18</v>
      </c>
      <c r="V64" s="101" t="s">
        <v>18</v>
      </c>
      <c r="W64" s="101" t="s">
        <v>18</v>
      </c>
      <c r="X64" s="101" t="s">
        <v>18</v>
      </c>
      <c r="Y64" s="101" t="s">
        <v>18</v>
      </c>
      <c r="Z64" s="101" t="s">
        <v>18</v>
      </c>
      <c r="AA64" s="101" t="s">
        <v>18</v>
      </c>
      <c r="AC64" s="101">
        <v>37</v>
      </c>
      <c r="AD64" s="101" t="s">
        <v>200</v>
      </c>
      <c r="AE64" s="20">
        <v>44090.43959490741</v>
      </c>
      <c r="AF64" s="101" t="s">
        <v>25</v>
      </c>
      <c r="AG64" s="101" t="s">
        <v>17</v>
      </c>
      <c r="AH64" s="101">
        <v>0</v>
      </c>
      <c r="AI64" s="101">
        <v>12.227</v>
      </c>
      <c r="AJ64" s="12">
        <v>2928</v>
      </c>
      <c r="AK64" s="101">
        <v>0.57299999999999995</v>
      </c>
      <c r="AL64" s="101" t="s">
        <v>18</v>
      </c>
      <c r="AM64" s="101" t="s">
        <v>18</v>
      </c>
      <c r="AN64" s="101" t="s">
        <v>18</v>
      </c>
      <c r="AO64" s="101" t="s">
        <v>18</v>
      </c>
      <c r="AQ64" s="101">
        <v>1</v>
      </c>
      <c r="AS64" s="7">
        <v>38</v>
      </c>
      <c r="AT64" s="60">
        <f t="shared" si="10"/>
        <v>2.34447954</v>
      </c>
      <c r="AU64" s="61">
        <f t="shared" si="11"/>
        <v>577.14306124032009</v>
      </c>
      <c r="AW64" s="60">
        <f t="shared" si="12"/>
        <v>2.34447954</v>
      </c>
      <c r="AX64" s="61">
        <f t="shared" si="13"/>
        <v>577.14306124032009</v>
      </c>
      <c r="AZ64" s="23">
        <f t="shared" si="14"/>
        <v>2.253947136799999</v>
      </c>
      <c r="BA64" s="103">
        <f t="shared" si="15"/>
        <v>555.83620002816008</v>
      </c>
      <c r="BC64" s="104">
        <f t="shared" si="16"/>
        <v>1.0910405488000003</v>
      </c>
      <c r="BD64" s="105">
        <f t="shared" si="17"/>
        <v>501.29881234431997</v>
      </c>
    </row>
    <row r="65" spans="1:56" s="101" customFormat="1" ht="14.4" x14ac:dyDescent="0.3">
      <c r="A65" s="101">
        <v>37</v>
      </c>
      <c r="B65" s="101" t="s">
        <v>201</v>
      </c>
      <c r="C65" s="20">
        <v>44091.437280092592</v>
      </c>
      <c r="D65" s="101" t="s">
        <v>25</v>
      </c>
      <c r="E65" s="101" t="s">
        <v>17</v>
      </c>
      <c r="F65" s="101">
        <v>0</v>
      </c>
      <c r="G65" s="101">
        <v>6.08</v>
      </c>
      <c r="H65" s="12">
        <v>2661</v>
      </c>
      <c r="I65" s="101">
        <v>2E-3</v>
      </c>
      <c r="J65" s="101" t="s">
        <v>18</v>
      </c>
      <c r="K65" s="101" t="s">
        <v>18</v>
      </c>
      <c r="L65" s="101" t="s">
        <v>18</v>
      </c>
      <c r="M65" s="101" t="s">
        <v>18</v>
      </c>
      <c r="O65" s="101">
        <v>37</v>
      </c>
      <c r="P65" s="101" t="s">
        <v>201</v>
      </c>
      <c r="Q65" s="20">
        <v>44091.437280092592</v>
      </c>
      <c r="R65" s="101" t="s">
        <v>25</v>
      </c>
      <c r="S65" s="101" t="s">
        <v>17</v>
      </c>
      <c r="T65" s="101">
        <v>0</v>
      </c>
      <c r="U65" s="101" t="s">
        <v>18</v>
      </c>
      <c r="V65" s="101" t="s">
        <v>18</v>
      </c>
      <c r="W65" s="101" t="s">
        <v>18</v>
      </c>
      <c r="X65" s="101" t="s">
        <v>18</v>
      </c>
      <c r="Y65" s="101" t="s">
        <v>18</v>
      </c>
      <c r="Z65" s="101" t="s">
        <v>18</v>
      </c>
      <c r="AA65" s="101" t="s">
        <v>18</v>
      </c>
      <c r="AC65" s="101">
        <v>37</v>
      </c>
      <c r="AD65" s="101" t="s">
        <v>201</v>
      </c>
      <c r="AE65" s="20">
        <v>44091.437280092592</v>
      </c>
      <c r="AF65" s="101" t="s">
        <v>25</v>
      </c>
      <c r="AG65" s="101" t="s">
        <v>17</v>
      </c>
      <c r="AH65" s="101">
        <v>0</v>
      </c>
      <c r="AI65" s="101">
        <v>12.212999999999999</v>
      </c>
      <c r="AJ65" s="12">
        <v>2405</v>
      </c>
      <c r="AK65" s="101">
        <v>0.502</v>
      </c>
      <c r="AL65" s="101" t="s">
        <v>18</v>
      </c>
      <c r="AM65" s="101" t="s">
        <v>18</v>
      </c>
      <c r="AN65" s="101" t="s">
        <v>18</v>
      </c>
      <c r="AO65" s="101" t="s">
        <v>18</v>
      </c>
      <c r="AQ65" s="101">
        <v>1</v>
      </c>
      <c r="AS65" s="7">
        <v>39</v>
      </c>
      <c r="AT65" s="60">
        <f t="shared" si="10"/>
        <v>2.9774745712500001</v>
      </c>
      <c r="AU65" s="61">
        <f t="shared" si="11"/>
        <v>480.35393675074999</v>
      </c>
      <c r="AW65" s="60">
        <f t="shared" si="12"/>
        <v>2.9774745712500001</v>
      </c>
      <c r="AX65" s="61">
        <f t="shared" si="13"/>
        <v>480.35393675074999</v>
      </c>
      <c r="AZ65" s="23">
        <f t="shared" si="14"/>
        <v>3.0476636280499996</v>
      </c>
      <c r="BA65" s="103">
        <f t="shared" si="15"/>
        <v>455.88395175350001</v>
      </c>
      <c r="BC65" s="104">
        <f t="shared" si="16"/>
        <v>1.4455267213</v>
      </c>
      <c r="BD65" s="105">
        <f t="shared" si="17"/>
        <v>393.26589168200002</v>
      </c>
    </row>
    <row r="66" spans="1:56" s="101" customFormat="1" ht="14.4" x14ac:dyDescent="0.3">
      <c r="A66" s="101">
        <v>37</v>
      </c>
      <c r="B66" s="101" t="s">
        <v>202</v>
      </c>
      <c r="C66" s="20">
        <v>44092.418599537035</v>
      </c>
      <c r="D66" s="101" t="s">
        <v>25</v>
      </c>
      <c r="E66" s="101" t="s">
        <v>17</v>
      </c>
      <c r="F66" s="101">
        <v>0</v>
      </c>
      <c r="G66" s="101">
        <v>6.0810000000000004</v>
      </c>
      <c r="H66" s="12">
        <v>2745</v>
      </c>
      <c r="I66" s="101">
        <v>2E-3</v>
      </c>
      <c r="J66" s="101" t="s">
        <v>18</v>
      </c>
      <c r="K66" s="101" t="s">
        <v>18</v>
      </c>
      <c r="L66" s="101" t="s">
        <v>18</v>
      </c>
      <c r="M66" s="101" t="s">
        <v>18</v>
      </c>
      <c r="O66" s="101">
        <v>37</v>
      </c>
      <c r="P66" s="101" t="s">
        <v>202</v>
      </c>
      <c r="Q66" s="20">
        <v>44092.418599537035</v>
      </c>
      <c r="R66" s="101" t="s">
        <v>25</v>
      </c>
      <c r="S66" s="101" t="s">
        <v>17</v>
      </c>
      <c r="T66" s="101">
        <v>0</v>
      </c>
      <c r="U66" s="101" t="s">
        <v>18</v>
      </c>
      <c r="V66" s="101" t="s">
        <v>18</v>
      </c>
      <c r="W66" s="101" t="s">
        <v>18</v>
      </c>
      <c r="X66" s="101" t="s">
        <v>18</v>
      </c>
      <c r="Y66" s="101" t="s">
        <v>18</v>
      </c>
      <c r="Z66" s="101" t="s">
        <v>18</v>
      </c>
      <c r="AA66" s="101" t="s">
        <v>18</v>
      </c>
      <c r="AC66" s="101">
        <v>37</v>
      </c>
      <c r="AD66" s="101" t="s">
        <v>202</v>
      </c>
      <c r="AE66" s="20">
        <v>44092.418599537035</v>
      </c>
      <c r="AF66" s="101" t="s">
        <v>25</v>
      </c>
      <c r="AG66" s="101" t="s">
        <v>17</v>
      </c>
      <c r="AH66" s="101">
        <v>0</v>
      </c>
      <c r="AI66" s="101">
        <v>12.222</v>
      </c>
      <c r="AJ66" s="12">
        <v>1748</v>
      </c>
      <c r="AK66" s="101">
        <v>0.41299999999999998</v>
      </c>
      <c r="AL66" s="101" t="s">
        <v>18</v>
      </c>
      <c r="AM66" s="101" t="s">
        <v>18</v>
      </c>
      <c r="AN66" s="101" t="s">
        <v>18</v>
      </c>
      <c r="AO66" s="101" t="s">
        <v>18</v>
      </c>
      <c r="AQ66" s="101">
        <v>1</v>
      </c>
      <c r="AS66" s="7">
        <v>40</v>
      </c>
      <c r="AT66" s="60">
        <f t="shared" si="10"/>
        <v>3.2143442812499998</v>
      </c>
      <c r="AU66" s="61">
        <f t="shared" si="11"/>
        <v>358.71740601392003</v>
      </c>
      <c r="AW66" s="60">
        <f t="shared" si="12"/>
        <v>3.2143442812499998</v>
      </c>
      <c r="AX66" s="61">
        <f t="shared" si="13"/>
        <v>358.71740601392003</v>
      </c>
      <c r="AZ66" s="23">
        <f t="shared" si="14"/>
        <v>3.3424803012499993</v>
      </c>
      <c r="BA66" s="103">
        <f t="shared" si="15"/>
        <v>330.30991750496003</v>
      </c>
      <c r="BC66" s="104">
        <f t="shared" si="16"/>
        <v>1.5816396324999997</v>
      </c>
      <c r="BD66" s="105">
        <f t="shared" si="17"/>
        <v>257.53362353791999</v>
      </c>
    </row>
    <row r="67" spans="1:56" s="101" customFormat="1" ht="14.4" x14ac:dyDescent="0.3">
      <c r="A67" s="101">
        <v>37</v>
      </c>
      <c r="B67" s="101" t="s">
        <v>203</v>
      </c>
      <c r="C67" s="20">
        <v>44096.440578703703</v>
      </c>
      <c r="D67" s="101" t="s">
        <v>25</v>
      </c>
      <c r="E67" s="101" t="s">
        <v>17</v>
      </c>
      <c r="F67" s="101">
        <v>0</v>
      </c>
      <c r="G67" s="101">
        <v>6.0949999999999998</v>
      </c>
      <c r="H67" s="12">
        <v>2370</v>
      </c>
      <c r="I67" s="101">
        <v>2E-3</v>
      </c>
      <c r="J67" s="101" t="s">
        <v>18</v>
      </c>
      <c r="K67" s="101" t="s">
        <v>18</v>
      </c>
      <c r="L67" s="101" t="s">
        <v>18</v>
      </c>
      <c r="M67" s="101" t="s">
        <v>18</v>
      </c>
      <c r="O67" s="101">
        <v>37</v>
      </c>
      <c r="P67" s="101" t="s">
        <v>203</v>
      </c>
      <c r="Q67" s="20">
        <v>44096.440578703703</v>
      </c>
      <c r="R67" s="101" t="s">
        <v>25</v>
      </c>
      <c r="S67" s="101" t="s">
        <v>17</v>
      </c>
      <c r="T67" s="101">
        <v>0</v>
      </c>
      <c r="U67" s="101" t="s">
        <v>18</v>
      </c>
      <c r="V67" s="101" t="s">
        <v>18</v>
      </c>
      <c r="W67" s="101" t="s">
        <v>18</v>
      </c>
      <c r="X67" s="101" t="s">
        <v>18</v>
      </c>
      <c r="Y67" s="101" t="s">
        <v>18</v>
      </c>
      <c r="Z67" s="101" t="s">
        <v>18</v>
      </c>
      <c r="AA67" s="101" t="s">
        <v>18</v>
      </c>
      <c r="AC67" s="101">
        <v>37</v>
      </c>
      <c r="AD67" s="101" t="s">
        <v>203</v>
      </c>
      <c r="AE67" s="20">
        <v>44096.440578703703</v>
      </c>
      <c r="AF67" s="101" t="s">
        <v>25</v>
      </c>
      <c r="AG67" s="101" t="s">
        <v>17</v>
      </c>
      <c r="AH67" s="101">
        <v>0</v>
      </c>
      <c r="AI67" s="101">
        <v>12.250999999999999</v>
      </c>
      <c r="AJ67" s="12">
        <v>2572</v>
      </c>
      <c r="AK67" s="101">
        <v>0.52500000000000002</v>
      </c>
      <c r="AL67" s="101" t="s">
        <v>18</v>
      </c>
      <c r="AM67" s="101" t="s">
        <v>18</v>
      </c>
      <c r="AN67" s="101" t="s">
        <v>18</v>
      </c>
      <c r="AO67" s="101" t="s">
        <v>18</v>
      </c>
      <c r="AQ67" s="101">
        <v>1</v>
      </c>
      <c r="AS67" s="7">
        <v>41</v>
      </c>
      <c r="AT67" s="60">
        <f t="shared" si="10"/>
        <v>2.1592091249999994</v>
      </c>
      <c r="AU67" s="61">
        <f t="shared" si="11"/>
        <v>511.26356490032003</v>
      </c>
      <c r="AW67" s="60">
        <f t="shared" si="12"/>
        <v>2.1592091249999994</v>
      </c>
      <c r="AX67" s="61">
        <f t="shared" si="13"/>
        <v>511.26356490032003</v>
      </c>
      <c r="AZ67" s="23">
        <f t="shared" si="14"/>
        <v>2.020010645000001</v>
      </c>
      <c r="BA67" s="103">
        <f t="shared" si="15"/>
        <v>487.80083710816001</v>
      </c>
      <c r="BC67" s="104">
        <f t="shared" si="16"/>
        <v>0.98984857000000015</v>
      </c>
      <c r="BD67" s="105">
        <f t="shared" si="17"/>
        <v>427.76358050431992</v>
      </c>
    </row>
    <row r="68" spans="1:56" s="101" customFormat="1" ht="14.4" x14ac:dyDescent="0.3">
      <c r="A68" s="101">
        <v>37</v>
      </c>
      <c r="B68" s="101" t="s">
        <v>204</v>
      </c>
      <c r="C68" s="20">
        <v>44105.466747685183</v>
      </c>
      <c r="D68" s="101" t="s">
        <v>25</v>
      </c>
      <c r="E68" s="101" t="s">
        <v>17</v>
      </c>
      <c r="F68" s="101">
        <v>0</v>
      </c>
      <c r="G68" s="101">
        <v>6.0890000000000004</v>
      </c>
      <c r="H68" s="12">
        <v>2210</v>
      </c>
      <c r="I68" s="101">
        <v>1E-3</v>
      </c>
      <c r="J68" s="101" t="s">
        <v>18</v>
      </c>
      <c r="K68" s="101" t="s">
        <v>18</v>
      </c>
      <c r="L68" s="101" t="s">
        <v>18</v>
      </c>
      <c r="M68" s="101" t="s">
        <v>18</v>
      </c>
      <c r="O68" s="101">
        <v>37</v>
      </c>
      <c r="P68" s="101" t="s">
        <v>204</v>
      </c>
      <c r="Q68" s="20">
        <v>44105.466747685183</v>
      </c>
      <c r="R68" s="101" t="s">
        <v>25</v>
      </c>
      <c r="S68" s="101" t="s">
        <v>17</v>
      </c>
      <c r="T68" s="101">
        <v>0</v>
      </c>
      <c r="U68" s="101" t="s">
        <v>18</v>
      </c>
      <c r="V68" s="101" t="s">
        <v>18</v>
      </c>
      <c r="W68" s="101" t="s">
        <v>18</v>
      </c>
      <c r="X68" s="101" t="s">
        <v>18</v>
      </c>
      <c r="Y68" s="101" t="s">
        <v>18</v>
      </c>
      <c r="Z68" s="101" t="s">
        <v>18</v>
      </c>
      <c r="AA68" s="101" t="s">
        <v>18</v>
      </c>
      <c r="AC68" s="101">
        <v>37</v>
      </c>
      <c r="AD68" s="101" t="s">
        <v>204</v>
      </c>
      <c r="AE68" s="20">
        <v>44105.466747685183</v>
      </c>
      <c r="AF68" s="101" t="s">
        <v>25</v>
      </c>
      <c r="AG68" s="101" t="s">
        <v>17</v>
      </c>
      <c r="AH68" s="101">
        <v>0</v>
      </c>
      <c r="AI68" s="101">
        <v>12.23</v>
      </c>
      <c r="AJ68" s="12">
        <v>1846</v>
      </c>
      <c r="AK68" s="101">
        <v>0.42599999999999999</v>
      </c>
      <c r="AL68" s="101" t="s">
        <v>18</v>
      </c>
      <c r="AM68" s="101" t="s">
        <v>18</v>
      </c>
      <c r="AN68" s="101" t="s">
        <v>18</v>
      </c>
      <c r="AO68" s="101" t="s">
        <v>18</v>
      </c>
      <c r="AQ68" s="101">
        <v>1</v>
      </c>
      <c r="AS68" s="7">
        <v>42</v>
      </c>
      <c r="AT68" s="60">
        <f t="shared" si="10"/>
        <v>1.7108371249999994</v>
      </c>
      <c r="AU68" s="61">
        <f t="shared" si="11"/>
        <v>376.86449766667999</v>
      </c>
      <c r="AW68" s="60">
        <f t="shared" si="12"/>
        <v>1.7108371249999994</v>
      </c>
      <c r="AX68" s="61">
        <f t="shared" si="13"/>
        <v>376.86449766667999</v>
      </c>
      <c r="AZ68" s="23">
        <f t="shared" si="14"/>
        <v>1.4507964050000002</v>
      </c>
      <c r="BA68" s="103">
        <f t="shared" si="15"/>
        <v>349.04179053783997</v>
      </c>
      <c r="BC68" s="104">
        <f t="shared" si="16"/>
        <v>0.74978873000000035</v>
      </c>
      <c r="BD68" s="105">
        <f t="shared" si="17"/>
        <v>277.78123508767999</v>
      </c>
    </row>
    <row r="69" spans="1:56" s="101" customFormat="1" ht="14.4" x14ac:dyDescent="0.3">
      <c r="A69" s="101">
        <v>37</v>
      </c>
      <c r="B69" s="101" t="s">
        <v>205</v>
      </c>
      <c r="C69" s="20">
        <v>44106.421458333331</v>
      </c>
      <c r="D69" s="101" t="s">
        <v>25</v>
      </c>
      <c r="E69" s="101" t="s">
        <v>17</v>
      </c>
      <c r="F69" s="101">
        <v>0</v>
      </c>
      <c r="G69" s="101">
        <v>6.1050000000000004</v>
      </c>
      <c r="H69" s="12">
        <v>2736</v>
      </c>
      <c r="I69" s="101">
        <v>2E-3</v>
      </c>
      <c r="J69" s="101" t="s">
        <v>18</v>
      </c>
      <c r="K69" s="101" t="s">
        <v>18</v>
      </c>
      <c r="L69" s="101" t="s">
        <v>18</v>
      </c>
      <c r="M69" s="101" t="s">
        <v>18</v>
      </c>
      <c r="O69" s="101">
        <v>37</v>
      </c>
      <c r="P69" s="101" t="s">
        <v>205</v>
      </c>
      <c r="Q69" s="20">
        <v>44106.421458333331</v>
      </c>
      <c r="R69" s="101" t="s">
        <v>25</v>
      </c>
      <c r="S69" s="101" t="s">
        <v>17</v>
      </c>
      <c r="T69" s="101">
        <v>0</v>
      </c>
      <c r="U69" s="101" t="s">
        <v>18</v>
      </c>
      <c r="V69" s="101" t="s">
        <v>18</v>
      </c>
      <c r="W69" s="101" t="s">
        <v>18</v>
      </c>
      <c r="X69" s="101" t="s">
        <v>18</v>
      </c>
      <c r="Y69" s="101" t="s">
        <v>18</v>
      </c>
      <c r="Z69" s="101" t="s">
        <v>18</v>
      </c>
      <c r="AA69" s="101" t="s">
        <v>18</v>
      </c>
      <c r="AC69" s="101">
        <v>37</v>
      </c>
      <c r="AD69" s="101" t="s">
        <v>205</v>
      </c>
      <c r="AE69" s="20">
        <v>44106.421458333331</v>
      </c>
      <c r="AF69" s="101" t="s">
        <v>25</v>
      </c>
      <c r="AG69" s="101" t="s">
        <v>17</v>
      </c>
      <c r="AH69" s="101">
        <v>0</v>
      </c>
      <c r="AI69" s="101">
        <v>12.257</v>
      </c>
      <c r="AJ69" s="12">
        <v>1700</v>
      </c>
      <c r="AK69" s="101">
        <v>0.40699999999999997</v>
      </c>
      <c r="AL69" s="101" t="s">
        <v>18</v>
      </c>
      <c r="AM69" s="101" t="s">
        <v>18</v>
      </c>
      <c r="AN69" s="101" t="s">
        <v>18</v>
      </c>
      <c r="AO69" s="101" t="s">
        <v>18</v>
      </c>
      <c r="AQ69" s="101">
        <v>1</v>
      </c>
      <c r="AS69" s="7">
        <v>43</v>
      </c>
      <c r="AT69" s="60">
        <f t="shared" si="10"/>
        <v>3.1889510399999992</v>
      </c>
      <c r="AU69" s="61">
        <f t="shared" si="11"/>
        <v>349.8285947</v>
      </c>
      <c r="AW69" s="60">
        <f t="shared" si="12"/>
        <v>3.1889510399999992</v>
      </c>
      <c r="AX69" s="61">
        <f t="shared" si="13"/>
        <v>349.8285947</v>
      </c>
      <c r="AZ69" s="23">
        <f t="shared" si="14"/>
        <v>3.3109319167999995</v>
      </c>
      <c r="BA69" s="103">
        <f t="shared" si="15"/>
        <v>321.13500859999999</v>
      </c>
      <c r="BC69" s="104">
        <f t="shared" si="16"/>
        <v>1.5669580288</v>
      </c>
      <c r="BD69" s="105">
        <f t="shared" si="17"/>
        <v>247.61624719999998</v>
      </c>
    </row>
    <row r="70" spans="1:56" s="101" customFormat="1" ht="14.4" x14ac:dyDescent="0.3">
      <c r="A70" s="101">
        <v>37</v>
      </c>
      <c r="B70" s="101" t="s">
        <v>206</v>
      </c>
      <c r="C70" s="20">
        <v>44110.423055555555</v>
      </c>
      <c r="D70" s="101" t="s">
        <v>25</v>
      </c>
      <c r="E70" s="101" t="s">
        <v>17</v>
      </c>
      <c r="F70" s="101">
        <v>0</v>
      </c>
      <c r="G70" s="101">
        <v>6.0919999999999996</v>
      </c>
      <c r="H70" s="12">
        <v>2575</v>
      </c>
      <c r="I70" s="101">
        <v>2E-3</v>
      </c>
      <c r="J70" s="101" t="s">
        <v>18</v>
      </c>
      <c r="K70" s="101" t="s">
        <v>18</v>
      </c>
      <c r="L70" s="101" t="s">
        <v>18</v>
      </c>
      <c r="M70" s="101" t="s">
        <v>18</v>
      </c>
      <c r="O70" s="101">
        <v>37</v>
      </c>
      <c r="P70" s="101" t="s">
        <v>206</v>
      </c>
      <c r="Q70" s="20">
        <v>44110.423055555555</v>
      </c>
      <c r="R70" s="101" t="s">
        <v>25</v>
      </c>
      <c r="S70" s="101" t="s">
        <v>17</v>
      </c>
      <c r="T70" s="101">
        <v>0</v>
      </c>
      <c r="U70" s="101" t="s">
        <v>18</v>
      </c>
      <c r="V70" s="101" t="s">
        <v>18</v>
      </c>
      <c r="W70" s="101" t="s">
        <v>18</v>
      </c>
      <c r="X70" s="101" t="s">
        <v>18</v>
      </c>
      <c r="Y70" s="101" t="s">
        <v>18</v>
      </c>
      <c r="Z70" s="101" t="s">
        <v>18</v>
      </c>
      <c r="AA70" s="101" t="s">
        <v>18</v>
      </c>
      <c r="AC70" s="101">
        <v>37</v>
      </c>
      <c r="AD70" s="101" t="s">
        <v>206</v>
      </c>
      <c r="AE70" s="20">
        <v>44110.423055555555</v>
      </c>
      <c r="AF70" s="101" t="s">
        <v>25</v>
      </c>
      <c r="AG70" s="101" t="s">
        <v>17</v>
      </c>
      <c r="AH70" s="101">
        <v>0</v>
      </c>
      <c r="AI70" s="101">
        <v>12.249000000000001</v>
      </c>
      <c r="AJ70" s="12">
        <v>1641</v>
      </c>
      <c r="AK70" s="101">
        <v>0.39900000000000002</v>
      </c>
      <c r="AL70" s="101" t="s">
        <v>18</v>
      </c>
      <c r="AM70" s="101" t="s">
        <v>18</v>
      </c>
      <c r="AN70" s="101" t="s">
        <v>18</v>
      </c>
      <c r="AO70" s="101" t="s">
        <v>18</v>
      </c>
      <c r="AQ70" s="101">
        <v>1</v>
      </c>
      <c r="AS70" s="7">
        <v>44</v>
      </c>
      <c r="AT70" s="60">
        <f t="shared" si="10"/>
        <v>2.7352757812499995</v>
      </c>
      <c r="AU70" s="61">
        <f t="shared" si="11"/>
        <v>338.90236785962998</v>
      </c>
      <c r="AW70" s="60">
        <f t="shared" si="12"/>
        <v>2.7352757812499995</v>
      </c>
      <c r="AX70" s="61">
        <f t="shared" si="13"/>
        <v>338.90236785962998</v>
      </c>
      <c r="AZ70" s="23">
        <f t="shared" si="14"/>
        <v>2.7449802812499993</v>
      </c>
      <c r="BA70" s="103">
        <f t="shared" si="15"/>
        <v>309.85741375494001</v>
      </c>
      <c r="BC70" s="104">
        <f t="shared" si="16"/>
        <v>1.3082973125000004</v>
      </c>
      <c r="BD70" s="105">
        <f t="shared" si="17"/>
        <v>235.42597767688</v>
      </c>
    </row>
    <row r="71" spans="1:56" s="101" customFormat="1" ht="14.4" x14ac:dyDescent="0.3">
      <c r="A71" s="101">
        <v>37</v>
      </c>
      <c r="B71" s="101" t="s">
        <v>207</v>
      </c>
      <c r="C71" s="20">
        <v>44111.41369212963</v>
      </c>
      <c r="D71" s="101" t="s">
        <v>25</v>
      </c>
      <c r="E71" s="101" t="s">
        <v>17</v>
      </c>
      <c r="F71" s="101">
        <v>0</v>
      </c>
      <c r="G71" s="101">
        <v>6.0910000000000002</v>
      </c>
      <c r="H71" s="12">
        <v>3290</v>
      </c>
      <c r="I71" s="101">
        <v>3.0000000000000001E-3</v>
      </c>
      <c r="J71" s="101" t="s">
        <v>18</v>
      </c>
      <c r="K71" s="101" t="s">
        <v>18</v>
      </c>
      <c r="L71" s="101" t="s">
        <v>18</v>
      </c>
      <c r="M71" s="101" t="s">
        <v>18</v>
      </c>
      <c r="O71" s="101">
        <v>37</v>
      </c>
      <c r="P71" s="101" t="s">
        <v>207</v>
      </c>
      <c r="Q71" s="20">
        <v>44111.41369212963</v>
      </c>
      <c r="R71" s="101" t="s">
        <v>25</v>
      </c>
      <c r="S71" s="101" t="s">
        <v>17</v>
      </c>
      <c r="T71" s="101">
        <v>0</v>
      </c>
      <c r="U71" s="101" t="s">
        <v>18</v>
      </c>
      <c r="V71" s="101" t="s">
        <v>18</v>
      </c>
      <c r="W71" s="101" t="s">
        <v>18</v>
      </c>
      <c r="X71" s="101" t="s">
        <v>18</v>
      </c>
      <c r="Y71" s="101" t="s">
        <v>18</v>
      </c>
      <c r="Z71" s="101" t="s">
        <v>18</v>
      </c>
      <c r="AA71" s="101" t="s">
        <v>18</v>
      </c>
      <c r="AC71" s="101">
        <v>37</v>
      </c>
      <c r="AD71" s="101" t="s">
        <v>207</v>
      </c>
      <c r="AE71" s="20">
        <v>44111.41369212963</v>
      </c>
      <c r="AF71" s="101" t="s">
        <v>25</v>
      </c>
      <c r="AG71" s="101" t="s">
        <v>17</v>
      </c>
      <c r="AH71" s="101">
        <v>0</v>
      </c>
      <c r="AI71" s="101">
        <v>12.234</v>
      </c>
      <c r="AJ71" s="12">
        <v>2882</v>
      </c>
      <c r="AK71" s="101">
        <v>0.56699999999999995</v>
      </c>
      <c r="AL71" s="101" t="s">
        <v>18</v>
      </c>
      <c r="AM71" s="101" t="s">
        <v>18</v>
      </c>
      <c r="AN71" s="101" t="s">
        <v>18</v>
      </c>
      <c r="AO71" s="101" t="s">
        <v>18</v>
      </c>
      <c r="AQ71" s="101">
        <v>1</v>
      </c>
      <c r="AS71" s="7">
        <v>45</v>
      </c>
      <c r="AT71" s="60">
        <f t="shared" si="10"/>
        <v>4.7584621249999994</v>
      </c>
      <c r="AU71" s="61">
        <f t="shared" si="11"/>
        <v>568.63143715052001</v>
      </c>
      <c r="AW71" s="60">
        <f t="shared" si="12"/>
        <v>4.7584621249999994</v>
      </c>
      <c r="AX71" s="61">
        <f t="shared" si="13"/>
        <v>568.63143715052001</v>
      </c>
      <c r="AZ71" s="23">
        <f t="shared" si="14"/>
        <v>5.2354134049999992</v>
      </c>
      <c r="BA71" s="103">
        <f t="shared" si="15"/>
        <v>547.04534567576013</v>
      </c>
      <c r="BC71" s="104">
        <f t="shared" si="16"/>
        <v>2.5145627299999997</v>
      </c>
      <c r="BD71" s="105">
        <f t="shared" si="17"/>
        <v>491.79743281952</v>
      </c>
    </row>
    <row r="72" spans="1:56" s="101" customFormat="1" ht="14.4" x14ac:dyDescent="0.3">
      <c r="A72" s="101">
        <v>37</v>
      </c>
      <c r="B72" s="101" t="s">
        <v>208</v>
      </c>
      <c r="C72" s="20">
        <v>44118.511516203704</v>
      </c>
      <c r="D72" s="101" t="s">
        <v>25</v>
      </c>
      <c r="E72" s="101" t="s">
        <v>17</v>
      </c>
      <c r="F72" s="101">
        <v>0</v>
      </c>
      <c r="G72" s="101">
        <v>6.093</v>
      </c>
      <c r="H72" s="12">
        <v>2802</v>
      </c>
      <c r="I72" s="101">
        <v>2E-3</v>
      </c>
      <c r="J72" s="101" t="s">
        <v>18</v>
      </c>
      <c r="K72" s="101" t="s">
        <v>18</v>
      </c>
      <c r="L72" s="101" t="s">
        <v>18</v>
      </c>
      <c r="M72" s="101" t="s">
        <v>18</v>
      </c>
      <c r="O72" s="101">
        <v>37</v>
      </c>
      <c r="P72" s="101" t="s">
        <v>208</v>
      </c>
      <c r="Q72" s="20">
        <v>44118.511516203704</v>
      </c>
      <c r="R72" s="101" t="s">
        <v>25</v>
      </c>
      <c r="S72" s="101" t="s">
        <v>17</v>
      </c>
      <c r="T72" s="101">
        <v>0</v>
      </c>
      <c r="U72" s="101" t="s">
        <v>18</v>
      </c>
      <c r="V72" s="101" t="s">
        <v>18</v>
      </c>
      <c r="W72" s="101" t="s">
        <v>18</v>
      </c>
      <c r="X72" s="101" t="s">
        <v>18</v>
      </c>
      <c r="Y72" s="101" t="s">
        <v>18</v>
      </c>
      <c r="Z72" s="101" t="s">
        <v>18</v>
      </c>
      <c r="AA72" s="101" t="s">
        <v>18</v>
      </c>
      <c r="AC72" s="101">
        <v>37</v>
      </c>
      <c r="AD72" s="101" t="s">
        <v>208</v>
      </c>
      <c r="AE72" s="20">
        <v>44118.511516203704</v>
      </c>
      <c r="AF72" s="101" t="s">
        <v>25</v>
      </c>
      <c r="AG72" s="101" t="s">
        <v>17</v>
      </c>
      <c r="AH72" s="101">
        <v>0</v>
      </c>
      <c r="AI72" s="101">
        <v>12.237</v>
      </c>
      <c r="AJ72" s="12">
        <v>1535</v>
      </c>
      <c r="AK72" s="101">
        <v>0.38400000000000001</v>
      </c>
      <c r="AL72" s="101" t="s">
        <v>18</v>
      </c>
      <c r="AM72" s="101" t="s">
        <v>18</v>
      </c>
      <c r="AN72" s="101" t="s">
        <v>18</v>
      </c>
      <c r="AO72" s="101" t="s">
        <v>18</v>
      </c>
      <c r="AQ72" s="101">
        <v>1</v>
      </c>
      <c r="AS72" s="7">
        <v>46</v>
      </c>
      <c r="AT72" s="60">
        <f t="shared" si="10"/>
        <v>3.375248085</v>
      </c>
      <c r="AU72" s="61">
        <f t="shared" si="11"/>
        <v>319.27109975675</v>
      </c>
      <c r="AW72" s="60">
        <f t="shared" si="12"/>
        <v>3.375248085</v>
      </c>
      <c r="AX72" s="61">
        <f t="shared" si="13"/>
        <v>319.27109975675</v>
      </c>
      <c r="AZ72" s="23">
        <f t="shared" si="14"/>
        <v>3.5420687282000003</v>
      </c>
      <c r="BA72" s="103">
        <f t="shared" si="15"/>
        <v>289.59568778150003</v>
      </c>
      <c r="BC72" s="104">
        <f t="shared" si="16"/>
        <v>1.6751697412000002</v>
      </c>
      <c r="BD72" s="105">
        <f t="shared" si="17"/>
        <v>213.524369138</v>
      </c>
    </row>
    <row r="73" spans="1:56" s="101" customFormat="1" ht="14.4" x14ac:dyDescent="0.3">
      <c r="A73" s="101">
        <v>37</v>
      </c>
      <c r="B73" s="101" t="s">
        <v>209</v>
      </c>
      <c r="C73" s="20">
        <v>44119.478043981479</v>
      </c>
      <c r="D73" s="101" t="s">
        <v>25</v>
      </c>
      <c r="E73" s="101" t="s">
        <v>17</v>
      </c>
      <c r="F73" s="101">
        <v>0</v>
      </c>
      <c r="G73" s="101">
        <v>6.0970000000000004</v>
      </c>
      <c r="H73" s="12">
        <v>2844</v>
      </c>
      <c r="I73" s="101">
        <v>2E-3</v>
      </c>
      <c r="J73" s="101" t="s">
        <v>18</v>
      </c>
      <c r="K73" s="101" t="s">
        <v>18</v>
      </c>
      <c r="L73" s="101" t="s">
        <v>18</v>
      </c>
      <c r="M73" s="101" t="s">
        <v>18</v>
      </c>
      <c r="O73" s="101">
        <v>37</v>
      </c>
      <c r="P73" s="101" t="s">
        <v>209</v>
      </c>
      <c r="Q73" s="20">
        <v>44119.478043981479</v>
      </c>
      <c r="R73" s="101" t="s">
        <v>25</v>
      </c>
      <c r="S73" s="101" t="s">
        <v>17</v>
      </c>
      <c r="T73" s="101">
        <v>0</v>
      </c>
      <c r="U73" s="101" t="s">
        <v>18</v>
      </c>
      <c r="V73" s="101" t="s">
        <v>18</v>
      </c>
      <c r="W73" s="101" t="s">
        <v>18</v>
      </c>
      <c r="X73" s="101" t="s">
        <v>18</v>
      </c>
      <c r="Y73" s="101" t="s">
        <v>18</v>
      </c>
      <c r="Z73" s="101" t="s">
        <v>18</v>
      </c>
      <c r="AA73" s="101" t="s">
        <v>18</v>
      </c>
      <c r="AC73" s="101">
        <v>37</v>
      </c>
      <c r="AD73" s="101" t="s">
        <v>209</v>
      </c>
      <c r="AE73" s="20">
        <v>44119.478043981479</v>
      </c>
      <c r="AF73" s="101" t="s">
        <v>25</v>
      </c>
      <c r="AG73" s="101" t="s">
        <v>17</v>
      </c>
      <c r="AH73" s="101">
        <v>0</v>
      </c>
      <c r="AI73" s="101">
        <v>12.231999999999999</v>
      </c>
      <c r="AJ73" s="12">
        <v>2216</v>
      </c>
      <c r="AK73" s="101">
        <v>0.47699999999999998</v>
      </c>
      <c r="AL73" s="101" t="s">
        <v>18</v>
      </c>
      <c r="AM73" s="101" t="s">
        <v>18</v>
      </c>
      <c r="AN73" s="101" t="s">
        <v>18</v>
      </c>
      <c r="AO73" s="101" t="s">
        <v>18</v>
      </c>
      <c r="AQ73" s="101">
        <v>1</v>
      </c>
      <c r="AS73" s="7">
        <v>47</v>
      </c>
      <c r="AT73" s="60">
        <f t="shared" si="10"/>
        <v>3.4938971399999996</v>
      </c>
      <c r="AU73" s="61">
        <f t="shared" si="11"/>
        <v>445.36815812288</v>
      </c>
      <c r="AW73" s="60">
        <f t="shared" si="12"/>
        <v>3.4938971399999996</v>
      </c>
      <c r="AX73" s="61">
        <f t="shared" si="13"/>
        <v>445.36815812288</v>
      </c>
      <c r="AZ73" s="23">
        <f t="shared" si="14"/>
        <v>3.6888929287999996</v>
      </c>
      <c r="BA73" s="103">
        <f t="shared" si="15"/>
        <v>419.76135273343999</v>
      </c>
      <c r="BC73" s="104">
        <f t="shared" si="16"/>
        <v>1.7446908208000005</v>
      </c>
      <c r="BD73" s="105">
        <f t="shared" si="17"/>
        <v>354.22188005888</v>
      </c>
    </row>
    <row r="74" spans="1:56" s="101" customFormat="1" ht="14.4" x14ac:dyDescent="0.3">
      <c r="A74" s="101">
        <v>37</v>
      </c>
      <c r="B74" s="101" t="s">
        <v>210</v>
      </c>
      <c r="C74" s="20">
        <v>44124.425856481481</v>
      </c>
      <c r="D74" s="101" t="s">
        <v>25</v>
      </c>
      <c r="E74" s="101" t="s">
        <v>17</v>
      </c>
      <c r="F74" s="101">
        <v>0</v>
      </c>
      <c r="G74" s="101">
        <v>6.0940000000000003</v>
      </c>
      <c r="H74" s="12">
        <v>2737</v>
      </c>
      <c r="I74" s="101">
        <v>2E-3</v>
      </c>
      <c r="J74" s="101" t="s">
        <v>18</v>
      </c>
      <c r="K74" s="101" t="s">
        <v>18</v>
      </c>
      <c r="L74" s="101" t="s">
        <v>18</v>
      </c>
      <c r="M74" s="101" t="s">
        <v>18</v>
      </c>
      <c r="O74" s="101">
        <v>37</v>
      </c>
      <c r="P74" s="101" t="s">
        <v>210</v>
      </c>
      <c r="Q74" s="20">
        <v>44124.425856481481</v>
      </c>
      <c r="R74" s="101" t="s">
        <v>25</v>
      </c>
      <c r="S74" s="101" t="s">
        <v>17</v>
      </c>
      <c r="T74" s="101">
        <v>0</v>
      </c>
      <c r="U74" s="101" t="s">
        <v>18</v>
      </c>
      <c r="V74" s="101" t="s">
        <v>18</v>
      </c>
      <c r="W74" s="101" t="s">
        <v>18</v>
      </c>
      <c r="X74" s="101" t="s">
        <v>18</v>
      </c>
      <c r="Y74" s="101" t="s">
        <v>18</v>
      </c>
      <c r="Z74" s="101" t="s">
        <v>18</v>
      </c>
      <c r="AA74" s="101" t="s">
        <v>18</v>
      </c>
      <c r="AC74" s="101">
        <v>37</v>
      </c>
      <c r="AD74" s="101" t="s">
        <v>210</v>
      </c>
      <c r="AE74" s="20">
        <v>44124.425856481481</v>
      </c>
      <c r="AF74" s="101" t="s">
        <v>25</v>
      </c>
      <c r="AG74" s="101" t="s">
        <v>17</v>
      </c>
      <c r="AH74" s="101">
        <v>0</v>
      </c>
      <c r="AI74" s="101">
        <v>12.205</v>
      </c>
      <c r="AJ74" s="12">
        <v>1859</v>
      </c>
      <c r="AK74" s="101">
        <v>0.42799999999999999</v>
      </c>
      <c r="AL74" s="101" t="s">
        <v>18</v>
      </c>
      <c r="AM74" s="101" t="s">
        <v>18</v>
      </c>
      <c r="AN74" s="101" t="s">
        <v>18</v>
      </c>
      <c r="AO74" s="101" t="s">
        <v>18</v>
      </c>
      <c r="AQ74" s="101">
        <v>1</v>
      </c>
      <c r="AS74" s="7">
        <v>48</v>
      </c>
      <c r="AT74" s="60">
        <f t="shared" si="10"/>
        <v>3.1917723412499992</v>
      </c>
      <c r="AU74" s="61">
        <f t="shared" si="11"/>
        <v>379.27167434963002</v>
      </c>
      <c r="AW74" s="60">
        <f t="shared" si="12"/>
        <v>3.1917723412499992</v>
      </c>
      <c r="AX74" s="61">
        <f t="shared" si="13"/>
        <v>379.27167434963002</v>
      </c>
      <c r="AZ74" s="23">
        <f t="shared" si="14"/>
        <v>3.3144377564500012</v>
      </c>
      <c r="BA74" s="103">
        <f t="shared" si="15"/>
        <v>351.52660737494</v>
      </c>
      <c r="BC74" s="104">
        <f t="shared" si="16"/>
        <v>1.5685881556999999</v>
      </c>
      <c r="BD74" s="105">
        <f t="shared" si="17"/>
        <v>280.46710591687997</v>
      </c>
    </row>
    <row r="75" spans="1:56" s="101" customFormat="1" ht="14.4" x14ac:dyDescent="0.3">
      <c r="A75" s="27">
        <v>37</v>
      </c>
      <c r="B75" s="101" t="s">
        <v>211</v>
      </c>
      <c r="C75" s="20">
        <v>44131.448321759257</v>
      </c>
      <c r="D75" s="101" t="s">
        <v>25</v>
      </c>
      <c r="E75" s="101" t="s">
        <v>17</v>
      </c>
      <c r="F75" s="101">
        <v>0</v>
      </c>
      <c r="G75" s="101">
        <v>6.0880000000000001</v>
      </c>
      <c r="H75" s="12">
        <v>2984</v>
      </c>
      <c r="I75" s="101">
        <v>3.0000000000000001E-3</v>
      </c>
      <c r="J75" s="101" t="s">
        <v>18</v>
      </c>
      <c r="K75" s="101" t="s">
        <v>18</v>
      </c>
      <c r="L75" s="101" t="s">
        <v>18</v>
      </c>
      <c r="M75" s="101" t="s">
        <v>18</v>
      </c>
      <c r="O75" s="101">
        <v>37</v>
      </c>
      <c r="P75" s="101" t="s">
        <v>211</v>
      </c>
      <c r="Q75" s="20">
        <v>44131.448321759257</v>
      </c>
      <c r="R75" s="101" t="s">
        <v>25</v>
      </c>
      <c r="S75" s="101" t="s">
        <v>17</v>
      </c>
      <c r="T75" s="101">
        <v>0</v>
      </c>
      <c r="U75" s="101" t="s">
        <v>18</v>
      </c>
      <c r="V75" s="101" t="s">
        <v>18</v>
      </c>
      <c r="W75" s="101" t="s">
        <v>18</v>
      </c>
      <c r="X75" s="101" t="s">
        <v>18</v>
      </c>
      <c r="Y75" s="101" t="s">
        <v>18</v>
      </c>
      <c r="Z75" s="101" t="s">
        <v>18</v>
      </c>
      <c r="AA75" s="101" t="s">
        <v>18</v>
      </c>
      <c r="AC75" s="101">
        <v>37</v>
      </c>
      <c r="AD75" s="101" t="s">
        <v>211</v>
      </c>
      <c r="AE75" s="20">
        <v>44131.448321759257</v>
      </c>
      <c r="AF75" s="101" t="s">
        <v>25</v>
      </c>
      <c r="AG75" s="101" t="s">
        <v>17</v>
      </c>
      <c r="AH75" s="101">
        <v>0</v>
      </c>
      <c r="AI75" s="101">
        <v>12.218</v>
      </c>
      <c r="AJ75" s="12">
        <v>2211</v>
      </c>
      <c r="AK75" s="101">
        <v>0.47599999999999998</v>
      </c>
      <c r="AL75" s="101" t="s">
        <v>18</v>
      </c>
      <c r="AM75" s="101" t="s">
        <v>18</v>
      </c>
      <c r="AN75" s="101" t="s">
        <v>18</v>
      </c>
      <c r="AO75" s="101" t="s">
        <v>18</v>
      </c>
      <c r="AQ75" s="101">
        <v>1</v>
      </c>
      <c r="AS75" s="7">
        <v>49</v>
      </c>
      <c r="AT75" s="60">
        <f t="shared" si="10"/>
        <v>3.8899354399999986</v>
      </c>
      <c r="AU75" s="61">
        <f t="shared" si="11"/>
        <v>444.44254753682998</v>
      </c>
      <c r="AW75" s="60">
        <f t="shared" si="12"/>
        <v>3.8899354399999986</v>
      </c>
      <c r="AX75" s="61">
        <f t="shared" si="13"/>
        <v>444.44254753682998</v>
      </c>
      <c r="AZ75" s="23">
        <f t="shared" si="14"/>
        <v>4.1768303648000007</v>
      </c>
      <c r="BA75" s="103">
        <f t="shared" si="15"/>
        <v>418.80571264854001</v>
      </c>
      <c r="BC75" s="104">
        <f t="shared" si="16"/>
        <v>1.9801299967999999</v>
      </c>
      <c r="BD75" s="105">
        <f t="shared" si="17"/>
        <v>353.18894494407999</v>
      </c>
    </row>
    <row r="76" spans="1:56" s="101" customFormat="1" ht="14.4" x14ac:dyDescent="0.3">
      <c r="A76" s="101">
        <v>37</v>
      </c>
      <c r="B76" s="101" t="s">
        <v>212</v>
      </c>
      <c r="C76" s="20">
        <v>44133.528877314813</v>
      </c>
      <c r="D76" s="101" t="s">
        <v>25</v>
      </c>
      <c r="E76" s="101" t="s">
        <v>17</v>
      </c>
      <c r="F76" s="101">
        <v>0</v>
      </c>
      <c r="G76" s="101">
        <v>6.1020000000000003</v>
      </c>
      <c r="H76" s="12">
        <v>2917</v>
      </c>
      <c r="I76" s="101">
        <v>2E-3</v>
      </c>
      <c r="J76" s="101" t="s">
        <v>18</v>
      </c>
      <c r="K76" s="101" t="s">
        <v>18</v>
      </c>
      <c r="L76" s="101" t="s">
        <v>18</v>
      </c>
      <c r="M76" s="101" t="s">
        <v>18</v>
      </c>
      <c r="O76" s="101">
        <v>37</v>
      </c>
      <c r="P76" s="101" t="s">
        <v>212</v>
      </c>
      <c r="Q76" s="20">
        <v>44133.528877314813</v>
      </c>
      <c r="R76" s="101" t="s">
        <v>25</v>
      </c>
      <c r="S76" s="101" t="s">
        <v>17</v>
      </c>
      <c r="T76" s="101">
        <v>0</v>
      </c>
      <c r="U76" s="101" t="s">
        <v>18</v>
      </c>
      <c r="V76" s="101" t="s">
        <v>18</v>
      </c>
      <c r="W76" s="101" t="s">
        <v>18</v>
      </c>
      <c r="X76" s="101" t="s">
        <v>18</v>
      </c>
      <c r="Y76" s="101" t="s">
        <v>18</v>
      </c>
      <c r="Z76" s="101" t="s">
        <v>18</v>
      </c>
      <c r="AA76" s="101" t="s">
        <v>18</v>
      </c>
      <c r="AC76" s="101">
        <v>37</v>
      </c>
      <c r="AD76" s="101" t="s">
        <v>212</v>
      </c>
      <c r="AE76" s="20">
        <v>44133.528877314813</v>
      </c>
      <c r="AF76" s="101" t="s">
        <v>25</v>
      </c>
      <c r="AG76" s="101" t="s">
        <v>17</v>
      </c>
      <c r="AH76" s="101">
        <v>0</v>
      </c>
      <c r="AI76" s="101">
        <v>12.238</v>
      </c>
      <c r="AJ76" s="12">
        <v>1969</v>
      </c>
      <c r="AK76" s="101">
        <v>0.443</v>
      </c>
      <c r="AL76" s="101" t="s">
        <v>18</v>
      </c>
      <c r="AM76" s="101" t="s">
        <v>18</v>
      </c>
      <c r="AN76" s="101" t="s">
        <v>18</v>
      </c>
      <c r="AO76" s="101" t="s">
        <v>18</v>
      </c>
      <c r="AQ76" s="101">
        <v>1</v>
      </c>
      <c r="AS76" s="7">
        <v>50</v>
      </c>
      <c r="AT76" s="60">
        <f t="shared" si="10"/>
        <v>3.7002988912500001</v>
      </c>
      <c r="AU76" s="61">
        <f t="shared" si="11"/>
        <v>399.63924315803001</v>
      </c>
      <c r="AW76" s="60">
        <f t="shared" si="12"/>
        <v>3.7002988912500001</v>
      </c>
      <c r="AX76" s="61">
        <f t="shared" si="13"/>
        <v>399.63924315803001</v>
      </c>
      <c r="AZ76" s="23">
        <f t="shared" si="14"/>
        <v>3.9436008824499993</v>
      </c>
      <c r="BA76" s="103">
        <f t="shared" si="15"/>
        <v>372.55176061413999</v>
      </c>
      <c r="BC76" s="104">
        <f t="shared" si="16"/>
        <v>1.8667448717000001</v>
      </c>
      <c r="BD76" s="105">
        <f t="shared" si="17"/>
        <v>303.19335995528002</v>
      </c>
    </row>
    <row r="77" spans="1:56" s="101" customFormat="1" ht="14.4" x14ac:dyDescent="0.3">
      <c r="A77" s="101">
        <v>37</v>
      </c>
      <c r="B77" s="101" t="s">
        <v>213</v>
      </c>
      <c r="C77" s="20">
        <v>44138.442881944444</v>
      </c>
      <c r="D77" s="101" t="s">
        <v>25</v>
      </c>
      <c r="E77" s="101" t="s">
        <v>17</v>
      </c>
      <c r="F77" s="101">
        <v>0</v>
      </c>
      <c r="G77" s="101">
        <v>6.1379999999999999</v>
      </c>
      <c r="H77" s="12">
        <v>2557</v>
      </c>
      <c r="I77" s="101">
        <v>2E-3</v>
      </c>
      <c r="J77" s="101" t="s">
        <v>18</v>
      </c>
      <c r="K77" s="101" t="s">
        <v>18</v>
      </c>
      <c r="L77" s="101" t="s">
        <v>18</v>
      </c>
      <c r="M77" s="101" t="s">
        <v>18</v>
      </c>
      <c r="O77" s="101">
        <v>37</v>
      </c>
      <c r="P77" s="101" t="s">
        <v>213</v>
      </c>
      <c r="Q77" s="20">
        <v>44138.442881944444</v>
      </c>
      <c r="R77" s="101" t="s">
        <v>25</v>
      </c>
      <c r="S77" s="101" t="s">
        <v>17</v>
      </c>
      <c r="T77" s="101">
        <v>0</v>
      </c>
      <c r="U77" s="101" t="s">
        <v>18</v>
      </c>
      <c r="V77" s="101" t="s">
        <v>18</v>
      </c>
      <c r="W77" s="101" t="s">
        <v>18</v>
      </c>
      <c r="X77" s="101" t="s">
        <v>18</v>
      </c>
      <c r="Y77" s="101" t="s">
        <v>18</v>
      </c>
      <c r="Z77" s="101" t="s">
        <v>18</v>
      </c>
      <c r="AA77" s="101" t="s">
        <v>18</v>
      </c>
      <c r="AC77" s="101">
        <v>37</v>
      </c>
      <c r="AD77" s="101" t="s">
        <v>213</v>
      </c>
      <c r="AE77" s="20">
        <v>44138.442881944444</v>
      </c>
      <c r="AF77" s="101" t="s">
        <v>25</v>
      </c>
      <c r="AG77" s="101" t="s">
        <v>17</v>
      </c>
      <c r="AH77" s="101">
        <v>0</v>
      </c>
      <c r="AI77" s="101">
        <v>12.295999999999999</v>
      </c>
      <c r="AJ77" s="12">
        <v>1699</v>
      </c>
      <c r="AK77" s="101">
        <v>0.40600000000000003</v>
      </c>
      <c r="AL77" s="101" t="s">
        <v>18</v>
      </c>
      <c r="AM77" s="101" t="s">
        <v>18</v>
      </c>
      <c r="AN77" s="101" t="s">
        <v>18</v>
      </c>
      <c r="AO77" s="101" t="s">
        <v>18</v>
      </c>
      <c r="AQ77" s="101">
        <v>1</v>
      </c>
      <c r="AS77" s="7">
        <v>51</v>
      </c>
      <c r="AT77" s="60">
        <f t="shared" si="10"/>
        <v>2.6846227912499998</v>
      </c>
      <c r="AU77" s="61">
        <f t="shared" si="11"/>
        <v>349.64340805523</v>
      </c>
      <c r="AW77" s="60">
        <f t="shared" si="12"/>
        <v>2.6846227912499998</v>
      </c>
      <c r="AX77" s="61">
        <f t="shared" si="13"/>
        <v>349.64340805523</v>
      </c>
      <c r="AZ77" s="23">
        <f t="shared" si="14"/>
        <v>2.6815194704500005</v>
      </c>
      <c r="BA77" s="103">
        <f t="shared" si="15"/>
        <v>320.94386386774005</v>
      </c>
      <c r="BC77" s="104">
        <f t="shared" si="16"/>
        <v>1.2798468796999998</v>
      </c>
      <c r="BD77" s="105">
        <f t="shared" si="17"/>
        <v>247.40963394248001</v>
      </c>
    </row>
    <row r="78" spans="1:56" s="101" customFormat="1" ht="14.4" x14ac:dyDescent="0.3">
      <c r="A78" s="101">
        <v>37</v>
      </c>
      <c r="B78" s="101" t="s">
        <v>214</v>
      </c>
      <c r="C78" s="20">
        <v>44140.434560185182</v>
      </c>
      <c r="D78" s="101" t="s">
        <v>25</v>
      </c>
      <c r="E78" s="101" t="s">
        <v>17</v>
      </c>
      <c r="F78" s="101">
        <v>0</v>
      </c>
      <c r="G78" s="101">
        <v>6.1109999999999998</v>
      </c>
      <c r="H78" s="12">
        <v>3303</v>
      </c>
      <c r="I78" s="101">
        <v>3.0000000000000001E-3</v>
      </c>
      <c r="J78" s="101" t="s">
        <v>18</v>
      </c>
      <c r="K78" s="101" t="s">
        <v>18</v>
      </c>
      <c r="L78" s="101" t="s">
        <v>18</v>
      </c>
      <c r="M78" s="101" t="s">
        <v>18</v>
      </c>
      <c r="O78" s="101">
        <v>37</v>
      </c>
      <c r="P78" s="101" t="s">
        <v>214</v>
      </c>
      <c r="Q78" s="20">
        <v>44140.434560185182</v>
      </c>
      <c r="R78" s="101" t="s">
        <v>25</v>
      </c>
      <c r="S78" s="101" t="s">
        <v>17</v>
      </c>
      <c r="T78" s="101">
        <v>0</v>
      </c>
      <c r="U78" s="101" t="s">
        <v>18</v>
      </c>
      <c r="V78" s="101" t="s">
        <v>18</v>
      </c>
      <c r="W78" s="101" t="s">
        <v>18</v>
      </c>
      <c r="X78" s="101" t="s">
        <v>18</v>
      </c>
      <c r="Y78" s="101" t="s">
        <v>18</v>
      </c>
      <c r="Z78" s="101" t="s">
        <v>18</v>
      </c>
      <c r="AA78" s="101" t="s">
        <v>18</v>
      </c>
      <c r="AC78" s="101">
        <v>37</v>
      </c>
      <c r="AD78" s="101" t="s">
        <v>214</v>
      </c>
      <c r="AE78" s="20">
        <v>44140.434560185182</v>
      </c>
      <c r="AF78" s="101" t="s">
        <v>25</v>
      </c>
      <c r="AG78" s="101" t="s">
        <v>17</v>
      </c>
      <c r="AH78" s="101">
        <v>0</v>
      </c>
      <c r="AI78" s="101">
        <v>12.282</v>
      </c>
      <c r="AJ78" s="12">
        <v>2199</v>
      </c>
      <c r="AK78" s="101">
        <v>0.47399999999999998</v>
      </c>
      <c r="AL78" s="101" t="s">
        <v>18</v>
      </c>
      <c r="AM78" s="101" t="s">
        <v>18</v>
      </c>
      <c r="AN78" s="101" t="s">
        <v>18</v>
      </c>
      <c r="AO78" s="101" t="s">
        <v>18</v>
      </c>
      <c r="AQ78" s="101">
        <v>1</v>
      </c>
      <c r="AS78" s="7">
        <v>52</v>
      </c>
      <c r="AT78" s="60">
        <f t="shared" si="10"/>
        <v>4.7954484412499987</v>
      </c>
      <c r="AU78" s="61">
        <f t="shared" si="11"/>
        <v>442.22106932523002</v>
      </c>
      <c r="AW78" s="60">
        <f t="shared" si="12"/>
        <v>4.7954484412499987</v>
      </c>
      <c r="AX78" s="61">
        <f t="shared" si="13"/>
        <v>442.22106932523002</v>
      </c>
      <c r="AZ78" s="23">
        <f t="shared" si="14"/>
        <v>5.2801455684499992</v>
      </c>
      <c r="BA78" s="103">
        <f t="shared" si="15"/>
        <v>416.51217312774003</v>
      </c>
      <c r="BC78" s="104">
        <f t="shared" si="16"/>
        <v>2.5378699477000008</v>
      </c>
      <c r="BD78" s="105">
        <f t="shared" si="17"/>
        <v>350.70989546248001</v>
      </c>
    </row>
    <row r="79" spans="1:56" s="101" customFormat="1" ht="14.4" x14ac:dyDescent="0.3">
      <c r="A79" s="101">
        <v>37</v>
      </c>
      <c r="B79" s="101" t="s">
        <v>215</v>
      </c>
      <c r="C79" s="20">
        <v>44145.622662037036</v>
      </c>
      <c r="D79" s="101" t="s">
        <v>25</v>
      </c>
      <c r="E79" s="101" t="s">
        <v>17</v>
      </c>
      <c r="F79" s="101">
        <v>0</v>
      </c>
      <c r="G79" s="101">
        <v>6.0960000000000001</v>
      </c>
      <c r="H79" s="12">
        <v>3182</v>
      </c>
      <c r="I79" s="101">
        <v>3.0000000000000001E-3</v>
      </c>
      <c r="J79" s="101" t="s">
        <v>18</v>
      </c>
      <c r="K79" s="101" t="s">
        <v>18</v>
      </c>
      <c r="L79" s="101" t="s">
        <v>18</v>
      </c>
      <c r="M79" s="101" t="s">
        <v>18</v>
      </c>
      <c r="O79" s="101">
        <v>37</v>
      </c>
      <c r="P79" s="101" t="s">
        <v>215</v>
      </c>
      <c r="Q79" s="20">
        <v>44145.622662037036</v>
      </c>
      <c r="R79" s="101" t="s">
        <v>25</v>
      </c>
      <c r="S79" s="101" t="s">
        <v>17</v>
      </c>
      <c r="T79" s="101">
        <v>0</v>
      </c>
      <c r="U79" s="101" t="s">
        <v>18</v>
      </c>
      <c r="V79" s="101" t="s">
        <v>18</v>
      </c>
      <c r="W79" s="101" t="s">
        <v>18</v>
      </c>
      <c r="X79" s="101" t="s">
        <v>18</v>
      </c>
      <c r="Y79" s="101" t="s">
        <v>18</v>
      </c>
      <c r="Z79" s="101" t="s">
        <v>18</v>
      </c>
      <c r="AA79" s="101" t="s">
        <v>18</v>
      </c>
      <c r="AC79" s="101">
        <v>37</v>
      </c>
      <c r="AD79" s="101" t="s">
        <v>215</v>
      </c>
      <c r="AE79" s="20">
        <v>44145.622662037036</v>
      </c>
      <c r="AF79" s="101" t="s">
        <v>25</v>
      </c>
      <c r="AG79" s="101" t="s">
        <v>17</v>
      </c>
      <c r="AH79" s="101">
        <v>0</v>
      </c>
      <c r="AI79" s="101">
        <v>12.244999999999999</v>
      </c>
      <c r="AJ79" s="12">
        <v>2089</v>
      </c>
      <c r="AK79" s="101">
        <v>0.45900000000000002</v>
      </c>
      <c r="AL79" s="101" t="s">
        <v>18</v>
      </c>
      <c r="AM79" s="101" t="s">
        <v>18</v>
      </c>
      <c r="AN79" s="101" t="s">
        <v>18</v>
      </c>
      <c r="AO79" s="101" t="s">
        <v>18</v>
      </c>
      <c r="AQ79" s="101">
        <v>1</v>
      </c>
      <c r="AS79" s="7">
        <v>53</v>
      </c>
      <c r="AT79" s="60">
        <f t="shared" si="10"/>
        <v>4.4514688849999988</v>
      </c>
      <c r="AU79" s="61">
        <f t="shared" si="11"/>
        <v>421.85667667883001</v>
      </c>
      <c r="AW79" s="60">
        <f t="shared" si="12"/>
        <v>4.4514688849999988</v>
      </c>
      <c r="AX79" s="61">
        <f t="shared" si="13"/>
        <v>421.85667667883001</v>
      </c>
      <c r="AZ79" s="23">
        <f t="shared" si="14"/>
        <v>4.8630350642</v>
      </c>
      <c r="BA79" s="103">
        <f t="shared" si="15"/>
        <v>395.48784264454002</v>
      </c>
      <c r="BC79" s="104">
        <f t="shared" si="16"/>
        <v>2.3228323171999996</v>
      </c>
      <c r="BD79" s="105">
        <f t="shared" si="17"/>
        <v>327.98493273608</v>
      </c>
    </row>
    <row r="80" spans="1:56" s="101" customFormat="1" ht="14.4" x14ac:dyDescent="0.3">
      <c r="A80" s="101">
        <v>37</v>
      </c>
      <c r="B80" s="101" t="s">
        <v>216</v>
      </c>
      <c r="C80" s="20">
        <v>44146.388912037037</v>
      </c>
      <c r="D80" s="101" t="s">
        <v>25</v>
      </c>
      <c r="E80" s="101" t="s">
        <v>17</v>
      </c>
      <c r="F80" s="101">
        <v>0</v>
      </c>
      <c r="G80" s="101">
        <v>6.1020000000000003</v>
      </c>
      <c r="H80" s="12">
        <v>3132</v>
      </c>
      <c r="I80" s="101">
        <v>3.0000000000000001E-3</v>
      </c>
      <c r="J80" s="101" t="s">
        <v>18</v>
      </c>
      <c r="K80" s="101" t="s">
        <v>18</v>
      </c>
      <c r="L80" s="101" t="s">
        <v>18</v>
      </c>
      <c r="M80" s="101" t="s">
        <v>18</v>
      </c>
      <c r="O80" s="101">
        <v>37</v>
      </c>
      <c r="P80" s="101" t="s">
        <v>216</v>
      </c>
      <c r="Q80" s="20">
        <v>44146.388912037037</v>
      </c>
      <c r="R80" s="101" t="s">
        <v>25</v>
      </c>
      <c r="S80" s="101" t="s">
        <v>17</v>
      </c>
      <c r="T80" s="101">
        <v>0</v>
      </c>
      <c r="U80" s="101" t="s">
        <v>18</v>
      </c>
      <c r="V80" s="101" t="s">
        <v>18</v>
      </c>
      <c r="W80" s="101" t="s">
        <v>18</v>
      </c>
      <c r="X80" s="101" t="s">
        <v>18</v>
      </c>
      <c r="Y80" s="101" t="s">
        <v>18</v>
      </c>
      <c r="Z80" s="101" t="s">
        <v>18</v>
      </c>
      <c r="AA80" s="101" t="s">
        <v>18</v>
      </c>
      <c r="AC80" s="101">
        <v>37</v>
      </c>
      <c r="AD80" s="101" t="s">
        <v>216</v>
      </c>
      <c r="AE80" s="20">
        <v>44146.388912037037</v>
      </c>
      <c r="AF80" s="101" t="s">
        <v>25</v>
      </c>
      <c r="AG80" s="101" t="s">
        <v>17</v>
      </c>
      <c r="AH80" s="101">
        <v>0</v>
      </c>
      <c r="AI80" s="101">
        <v>12.222</v>
      </c>
      <c r="AJ80" s="12">
        <v>2339</v>
      </c>
      <c r="AK80" s="101">
        <v>0.49299999999999999</v>
      </c>
      <c r="AL80" s="101" t="s">
        <v>18</v>
      </c>
      <c r="AM80" s="101" t="s">
        <v>18</v>
      </c>
      <c r="AN80" s="101" t="s">
        <v>18</v>
      </c>
      <c r="AO80" s="101" t="s">
        <v>18</v>
      </c>
      <c r="AQ80" s="101">
        <v>1</v>
      </c>
      <c r="AS80" s="7">
        <v>54</v>
      </c>
      <c r="AT80" s="60">
        <f t="shared" si="10"/>
        <v>4.3095102599999979</v>
      </c>
      <c r="AU80" s="61">
        <f t="shared" si="11"/>
        <v>468.13719028882997</v>
      </c>
      <c r="AW80" s="60">
        <f t="shared" si="12"/>
        <v>4.3095102599999979</v>
      </c>
      <c r="AX80" s="61">
        <f t="shared" si="13"/>
        <v>468.13719028882997</v>
      </c>
      <c r="AZ80" s="23">
        <f t="shared" si="14"/>
        <v>4.6901798792000005</v>
      </c>
      <c r="BA80" s="103">
        <f t="shared" si="15"/>
        <v>443.26984282454004</v>
      </c>
      <c r="BC80" s="104">
        <f t="shared" si="16"/>
        <v>2.2352161072000003</v>
      </c>
      <c r="BD80" s="105">
        <f t="shared" si="17"/>
        <v>379.63168209608</v>
      </c>
    </row>
    <row r="81" spans="1:88" s="101" customFormat="1" ht="14.4" x14ac:dyDescent="0.3">
      <c r="A81" s="101">
        <v>37</v>
      </c>
      <c r="B81" s="101" t="s">
        <v>217</v>
      </c>
      <c r="C81" s="20">
        <v>44168.494421296295</v>
      </c>
      <c r="D81" s="101" t="s">
        <v>25</v>
      </c>
      <c r="E81" s="101" t="s">
        <v>17</v>
      </c>
      <c r="F81" s="101">
        <v>0</v>
      </c>
      <c r="G81" s="101">
        <v>6.1029999999999998</v>
      </c>
      <c r="H81" s="12">
        <v>1720</v>
      </c>
      <c r="I81" s="101">
        <v>1E-3</v>
      </c>
      <c r="J81" s="101" t="s">
        <v>18</v>
      </c>
      <c r="K81" s="101" t="s">
        <v>18</v>
      </c>
      <c r="L81" s="101" t="s">
        <v>18</v>
      </c>
      <c r="M81" s="101" t="s">
        <v>18</v>
      </c>
      <c r="O81" s="101">
        <v>37</v>
      </c>
      <c r="P81" s="101" t="s">
        <v>217</v>
      </c>
      <c r="Q81" s="20">
        <v>44168.494421296295</v>
      </c>
      <c r="R81" s="101" t="s">
        <v>25</v>
      </c>
      <c r="S81" s="101" t="s">
        <v>17</v>
      </c>
      <c r="T81" s="101">
        <v>0</v>
      </c>
      <c r="U81" s="101" t="s">
        <v>18</v>
      </c>
      <c r="V81" s="101" t="s">
        <v>18</v>
      </c>
      <c r="W81" s="101" t="s">
        <v>18</v>
      </c>
      <c r="X81" s="101" t="s">
        <v>18</v>
      </c>
      <c r="Y81" s="101" t="s">
        <v>18</v>
      </c>
      <c r="Z81" s="101" t="s">
        <v>18</v>
      </c>
      <c r="AA81" s="101" t="s">
        <v>18</v>
      </c>
      <c r="AC81" s="101">
        <v>37</v>
      </c>
      <c r="AD81" s="101" t="s">
        <v>217</v>
      </c>
      <c r="AE81" s="20">
        <v>44168.494421296295</v>
      </c>
      <c r="AF81" s="101" t="s">
        <v>25</v>
      </c>
      <c r="AG81" s="101" t="s">
        <v>17</v>
      </c>
      <c r="AH81" s="101">
        <v>0</v>
      </c>
      <c r="AI81" s="101">
        <v>12.295</v>
      </c>
      <c r="AJ81" s="12">
        <v>2091</v>
      </c>
      <c r="AK81" s="101">
        <v>0.46</v>
      </c>
      <c r="AL81" s="101" t="s">
        <v>18</v>
      </c>
      <c r="AM81" s="101" t="s">
        <v>18</v>
      </c>
      <c r="AN81" s="101" t="s">
        <v>18</v>
      </c>
      <c r="AO81" s="101" t="s">
        <v>18</v>
      </c>
      <c r="AQ81" s="101">
        <v>1</v>
      </c>
      <c r="AS81" s="7">
        <v>55</v>
      </c>
      <c r="AT81" s="60">
        <f t="shared" si="10"/>
        <v>0.34446599999999883</v>
      </c>
      <c r="AU81" s="61">
        <f t="shared" si="11"/>
        <v>422.22695192162996</v>
      </c>
      <c r="AW81" s="60">
        <f t="shared" si="12"/>
        <v>0.34446599999999883</v>
      </c>
      <c r="AX81" s="61">
        <f t="shared" si="13"/>
        <v>422.22695192162996</v>
      </c>
      <c r="AZ81" s="23">
        <f t="shared" si="14"/>
        <v>-0.31087927999999998</v>
      </c>
      <c r="BA81" s="103">
        <f t="shared" si="15"/>
        <v>395.87010671094004</v>
      </c>
      <c r="BC81" s="104">
        <f t="shared" si="16"/>
        <v>6.0883519999999969E-2</v>
      </c>
      <c r="BD81" s="105">
        <f t="shared" si="17"/>
        <v>328.39811938887999</v>
      </c>
    </row>
    <row r="82" spans="1:88" s="101" customFormat="1" ht="14.4" x14ac:dyDescent="0.3">
      <c r="A82" s="101">
        <v>38</v>
      </c>
      <c r="B82" s="101" t="s">
        <v>218</v>
      </c>
      <c r="C82" s="20">
        <v>44168.5156712963</v>
      </c>
      <c r="D82" s="101" t="s">
        <v>219</v>
      </c>
      <c r="E82" s="101" t="s">
        <v>17</v>
      </c>
      <c r="F82" s="101">
        <v>0</v>
      </c>
      <c r="G82" s="101">
        <v>6.1219999999999999</v>
      </c>
      <c r="H82" s="12">
        <v>1853</v>
      </c>
      <c r="I82" s="101">
        <v>1E-3</v>
      </c>
      <c r="J82" s="101" t="s">
        <v>18</v>
      </c>
      <c r="K82" s="101" t="s">
        <v>18</v>
      </c>
      <c r="L82" s="101" t="s">
        <v>18</v>
      </c>
      <c r="M82" s="101" t="s">
        <v>18</v>
      </c>
      <c r="O82" s="101">
        <v>38</v>
      </c>
      <c r="P82" s="101" t="s">
        <v>218</v>
      </c>
      <c r="Q82" s="20">
        <v>44168.5156712963</v>
      </c>
      <c r="R82" s="101" t="s">
        <v>219</v>
      </c>
      <c r="S82" s="101" t="s">
        <v>17</v>
      </c>
      <c r="T82" s="101">
        <v>0</v>
      </c>
      <c r="U82" s="101" t="s">
        <v>18</v>
      </c>
      <c r="V82" s="12" t="s">
        <v>18</v>
      </c>
      <c r="W82" s="101" t="s">
        <v>18</v>
      </c>
      <c r="X82" s="101" t="s">
        <v>18</v>
      </c>
      <c r="Y82" s="101" t="s">
        <v>18</v>
      </c>
      <c r="Z82" s="101" t="s">
        <v>18</v>
      </c>
      <c r="AA82" s="101" t="s">
        <v>18</v>
      </c>
      <c r="AC82" s="101">
        <v>38</v>
      </c>
      <c r="AD82" s="101" t="s">
        <v>218</v>
      </c>
      <c r="AE82" s="20">
        <v>44168.5156712963</v>
      </c>
      <c r="AF82" s="101" t="s">
        <v>220</v>
      </c>
      <c r="AG82" s="101" t="s">
        <v>17</v>
      </c>
      <c r="AH82" s="101">
        <v>0</v>
      </c>
      <c r="AI82" s="101">
        <v>12.29</v>
      </c>
      <c r="AJ82" s="12">
        <v>2037</v>
      </c>
      <c r="AK82" s="101">
        <v>0.45200000000000001</v>
      </c>
      <c r="AL82" s="101" t="s">
        <v>18</v>
      </c>
      <c r="AM82" s="101" t="s">
        <v>18</v>
      </c>
      <c r="AN82" s="101" t="s">
        <v>18</v>
      </c>
      <c r="AO82" s="101" t="s">
        <v>18</v>
      </c>
      <c r="AQ82" s="101">
        <v>1</v>
      </c>
      <c r="AS82" s="7">
        <v>56</v>
      </c>
      <c r="AT82" s="60">
        <f t="shared" si="10"/>
        <v>0.71432919124999916</v>
      </c>
      <c r="AU82" s="61">
        <f t="shared" si="11"/>
        <v>412.22934410787002</v>
      </c>
      <c r="AW82" s="60">
        <f t="shared" si="12"/>
        <v>0.71432919124999916</v>
      </c>
      <c r="AX82" s="61">
        <f t="shared" si="13"/>
        <v>412.22934410787002</v>
      </c>
      <c r="AZ82" s="23">
        <f t="shared" si="14"/>
        <v>0.17004135844999979</v>
      </c>
      <c r="BA82" s="103">
        <f t="shared" si="15"/>
        <v>385.54893126005999</v>
      </c>
      <c r="BC82" s="104">
        <f t="shared" si="16"/>
        <v>0.24097308770000025</v>
      </c>
      <c r="BD82" s="105">
        <f t="shared" si="17"/>
        <v>317.24200810311999</v>
      </c>
    </row>
    <row r="83" spans="1:88" s="101" customFormat="1" ht="14.4" x14ac:dyDescent="0.3">
      <c r="A83" s="101">
        <v>37</v>
      </c>
      <c r="B83" s="101" t="s">
        <v>221</v>
      </c>
      <c r="C83" s="20">
        <v>44173.457974537036</v>
      </c>
      <c r="D83" s="101" t="s">
        <v>25</v>
      </c>
      <c r="E83" s="101" t="s">
        <v>17</v>
      </c>
      <c r="F83" s="101">
        <v>0</v>
      </c>
      <c r="G83" s="101">
        <v>6.1349999999999998</v>
      </c>
      <c r="H83" s="12">
        <v>1980</v>
      </c>
      <c r="I83" s="101">
        <v>1E-3</v>
      </c>
      <c r="J83" s="101" t="s">
        <v>18</v>
      </c>
      <c r="K83" s="101" t="s">
        <v>18</v>
      </c>
      <c r="L83" s="101" t="s">
        <v>18</v>
      </c>
      <c r="M83" s="101" t="s">
        <v>18</v>
      </c>
      <c r="O83" s="101">
        <v>37</v>
      </c>
      <c r="P83" s="101" t="s">
        <v>221</v>
      </c>
      <c r="Q83" s="20">
        <v>44173.457974537036</v>
      </c>
      <c r="R83" s="101" t="s">
        <v>25</v>
      </c>
      <c r="S83" s="101" t="s">
        <v>17</v>
      </c>
      <c r="T83" s="101">
        <v>0</v>
      </c>
      <c r="U83" s="101" t="s">
        <v>18</v>
      </c>
      <c r="V83" s="101" t="s">
        <v>18</v>
      </c>
      <c r="W83" s="101" t="s">
        <v>18</v>
      </c>
      <c r="X83" s="101" t="s">
        <v>18</v>
      </c>
      <c r="Y83" s="101" t="s">
        <v>18</v>
      </c>
      <c r="Z83" s="101" t="s">
        <v>18</v>
      </c>
      <c r="AA83" s="101" t="s">
        <v>18</v>
      </c>
      <c r="AC83" s="101">
        <v>37</v>
      </c>
      <c r="AD83" s="101" t="s">
        <v>221</v>
      </c>
      <c r="AE83" s="20">
        <v>44173.457974537036</v>
      </c>
      <c r="AF83" s="101" t="s">
        <v>25</v>
      </c>
      <c r="AG83" s="20" t="s">
        <v>17</v>
      </c>
      <c r="AH83" s="101">
        <v>0</v>
      </c>
      <c r="AI83" s="101">
        <v>12.304</v>
      </c>
      <c r="AJ83" s="12">
        <v>2432</v>
      </c>
      <c r="AK83" s="101">
        <v>0.50600000000000001</v>
      </c>
      <c r="AL83" s="12" t="s">
        <v>18</v>
      </c>
      <c r="AM83" s="101" t="s">
        <v>18</v>
      </c>
      <c r="AN83" s="101" t="s">
        <v>18</v>
      </c>
      <c r="AO83" s="101" t="s">
        <v>18</v>
      </c>
      <c r="AQ83" s="101">
        <v>1</v>
      </c>
      <c r="AS83" s="7">
        <v>57</v>
      </c>
      <c r="AT83" s="60">
        <f t="shared" si="10"/>
        <v>1.0682084999999999</v>
      </c>
      <c r="AU83" s="61">
        <f t="shared" si="11"/>
        <v>485.35153905151998</v>
      </c>
      <c r="AW83" s="60">
        <f t="shared" si="12"/>
        <v>1.0682084999999999</v>
      </c>
      <c r="AX83" s="61">
        <f t="shared" si="13"/>
        <v>485.35153905151998</v>
      </c>
      <c r="AZ83" s="23">
        <f t="shared" si="14"/>
        <v>0.62735282000000048</v>
      </c>
      <c r="BA83" s="103">
        <f t="shared" si="15"/>
        <v>461.04422821375999</v>
      </c>
      <c r="BC83" s="104">
        <f t="shared" si="16"/>
        <v>0.41773612000000004</v>
      </c>
      <c r="BD83" s="105">
        <f t="shared" si="17"/>
        <v>398.84345879552001</v>
      </c>
    </row>
    <row r="84" spans="1:88" s="101" customFormat="1" ht="14.4" x14ac:dyDescent="0.3">
      <c r="A84" s="101">
        <v>37</v>
      </c>
      <c r="B84" s="101" t="s">
        <v>222</v>
      </c>
      <c r="C84" s="20">
        <v>44174.441469907404</v>
      </c>
      <c r="D84" s="101" t="s">
        <v>25</v>
      </c>
      <c r="E84" s="101" t="s">
        <v>17</v>
      </c>
      <c r="F84" s="101">
        <v>0</v>
      </c>
      <c r="G84" s="101">
        <v>6.1310000000000002</v>
      </c>
      <c r="H84" s="12">
        <v>1796</v>
      </c>
      <c r="I84" s="101">
        <v>1E-3</v>
      </c>
      <c r="J84" s="101" t="s">
        <v>18</v>
      </c>
      <c r="K84" s="101" t="s">
        <v>18</v>
      </c>
      <c r="L84" s="101" t="s">
        <v>18</v>
      </c>
      <c r="M84" s="101" t="s">
        <v>18</v>
      </c>
      <c r="O84" s="101">
        <v>37</v>
      </c>
      <c r="P84" s="101" t="s">
        <v>222</v>
      </c>
      <c r="Q84" s="20">
        <v>44174.441469907404</v>
      </c>
      <c r="R84" s="101" t="s">
        <v>223</v>
      </c>
      <c r="S84" s="101" t="s">
        <v>17</v>
      </c>
      <c r="T84" s="101">
        <v>0</v>
      </c>
      <c r="U84" s="101" t="s">
        <v>18</v>
      </c>
      <c r="V84" s="101" t="s">
        <v>18</v>
      </c>
      <c r="W84" s="101" t="s">
        <v>18</v>
      </c>
      <c r="X84" s="101" t="s">
        <v>18</v>
      </c>
      <c r="Y84" s="101" t="s">
        <v>18</v>
      </c>
      <c r="Z84" s="101" t="s">
        <v>18</v>
      </c>
      <c r="AA84" s="101" t="s">
        <v>18</v>
      </c>
      <c r="AC84" s="101">
        <v>37</v>
      </c>
      <c r="AD84" s="101" t="s">
        <v>222</v>
      </c>
      <c r="AE84" s="20">
        <v>44174.441469907404</v>
      </c>
      <c r="AF84" s="101" t="s">
        <v>223</v>
      </c>
      <c r="AG84" s="101" t="s">
        <v>17</v>
      </c>
      <c r="AH84" s="101">
        <v>0</v>
      </c>
      <c r="AI84" s="101">
        <v>12.33</v>
      </c>
      <c r="AJ84" s="12">
        <v>2391</v>
      </c>
      <c r="AK84" s="101">
        <v>0.5</v>
      </c>
      <c r="AL84" s="101" t="s">
        <v>18</v>
      </c>
      <c r="AM84" s="101" t="s">
        <v>18</v>
      </c>
      <c r="AN84" s="101" t="s">
        <v>18</v>
      </c>
      <c r="AO84" s="101" t="s">
        <v>18</v>
      </c>
      <c r="AQ84" s="101">
        <v>1</v>
      </c>
      <c r="AS84" s="7">
        <v>58</v>
      </c>
      <c r="AT84" s="60">
        <f t="shared" si="10"/>
        <v>0.55572433999999937</v>
      </c>
      <c r="AU84" s="61">
        <f t="shared" si="11"/>
        <v>477.76255137963</v>
      </c>
      <c r="AW84" s="60">
        <f t="shared" si="12"/>
        <v>0.55572433999999937</v>
      </c>
      <c r="AX84" s="61">
        <f t="shared" si="13"/>
        <v>477.76255137963</v>
      </c>
      <c r="AZ84" s="23">
        <f t="shared" si="14"/>
        <v>-3.5816447200000212E-2</v>
      </c>
      <c r="BA84" s="103">
        <f t="shared" si="15"/>
        <v>453.20824351494002</v>
      </c>
      <c r="BC84" s="104">
        <f t="shared" si="16"/>
        <v>0.16316240479999999</v>
      </c>
      <c r="BD84" s="105">
        <f t="shared" si="17"/>
        <v>390.37380519688003</v>
      </c>
    </row>
    <row r="85" spans="1:88" s="101" customFormat="1" ht="14.4" x14ac:dyDescent="0.3">
      <c r="A85" s="101">
        <v>37</v>
      </c>
      <c r="B85" s="101" t="s">
        <v>224</v>
      </c>
      <c r="C85" s="20">
        <v>44175.440532407411</v>
      </c>
      <c r="D85" s="101" t="s">
        <v>25</v>
      </c>
      <c r="E85" s="101" t="s">
        <v>17</v>
      </c>
      <c r="F85" s="101">
        <v>0</v>
      </c>
      <c r="G85" s="101">
        <v>6.1130000000000004</v>
      </c>
      <c r="H85" s="12">
        <v>2080</v>
      </c>
      <c r="I85" s="101">
        <v>1E-3</v>
      </c>
      <c r="J85" s="101" t="s">
        <v>18</v>
      </c>
      <c r="K85" s="101" t="s">
        <v>18</v>
      </c>
      <c r="L85" s="101" t="s">
        <v>18</v>
      </c>
      <c r="M85" s="101" t="s">
        <v>18</v>
      </c>
      <c r="O85" s="101">
        <v>37</v>
      </c>
      <c r="P85" s="101" t="s">
        <v>224</v>
      </c>
      <c r="Q85" s="20">
        <v>44175.440532407411</v>
      </c>
      <c r="R85" s="101" t="s">
        <v>25</v>
      </c>
      <c r="S85" s="101" t="s">
        <v>17</v>
      </c>
      <c r="T85" s="101">
        <v>0</v>
      </c>
      <c r="U85" s="101" t="s">
        <v>18</v>
      </c>
      <c r="V85" s="101" t="s">
        <v>18</v>
      </c>
      <c r="W85" s="101" t="s">
        <v>18</v>
      </c>
      <c r="X85" s="101" t="s">
        <v>18</v>
      </c>
      <c r="Y85" s="101" t="s">
        <v>18</v>
      </c>
      <c r="Z85" s="101" t="s">
        <v>18</v>
      </c>
      <c r="AA85" s="101" t="s">
        <v>18</v>
      </c>
      <c r="AC85" s="101">
        <v>37</v>
      </c>
      <c r="AD85" s="101" t="s">
        <v>224</v>
      </c>
      <c r="AE85" s="20">
        <v>44175.440532407411</v>
      </c>
      <c r="AF85" s="101" t="s">
        <v>25</v>
      </c>
      <c r="AG85" s="101" t="s">
        <v>17</v>
      </c>
      <c r="AH85" s="101">
        <v>0</v>
      </c>
      <c r="AI85" s="101">
        <v>12.266999999999999</v>
      </c>
      <c r="AJ85" s="12">
        <v>2661</v>
      </c>
      <c r="AK85" s="101">
        <v>0.53700000000000003</v>
      </c>
      <c r="AL85" s="101" t="s">
        <v>18</v>
      </c>
      <c r="AM85" s="101" t="s">
        <v>18</v>
      </c>
      <c r="AN85" s="101" t="s">
        <v>18</v>
      </c>
      <c r="AO85" s="101" t="s">
        <v>18</v>
      </c>
      <c r="AQ85" s="101">
        <v>1</v>
      </c>
      <c r="AS85" s="7">
        <v>59</v>
      </c>
      <c r="AT85" s="60">
        <f t="shared" si="10"/>
        <v>1.3473359999999994</v>
      </c>
      <c r="AU85" s="61">
        <f t="shared" si="11"/>
        <v>527.73493058883003</v>
      </c>
      <c r="AW85" s="60">
        <f t="shared" si="12"/>
        <v>1.3473359999999994</v>
      </c>
      <c r="AX85" s="61">
        <f t="shared" si="13"/>
        <v>527.73493058883003</v>
      </c>
      <c r="AZ85" s="23">
        <f t="shared" si="14"/>
        <v>0.98612511999999963</v>
      </c>
      <c r="BA85" s="103">
        <f t="shared" si="15"/>
        <v>504.81006422454004</v>
      </c>
      <c r="BC85" s="104">
        <f t="shared" si="16"/>
        <v>0.56021792000000015</v>
      </c>
      <c r="BD85" s="105">
        <f t="shared" si="17"/>
        <v>446.14799489607998</v>
      </c>
    </row>
    <row r="86" spans="1:88" s="8" customFormat="1" ht="14.4" x14ac:dyDescent="0.3">
      <c r="C86" s="59"/>
      <c r="H86" s="10"/>
      <c r="Q86" s="59"/>
      <c r="V86" s="10"/>
      <c r="AE86" s="59"/>
      <c r="AJ86" s="10"/>
      <c r="AS86" s="44"/>
      <c r="AT86" s="24"/>
      <c r="AU86" s="83"/>
    </row>
    <row r="87" spans="1:88" s="8" customFormat="1" ht="14.4" x14ac:dyDescent="0.3">
      <c r="C87" s="59"/>
      <c r="H87" s="10"/>
      <c r="Q87" s="59"/>
      <c r="V87" s="10"/>
      <c r="AE87" s="59"/>
      <c r="AJ87" s="10"/>
      <c r="AS87" s="44"/>
      <c r="AT87" s="24"/>
      <c r="AU87" s="83"/>
    </row>
    <row r="88" spans="1:88" s="8" customFormat="1" ht="14.4" x14ac:dyDescent="0.3">
      <c r="C88" s="59"/>
      <c r="H88" s="10"/>
      <c r="Q88" s="59"/>
      <c r="V88" s="10"/>
      <c r="AE88" s="59"/>
      <c r="AJ88" s="10"/>
      <c r="AS88" s="44"/>
      <c r="AT88" s="24"/>
      <c r="AU88" s="83"/>
    </row>
    <row r="89" spans="1:88" s="8" customFormat="1" ht="14.4" x14ac:dyDescent="0.3">
      <c r="C89" s="59"/>
      <c r="H89" s="10"/>
      <c r="Q89" s="59"/>
      <c r="AE89" s="59"/>
      <c r="AJ89" s="10"/>
      <c r="AS89" s="44"/>
      <c r="AT89" s="24"/>
      <c r="AU89" s="83"/>
    </row>
    <row r="90" spans="1:88" s="111" customFormat="1" x14ac:dyDescent="0.3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10"/>
      <c r="N90" s="110"/>
      <c r="O90" s="110"/>
      <c r="P90" s="109"/>
      <c r="Q90" s="38"/>
      <c r="R90" s="38"/>
      <c r="S90" s="38"/>
      <c r="T90" s="38"/>
      <c r="U90" s="38"/>
      <c r="V90" s="38"/>
      <c r="W90" s="38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R90" s="8"/>
    </row>
    <row r="91" spans="1:88" s="8" customFormat="1" ht="14.4" x14ac:dyDescent="0.3">
      <c r="A91" s="112"/>
      <c r="C91" s="59"/>
      <c r="H91" s="10"/>
      <c r="L91" s="113"/>
      <c r="Q91" s="59"/>
      <c r="V91" s="10"/>
      <c r="AE91" s="59"/>
      <c r="AJ91" s="10"/>
      <c r="AT91" s="111"/>
    </row>
    <row r="92" spans="1:88" s="36" customFormat="1" ht="15" x14ac:dyDescent="0.25">
      <c r="A92" s="40"/>
      <c r="B92" s="40"/>
      <c r="C92" s="40"/>
      <c r="D92" s="40"/>
      <c r="E92" s="39"/>
      <c r="F92" s="34"/>
      <c r="G92" s="34"/>
      <c r="H92" s="68"/>
      <c r="I92" s="68"/>
      <c r="J92" s="38"/>
      <c r="K92" s="38"/>
      <c r="M92" s="54"/>
      <c r="N92" s="39"/>
      <c r="O92" s="39"/>
      <c r="P92" s="39"/>
      <c r="Q92" s="53"/>
      <c r="U92" s="38"/>
      <c r="V92" s="38"/>
      <c r="W92" s="38"/>
      <c r="Z92" s="53"/>
      <c r="AA92" s="53"/>
      <c r="AB92" s="53"/>
      <c r="AC92" s="53"/>
      <c r="AD92" s="53"/>
      <c r="AE92" s="53"/>
      <c r="AF92" s="53"/>
      <c r="AG92" s="53"/>
      <c r="AH92" s="34"/>
      <c r="AI92" s="34" t="s">
        <v>40</v>
      </c>
      <c r="AJ92" s="68">
        <f>AVERAGE(AJ27:AJ91)</f>
        <v>2255.6034482758619</v>
      </c>
      <c r="AK92" s="68"/>
      <c r="AL92" s="56"/>
      <c r="AM92" s="56"/>
      <c r="AN92" s="56"/>
      <c r="AO92" s="56"/>
      <c r="AP92" s="56"/>
      <c r="AQ92" s="34" t="s">
        <v>40</v>
      </c>
      <c r="AR92" s="34"/>
      <c r="AS92" s="55">
        <f>MIN(AS27:AS91)</f>
        <v>1</v>
      </c>
      <c r="AT92" s="69"/>
      <c r="AU92" s="69"/>
      <c r="AV92" s="56"/>
      <c r="AW92" s="69">
        <f>AVERAGE(AW27:AW90)</f>
        <v>2.3244798558898303</v>
      </c>
      <c r="AX92" s="69">
        <f>AVERAGE(AX27:AX90)</f>
        <v>445.60317599183594</v>
      </c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</row>
    <row r="93" spans="1:88" s="36" customFormat="1" ht="15" x14ac:dyDescent="0.25">
      <c r="A93" s="40"/>
      <c r="B93" s="40"/>
      <c r="C93" s="40"/>
      <c r="D93" s="40"/>
      <c r="E93" s="39"/>
      <c r="F93" s="34"/>
      <c r="G93" s="34"/>
      <c r="H93" s="70"/>
      <c r="I93" s="70"/>
      <c r="J93" s="38"/>
      <c r="K93" s="38"/>
      <c r="M93" s="54"/>
      <c r="N93" s="39"/>
      <c r="O93" s="39"/>
      <c r="P93" s="39"/>
      <c r="Q93" s="53"/>
      <c r="U93" s="38"/>
      <c r="V93" s="38"/>
      <c r="W93" s="38"/>
      <c r="Z93" s="53"/>
      <c r="AA93" s="53"/>
      <c r="AB93" s="53"/>
      <c r="AC93" s="53"/>
      <c r="AD93" s="53"/>
      <c r="AE93" s="53"/>
      <c r="AF93" s="53"/>
      <c r="AG93" s="53"/>
      <c r="AH93" s="34"/>
      <c r="AI93" s="34" t="s">
        <v>91</v>
      </c>
      <c r="AJ93" s="70">
        <f>STDEV(AJ27:AJ91)</f>
        <v>477.23023755523292</v>
      </c>
      <c r="AK93" s="70"/>
      <c r="AL93" s="56"/>
      <c r="AM93" s="56"/>
      <c r="AN93" s="56"/>
      <c r="AO93" s="56"/>
      <c r="AP93" s="56"/>
      <c r="AQ93" s="34" t="s">
        <v>91</v>
      </c>
      <c r="AR93" s="34"/>
      <c r="AS93" s="55">
        <f>MAX(AS27:AS91)</f>
        <v>59</v>
      </c>
      <c r="AT93" s="70"/>
      <c r="AU93" s="70"/>
      <c r="AV93" s="56"/>
      <c r="AW93" s="70">
        <f>STDEV(AW27:AW90)</f>
        <v>1.0551811915356559</v>
      </c>
      <c r="AX93" s="70">
        <f>STDEV(AX27:AX90)</f>
        <v>103.08629004868666</v>
      </c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</row>
    <row r="94" spans="1:88" s="36" customFormat="1" ht="15" x14ac:dyDescent="0.25">
      <c r="A94" s="40"/>
      <c r="B94" s="40"/>
      <c r="C94" s="40"/>
      <c r="D94" s="40"/>
      <c r="E94" s="39"/>
      <c r="F94" s="34"/>
      <c r="G94" s="34"/>
      <c r="H94" s="70"/>
      <c r="I94" s="70"/>
      <c r="J94" s="38"/>
      <c r="K94" s="38"/>
      <c r="M94" s="54"/>
      <c r="N94" s="39"/>
      <c r="O94" s="39"/>
      <c r="P94" s="39"/>
      <c r="Q94" s="53"/>
      <c r="S94" s="39"/>
      <c r="T94" s="34"/>
      <c r="U94" s="35"/>
      <c r="V94" s="38"/>
      <c r="W94" s="38"/>
      <c r="Z94" s="53"/>
      <c r="AA94" s="53"/>
      <c r="AB94" s="53"/>
      <c r="AC94" s="53"/>
      <c r="AD94" s="53"/>
      <c r="AE94" s="53"/>
      <c r="AF94" s="53"/>
      <c r="AG94" s="53"/>
      <c r="AH94" s="34"/>
      <c r="AI94" s="34" t="s">
        <v>92</v>
      </c>
      <c r="AJ94" s="70">
        <f>100*AJ93/AJ92</f>
        <v>21.157541584715084</v>
      </c>
      <c r="AK94" s="70"/>
      <c r="AL94" s="56"/>
      <c r="AM94" s="56"/>
      <c r="AN94" s="56"/>
      <c r="AO94" s="56"/>
      <c r="AP94" s="56"/>
      <c r="AQ94" s="34" t="s">
        <v>92</v>
      </c>
      <c r="AR94" s="34"/>
      <c r="AS94" s="55"/>
      <c r="AT94" s="70"/>
      <c r="AU94" s="70"/>
      <c r="AV94" s="56"/>
      <c r="AW94" s="70">
        <f>100*AW93/AW92</f>
        <v>45.394292786061754</v>
      </c>
      <c r="AX94" s="70">
        <f>100*AX93/AX92</f>
        <v>23.134101281759119</v>
      </c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</row>
    <row r="95" spans="1:88" s="36" customFormat="1" ht="15" x14ac:dyDescent="0.25">
      <c r="A95" s="40"/>
      <c r="B95" s="40"/>
      <c r="C95" s="40"/>
      <c r="D95" s="40"/>
      <c r="E95" s="39"/>
      <c r="F95" s="34"/>
      <c r="G95" s="34"/>
      <c r="H95" s="70"/>
      <c r="I95" s="70"/>
      <c r="J95" s="38"/>
      <c r="K95" s="38"/>
      <c r="P95" s="39"/>
      <c r="Q95" s="53"/>
      <c r="U95" s="38"/>
      <c r="V95" s="38"/>
      <c r="W95" s="38"/>
      <c r="Y95" s="53"/>
      <c r="Z95" s="53"/>
      <c r="AA95" s="53"/>
      <c r="AB95" s="53"/>
      <c r="AC95" s="53"/>
      <c r="AD95" s="53"/>
      <c r="AE95" s="53"/>
      <c r="AF95" s="53"/>
      <c r="AG95" s="53"/>
      <c r="AH95" s="34" t="s">
        <v>93</v>
      </c>
      <c r="AI95" s="34" t="s">
        <v>94</v>
      </c>
      <c r="AJ95" s="70">
        <f>AJ92-(2*AJ93)</f>
        <v>1301.1429731653961</v>
      </c>
      <c r="AK95" s="70"/>
      <c r="AL95" s="56"/>
      <c r="AM95" s="56"/>
      <c r="AN95" s="56"/>
      <c r="AO95" s="56"/>
      <c r="AP95" s="56"/>
      <c r="AQ95" s="34" t="s">
        <v>94</v>
      </c>
      <c r="AR95" s="34" t="s">
        <v>93</v>
      </c>
      <c r="AS95" s="56"/>
      <c r="AT95" s="70"/>
      <c r="AU95" s="70"/>
      <c r="AV95" s="56"/>
      <c r="AW95" s="70">
        <f>AW92-(2*AW93)</f>
        <v>0.21411747281851845</v>
      </c>
      <c r="AX95" s="70">
        <f>AX92-(2*AX93)</f>
        <v>239.43059589446261</v>
      </c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</row>
    <row r="96" spans="1:88" s="36" customFormat="1" ht="15" x14ac:dyDescent="0.25">
      <c r="A96" s="40"/>
      <c r="B96" s="40"/>
      <c r="C96" s="40"/>
      <c r="D96" s="40"/>
      <c r="E96" s="39"/>
      <c r="F96" s="34"/>
      <c r="G96" s="34"/>
      <c r="H96" s="70"/>
      <c r="I96" s="70"/>
      <c r="P96" s="39"/>
      <c r="Q96" s="53"/>
      <c r="U96" s="38"/>
      <c r="V96" s="38"/>
      <c r="W96" s="38"/>
      <c r="Y96" s="53"/>
      <c r="Z96" s="53"/>
      <c r="AA96" s="53"/>
      <c r="AB96" s="53"/>
      <c r="AC96" s="53"/>
      <c r="AD96" s="53"/>
      <c r="AE96" s="53"/>
      <c r="AF96" s="53"/>
      <c r="AG96" s="53"/>
      <c r="AH96" s="34"/>
      <c r="AI96" s="34" t="s">
        <v>95</v>
      </c>
      <c r="AJ96" s="70">
        <f>AJ92+(2*AJ93)</f>
        <v>3210.0639233863276</v>
      </c>
      <c r="AK96" s="70"/>
      <c r="AL96" s="56"/>
      <c r="AM96" s="56"/>
      <c r="AN96" s="56"/>
      <c r="AO96" s="56"/>
      <c r="AP96" s="56"/>
      <c r="AQ96" s="34" t="s">
        <v>95</v>
      </c>
      <c r="AR96" s="34"/>
      <c r="AS96" s="56"/>
      <c r="AT96" s="70"/>
      <c r="AU96" s="70"/>
      <c r="AV96" s="56"/>
      <c r="AW96" s="70">
        <f>AW92+(2*AW93)</f>
        <v>4.4348422389611422</v>
      </c>
      <c r="AX96" s="70">
        <f>AX92+(2*AX93)</f>
        <v>651.77575608920927</v>
      </c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</row>
    <row r="97" spans="1:88" s="36" customFormat="1" ht="15" x14ac:dyDescent="0.25">
      <c r="A97" s="40"/>
      <c r="B97" s="40"/>
      <c r="C97" s="40"/>
      <c r="D97" s="40"/>
      <c r="E97" s="39"/>
      <c r="F97" s="34"/>
      <c r="G97" s="34"/>
      <c r="H97" s="70"/>
      <c r="I97" s="70"/>
      <c r="J97" s="38"/>
      <c r="K97" s="38"/>
      <c r="P97" s="53"/>
      <c r="Q97" s="34"/>
      <c r="T97" s="38"/>
      <c r="U97" s="38"/>
      <c r="V97" s="38"/>
      <c r="W97" s="54"/>
      <c r="X97" s="55"/>
      <c r="Y97" s="53"/>
      <c r="Z97" s="53"/>
      <c r="AA97" s="53"/>
      <c r="AB97" s="53"/>
      <c r="AC97" s="53"/>
      <c r="AD97" s="53"/>
      <c r="AE97" s="53"/>
      <c r="AF97" s="53"/>
      <c r="AG97" s="53"/>
      <c r="AH97" s="34" t="s">
        <v>96</v>
      </c>
      <c r="AI97" s="34" t="s">
        <v>97</v>
      </c>
      <c r="AJ97" s="70">
        <f>AJ92-(3*AJ93)</f>
        <v>823.91273561016305</v>
      </c>
      <c r="AK97" s="70"/>
      <c r="AL97" s="56"/>
      <c r="AM97" s="56"/>
      <c r="AN97" s="56"/>
      <c r="AO97" s="56"/>
      <c r="AP97" s="56"/>
      <c r="AQ97" s="34" t="s">
        <v>97</v>
      </c>
      <c r="AR97" s="34" t="s">
        <v>96</v>
      </c>
      <c r="AS97" s="56"/>
      <c r="AT97" s="70"/>
      <c r="AU97" s="70"/>
      <c r="AV97" s="56"/>
      <c r="AW97" s="70">
        <f>AW92-(3*AW93)</f>
        <v>-0.84106371871713748</v>
      </c>
      <c r="AX97" s="70">
        <f>AX92-(3*AX93)</f>
        <v>136.34430584577598</v>
      </c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</row>
    <row r="98" spans="1:88" ht="15" x14ac:dyDescent="0.25">
      <c r="F98" s="34"/>
      <c r="G98" s="34"/>
      <c r="H98" s="70"/>
      <c r="I98" s="70"/>
      <c r="J98" s="40"/>
      <c r="K98" s="40"/>
      <c r="L98" s="56"/>
      <c r="M98" s="39"/>
      <c r="N98" s="39"/>
      <c r="O98" s="39"/>
      <c r="Q98" s="34"/>
      <c r="R98" s="56"/>
      <c r="T98" s="38"/>
      <c r="U98" s="38"/>
      <c r="V98" s="38"/>
      <c r="W98" s="54"/>
      <c r="X98" s="55"/>
      <c r="AH98" s="34"/>
      <c r="AI98" s="34" t="s">
        <v>98</v>
      </c>
      <c r="AJ98" s="70">
        <f>AJ92+(3*AJ93)</f>
        <v>3687.2941609415607</v>
      </c>
      <c r="AK98" s="70"/>
      <c r="AQ98" s="34" t="s">
        <v>98</v>
      </c>
      <c r="AR98" s="34"/>
      <c r="AT98" s="70"/>
      <c r="AU98" s="70"/>
      <c r="AW98" s="70">
        <f>AW92+(3*AW93)</f>
        <v>5.4900234304967981</v>
      </c>
      <c r="AX98" s="70">
        <f>AX92+(3*AX93)</f>
        <v>754.86204613789596</v>
      </c>
    </row>
    <row r="99" spans="1:88" ht="15" x14ac:dyDescent="0.25">
      <c r="G99" s="34"/>
      <c r="H99" s="70"/>
      <c r="I99" s="70"/>
      <c r="J99" s="40"/>
      <c r="K99" s="40"/>
      <c r="L99" s="56"/>
      <c r="M99" s="39"/>
      <c r="N99" s="39"/>
      <c r="O99" s="39"/>
      <c r="Q99" s="34"/>
      <c r="R99" s="56"/>
      <c r="T99" s="38"/>
      <c r="U99" s="38"/>
      <c r="V99" s="38"/>
      <c r="W99" s="54"/>
      <c r="X99" s="55"/>
      <c r="AH99" s="53"/>
      <c r="AI99" s="34" t="s">
        <v>99</v>
      </c>
      <c r="AJ99" s="70">
        <f>COUNT(AJ27:AJ91)</f>
        <v>58</v>
      </c>
      <c r="AK99" s="70"/>
      <c r="AQ99" s="34" t="s">
        <v>99</v>
      </c>
      <c r="AR99" s="34"/>
      <c r="AT99" s="70"/>
      <c r="AU99" s="70"/>
      <c r="AW99" s="70">
        <f>COUNT(AW27:AW90)</f>
        <v>59</v>
      </c>
      <c r="AX99" s="70">
        <f>COUNT(AX27:AX90)</f>
        <v>59</v>
      </c>
    </row>
    <row r="100" spans="1:88" ht="15" x14ac:dyDescent="0.25">
      <c r="G100" s="34"/>
      <c r="H100" s="70"/>
      <c r="I100" s="70"/>
      <c r="J100" s="40"/>
      <c r="K100" s="40"/>
      <c r="L100" s="56"/>
      <c r="M100" s="39"/>
      <c r="N100" s="39"/>
      <c r="O100" s="39"/>
      <c r="Q100" s="34"/>
      <c r="R100" s="56"/>
      <c r="T100" s="38"/>
      <c r="U100" s="38"/>
      <c r="V100" s="38"/>
      <c r="W100" s="54"/>
      <c r="X100" s="55"/>
      <c r="AH100" s="53"/>
      <c r="AI100" s="34" t="s">
        <v>238</v>
      </c>
      <c r="AJ100" s="70">
        <f>TINV(0.02,(AJ99-1))</f>
        <v>2.3935675099455547</v>
      </c>
      <c r="AK100" s="70"/>
      <c r="AQ100" s="34" t="s">
        <v>238</v>
      </c>
      <c r="AR100" s="34"/>
      <c r="AT100" s="70"/>
      <c r="AU100" s="70"/>
      <c r="AW100" s="70">
        <f>TINV(0.02,(AW99-1))</f>
        <v>2.3923774753936824</v>
      </c>
      <c r="AX100" s="70">
        <f>TINV(0.02,(AX99-1))</f>
        <v>2.3923774753936824</v>
      </c>
    </row>
    <row r="101" spans="1:88" ht="15" x14ac:dyDescent="0.25">
      <c r="G101" s="34"/>
      <c r="H101" s="71"/>
      <c r="I101" s="71"/>
      <c r="AH101" s="53"/>
      <c r="AI101" s="34" t="s">
        <v>44</v>
      </c>
      <c r="AJ101" s="71">
        <f>AJ93*AJ100</f>
        <v>1142.2827913758044</v>
      </c>
      <c r="AK101" s="71"/>
      <c r="AQ101" s="34" t="s">
        <v>44</v>
      </c>
      <c r="AR101" s="34"/>
      <c r="AT101" s="71"/>
      <c r="AU101" s="71"/>
      <c r="AW101" s="71">
        <f>AW93*AW100</f>
        <v>2.5243917150889703</v>
      </c>
      <c r="AX101" s="71">
        <f>AX93*AX100</f>
        <v>246.62131833437789</v>
      </c>
    </row>
    <row r="102" spans="1:88" ht="15" x14ac:dyDescent="0.25">
      <c r="G102" s="34"/>
      <c r="H102" s="72"/>
      <c r="I102" s="72"/>
      <c r="J102" s="35"/>
      <c r="AH102" s="53"/>
      <c r="AI102" s="34" t="s">
        <v>45</v>
      </c>
      <c r="AJ102" s="72">
        <f>AJ93*10</f>
        <v>4772.3023755523291</v>
      </c>
      <c r="AK102" s="72"/>
      <c r="AQ102" s="34" t="s">
        <v>45</v>
      </c>
      <c r="AR102" s="34"/>
      <c r="AT102" s="72"/>
      <c r="AU102" s="72"/>
      <c r="AW102" s="72">
        <f>AW93*10</f>
        <v>10.551811915356559</v>
      </c>
      <c r="AX102" s="72">
        <f>AX93*10</f>
        <v>1030.8629004868667</v>
      </c>
    </row>
    <row r="103" spans="1:88" ht="15" x14ac:dyDescent="0.25">
      <c r="AQ103" s="34" t="s">
        <v>239</v>
      </c>
      <c r="AR103" s="34"/>
      <c r="AW103" s="56" t="s">
        <v>444</v>
      </c>
      <c r="AX103" s="56" t="s">
        <v>240</v>
      </c>
    </row>
    <row r="106" spans="1:88" x14ac:dyDescent="0.3">
      <c r="AQ106" s="101"/>
      <c r="AR106" s="56"/>
    </row>
    <row r="107" spans="1:88" ht="15" x14ac:dyDescent="0.25">
      <c r="AQ107" s="34"/>
      <c r="AR107" s="34"/>
      <c r="AS107" s="55"/>
      <c r="AT107" s="69"/>
      <c r="AU107" s="69"/>
    </row>
    <row r="108" spans="1:88" ht="15" x14ac:dyDescent="0.25">
      <c r="AQ108" s="34"/>
      <c r="AR108" s="34"/>
      <c r="AS108" s="55"/>
      <c r="AT108" s="70"/>
      <c r="AU108" s="70"/>
    </row>
    <row r="109" spans="1:88" ht="15" x14ac:dyDescent="0.25">
      <c r="AQ109" s="34"/>
      <c r="AR109" s="34"/>
      <c r="AS109" s="55"/>
      <c r="AT109" s="70"/>
      <c r="AU109" s="70"/>
    </row>
    <row r="110" spans="1:88" ht="15" x14ac:dyDescent="0.25">
      <c r="AQ110" s="34"/>
      <c r="AR110" s="34"/>
      <c r="AT110" s="70"/>
      <c r="AU110" s="70"/>
    </row>
    <row r="111" spans="1:88" ht="15" x14ac:dyDescent="0.25">
      <c r="AQ111" s="34"/>
      <c r="AR111" s="34"/>
      <c r="AT111" s="70"/>
      <c r="AU111" s="70"/>
    </row>
    <row r="112" spans="1:88" ht="15" x14ac:dyDescent="0.25">
      <c r="AQ112" s="34"/>
      <c r="AR112" s="34"/>
      <c r="AT112" s="70"/>
      <c r="AU112" s="70"/>
    </row>
    <row r="113" spans="1:47" ht="15" x14ac:dyDescent="0.25">
      <c r="AQ113" s="34"/>
      <c r="AR113" s="34"/>
      <c r="AT113" s="70"/>
      <c r="AU113" s="70"/>
    </row>
    <row r="114" spans="1:47" ht="15" x14ac:dyDescent="0.25">
      <c r="AQ114" s="34"/>
      <c r="AR114" s="34"/>
      <c r="AT114" s="70"/>
      <c r="AU114" s="70"/>
    </row>
    <row r="115" spans="1:47" ht="15" x14ac:dyDescent="0.25">
      <c r="AQ115" s="34"/>
      <c r="AR115" s="34"/>
      <c r="AT115" s="70"/>
      <c r="AU115" s="70"/>
    </row>
    <row r="116" spans="1:47" ht="15" x14ac:dyDescent="0.25">
      <c r="AQ116" s="34"/>
      <c r="AR116" s="34"/>
      <c r="AT116" s="71"/>
      <c r="AU116" s="71"/>
    </row>
    <row r="117" spans="1:47" ht="15" x14ac:dyDescent="0.25">
      <c r="AQ117" s="34"/>
      <c r="AR117" s="34"/>
      <c r="AT117" s="72"/>
      <c r="AU117" s="72"/>
    </row>
    <row r="118" spans="1:47" ht="15" x14ac:dyDescent="0.25">
      <c r="AQ118" s="34"/>
      <c r="AR118" s="34"/>
    </row>
    <row r="122" spans="1:47" ht="13.2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R122" s="56"/>
    </row>
    <row r="123" spans="1:47" ht="13.2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R123" s="56"/>
    </row>
    <row r="124" spans="1:47" ht="13.2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R124" s="56"/>
    </row>
    <row r="125" spans="1:47" ht="13.2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R125" s="56"/>
    </row>
    <row r="126" spans="1:47" ht="13.2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R126" s="56"/>
    </row>
    <row r="127" spans="1:47" ht="13.2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R127" s="56"/>
    </row>
    <row r="128" spans="1:47" ht="13.2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R128" s="56"/>
    </row>
    <row r="129" spans="1:44" ht="13.2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R129" s="5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0887-FB85-4E76-8D60-6E9164416845}">
  <sheetPr>
    <pageSetUpPr fitToPage="1"/>
  </sheetPr>
  <dimension ref="A16:CJ144"/>
  <sheetViews>
    <sheetView topLeftCell="A82" zoomScale="90" zoomScaleNormal="90" zoomScalePageLayoutView="85" workbookViewId="0">
      <selection activeCell="S131" sqref="S131"/>
    </sheetView>
  </sheetViews>
  <sheetFormatPr defaultColWidth="8.77734375" defaultRowHeight="15.6" x14ac:dyDescent="0.3"/>
  <cols>
    <col min="1" max="1" width="9.21875" style="53" customWidth="1"/>
    <col min="2" max="2" width="27.77734375" style="53" customWidth="1"/>
    <col min="3" max="4" width="17.44140625" style="53" customWidth="1"/>
    <col min="5" max="5" width="8.77734375" style="53"/>
    <col min="6" max="6" width="7.5546875" style="53" customWidth="1"/>
    <col min="7" max="7" width="6.44140625" style="53" customWidth="1"/>
    <col min="8" max="9" width="10.77734375" style="53" customWidth="1"/>
    <col min="10" max="10" width="11.77734375" style="53" customWidth="1"/>
    <col min="11" max="11" width="5" style="53" customWidth="1"/>
    <col min="12" max="12" width="8.77734375" style="53" customWidth="1"/>
    <col min="13" max="13" width="22.5546875" style="58" customWidth="1"/>
    <col min="14" max="15" width="16.44140625" style="58" customWidth="1"/>
    <col min="16" max="16" width="12.77734375" style="53" customWidth="1"/>
    <col min="17" max="17" width="7.21875" style="36" customWidth="1"/>
    <col min="18" max="18" width="9.21875" style="36" bestFit="1" customWidth="1"/>
    <col min="19" max="19" width="7.21875" style="36" customWidth="1"/>
    <col min="20" max="22" width="9.21875" style="36" bestFit="1" customWidth="1"/>
    <col min="23" max="23" width="9.77734375" style="36" bestFit="1" customWidth="1"/>
    <col min="24" max="29" width="8.77734375" style="53"/>
    <col min="30" max="30" width="20.77734375" style="53" customWidth="1"/>
    <col min="31" max="31" width="24.5546875" style="53" customWidth="1"/>
    <col min="32" max="32" width="17.5546875" style="53" customWidth="1"/>
    <col min="33" max="33" width="8.77734375" style="53"/>
    <col min="34" max="35" width="8.77734375" style="56"/>
    <col min="36" max="36" width="11.21875" style="56" customWidth="1"/>
    <col min="37" max="37" width="10.77734375" style="56" customWidth="1"/>
    <col min="38" max="43" width="8.77734375" style="56"/>
    <col min="44" max="44" width="8.77734375" style="101"/>
    <col min="45" max="46" width="8.77734375" style="56"/>
    <col min="47" max="47" width="11.5546875" style="56" customWidth="1"/>
    <col min="48" max="230" width="8.77734375" style="56"/>
    <col min="231" max="231" width="24.77734375" style="56" customWidth="1"/>
    <col min="232" max="232" width="13.44140625" style="56" customWidth="1"/>
    <col min="233" max="233" width="8.77734375" style="56"/>
    <col min="234" max="234" width="6.77734375" style="56" customWidth="1"/>
    <col min="235" max="235" width="6.44140625" style="56" customWidth="1"/>
    <col min="236" max="236" width="8.21875" style="56" customWidth="1"/>
    <col min="237" max="237" width="6.77734375" style="56" customWidth="1"/>
    <col min="238" max="238" width="4.77734375" style="56" customWidth="1"/>
    <col min="239" max="240" width="5" style="56" customWidth="1"/>
    <col min="241" max="241" width="8.77734375" style="56"/>
    <col min="242" max="242" width="10.44140625" style="56" customWidth="1"/>
    <col min="243" max="243" width="3.77734375" style="56" customWidth="1"/>
    <col min="244" max="245" width="8.77734375" style="56"/>
    <col min="246" max="246" width="3.77734375" style="56" customWidth="1"/>
    <col min="247" max="486" width="8.77734375" style="56"/>
    <col min="487" max="487" width="24.77734375" style="56" customWidth="1"/>
    <col min="488" max="488" width="13.44140625" style="56" customWidth="1"/>
    <col min="489" max="489" width="8.77734375" style="56"/>
    <col min="490" max="490" width="6.77734375" style="56" customWidth="1"/>
    <col min="491" max="491" width="6.44140625" style="56" customWidth="1"/>
    <col min="492" max="492" width="8.21875" style="56" customWidth="1"/>
    <col min="493" max="493" width="6.77734375" style="56" customWidth="1"/>
    <col min="494" max="494" width="4.77734375" style="56" customWidth="1"/>
    <col min="495" max="496" width="5" style="56" customWidth="1"/>
    <col min="497" max="497" width="8.77734375" style="56"/>
    <col min="498" max="498" width="10.44140625" style="56" customWidth="1"/>
    <col min="499" max="499" width="3.77734375" style="56" customWidth="1"/>
    <col min="500" max="501" width="8.77734375" style="56"/>
    <col min="502" max="502" width="3.77734375" style="56" customWidth="1"/>
    <col min="503" max="742" width="8.77734375" style="56"/>
    <col min="743" max="743" width="24.77734375" style="56" customWidth="1"/>
    <col min="744" max="744" width="13.44140625" style="56" customWidth="1"/>
    <col min="745" max="745" width="8.77734375" style="56"/>
    <col min="746" max="746" width="6.77734375" style="56" customWidth="1"/>
    <col min="747" max="747" width="6.44140625" style="56" customWidth="1"/>
    <col min="748" max="748" width="8.21875" style="56" customWidth="1"/>
    <col min="749" max="749" width="6.77734375" style="56" customWidth="1"/>
    <col min="750" max="750" width="4.77734375" style="56" customWidth="1"/>
    <col min="751" max="752" width="5" style="56" customWidth="1"/>
    <col min="753" max="753" width="8.77734375" style="56"/>
    <col min="754" max="754" width="10.44140625" style="56" customWidth="1"/>
    <col min="755" max="755" width="3.77734375" style="56" customWidth="1"/>
    <col min="756" max="757" width="8.77734375" style="56"/>
    <col min="758" max="758" width="3.77734375" style="56" customWidth="1"/>
    <col min="759" max="998" width="8.77734375" style="56"/>
    <col min="999" max="999" width="24.77734375" style="56" customWidth="1"/>
    <col min="1000" max="1000" width="13.44140625" style="56" customWidth="1"/>
    <col min="1001" max="1001" width="8.77734375" style="56"/>
    <col min="1002" max="1002" width="6.77734375" style="56" customWidth="1"/>
    <col min="1003" max="1003" width="6.44140625" style="56" customWidth="1"/>
    <col min="1004" max="1004" width="8.21875" style="56" customWidth="1"/>
    <col min="1005" max="1005" width="6.77734375" style="56" customWidth="1"/>
    <col min="1006" max="1006" width="4.77734375" style="56" customWidth="1"/>
    <col min="1007" max="1008" width="5" style="56" customWidth="1"/>
    <col min="1009" max="1009" width="8.77734375" style="56"/>
    <col min="1010" max="1010" width="10.44140625" style="56" customWidth="1"/>
    <col min="1011" max="1011" width="3.77734375" style="56" customWidth="1"/>
    <col min="1012" max="1013" width="8.77734375" style="56"/>
    <col min="1014" max="1014" width="3.77734375" style="56" customWidth="1"/>
    <col min="1015" max="1254" width="8.77734375" style="56"/>
    <col min="1255" max="1255" width="24.77734375" style="56" customWidth="1"/>
    <col min="1256" max="1256" width="13.44140625" style="56" customWidth="1"/>
    <col min="1257" max="1257" width="8.77734375" style="56"/>
    <col min="1258" max="1258" width="6.77734375" style="56" customWidth="1"/>
    <col min="1259" max="1259" width="6.44140625" style="56" customWidth="1"/>
    <col min="1260" max="1260" width="8.21875" style="56" customWidth="1"/>
    <col min="1261" max="1261" width="6.77734375" style="56" customWidth="1"/>
    <col min="1262" max="1262" width="4.77734375" style="56" customWidth="1"/>
    <col min="1263" max="1264" width="5" style="56" customWidth="1"/>
    <col min="1265" max="1265" width="8.77734375" style="56"/>
    <col min="1266" max="1266" width="10.44140625" style="56" customWidth="1"/>
    <col min="1267" max="1267" width="3.77734375" style="56" customWidth="1"/>
    <col min="1268" max="1269" width="8.77734375" style="56"/>
    <col min="1270" max="1270" width="3.77734375" style="56" customWidth="1"/>
    <col min="1271" max="1510" width="8.77734375" style="56"/>
    <col min="1511" max="1511" width="24.77734375" style="56" customWidth="1"/>
    <col min="1512" max="1512" width="13.44140625" style="56" customWidth="1"/>
    <col min="1513" max="1513" width="8.77734375" style="56"/>
    <col min="1514" max="1514" width="6.77734375" style="56" customWidth="1"/>
    <col min="1515" max="1515" width="6.44140625" style="56" customWidth="1"/>
    <col min="1516" max="1516" width="8.21875" style="56" customWidth="1"/>
    <col min="1517" max="1517" width="6.77734375" style="56" customWidth="1"/>
    <col min="1518" max="1518" width="4.77734375" style="56" customWidth="1"/>
    <col min="1519" max="1520" width="5" style="56" customWidth="1"/>
    <col min="1521" max="1521" width="8.77734375" style="56"/>
    <col min="1522" max="1522" width="10.44140625" style="56" customWidth="1"/>
    <col min="1523" max="1523" width="3.77734375" style="56" customWidth="1"/>
    <col min="1524" max="1525" width="8.77734375" style="56"/>
    <col min="1526" max="1526" width="3.77734375" style="56" customWidth="1"/>
    <col min="1527" max="1766" width="8.77734375" style="56"/>
    <col min="1767" max="1767" width="24.77734375" style="56" customWidth="1"/>
    <col min="1768" max="1768" width="13.44140625" style="56" customWidth="1"/>
    <col min="1769" max="1769" width="8.77734375" style="56"/>
    <col min="1770" max="1770" width="6.77734375" style="56" customWidth="1"/>
    <col min="1771" max="1771" width="6.44140625" style="56" customWidth="1"/>
    <col min="1772" max="1772" width="8.21875" style="56" customWidth="1"/>
    <col min="1773" max="1773" width="6.77734375" style="56" customWidth="1"/>
    <col min="1774" max="1774" width="4.77734375" style="56" customWidth="1"/>
    <col min="1775" max="1776" width="5" style="56" customWidth="1"/>
    <col min="1777" max="1777" width="8.77734375" style="56"/>
    <col min="1778" max="1778" width="10.44140625" style="56" customWidth="1"/>
    <col min="1779" max="1779" width="3.77734375" style="56" customWidth="1"/>
    <col min="1780" max="1781" width="8.77734375" style="56"/>
    <col min="1782" max="1782" width="3.77734375" style="56" customWidth="1"/>
    <col min="1783" max="2022" width="8.77734375" style="56"/>
    <col min="2023" max="2023" width="24.77734375" style="56" customWidth="1"/>
    <col min="2024" max="2024" width="13.44140625" style="56" customWidth="1"/>
    <col min="2025" max="2025" width="8.77734375" style="56"/>
    <col min="2026" max="2026" width="6.77734375" style="56" customWidth="1"/>
    <col min="2027" max="2027" width="6.44140625" style="56" customWidth="1"/>
    <col min="2028" max="2028" width="8.21875" style="56" customWidth="1"/>
    <col min="2029" max="2029" width="6.77734375" style="56" customWidth="1"/>
    <col min="2030" max="2030" width="4.77734375" style="56" customWidth="1"/>
    <col min="2031" max="2032" width="5" style="56" customWidth="1"/>
    <col min="2033" max="2033" width="8.77734375" style="56"/>
    <col min="2034" max="2034" width="10.44140625" style="56" customWidth="1"/>
    <col min="2035" max="2035" width="3.77734375" style="56" customWidth="1"/>
    <col min="2036" max="2037" width="8.77734375" style="56"/>
    <col min="2038" max="2038" width="3.77734375" style="56" customWidth="1"/>
    <col min="2039" max="2278" width="8.77734375" style="56"/>
    <col min="2279" max="2279" width="24.77734375" style="56" customWidth="1"/>
    <col min="2280" max="2280" width="13.44140625" style="56" customWidth="1"/>
    <col min="2281" max="2281" width="8.77734375" style="56"/>
    <col min="2282" max="2282" width="6.77734375" style="56" customWidth="1"/>
    <col min="2283" max="2283" width="6.44140625" style="56" customWidth="1"/>
    <col min="2284" max="2284" width="8.21875" style="56" customWidth="1"/>
    <col min="2285" max="2285" width="6.77734375" style="56" customWidth="1"/>
    <col min="2286" max="2286" width="4.77734375" style="56" customWidth="1"/>
    <col min="2287" max="2288" width="5" style="56" customWidth="1"/>
    <col min="2289" max="2289" width="8.77734375" style="56"/>
    <col min="2290" max="2290" width="10.44140625" style="56" customWidth="1"/>
    <col min="2291" max="2291" width="3.77734375" style="56" customWidth="1"/>
    <col min="2292" max="2293" width="8.77734375" style="56"/>
    <col min="2294" max="2294" width="3.77734375" style="56" customWidth="1"/>
    <col min="2295" max="2534" width="8.77734375" style="56"/>
    <col min="2535" max="2535" width="24.77734375" style="56" customWidth="1"/>
    <col min="2536" max="2536" width="13.44140625" style="56" customWidth="1"/>
    <col min="2537" max="2537" width="8.77734375" style="56"/>
    <col min="2538" max="2538" width="6.77734375" style="56" customWidth="1"/>
    <col min="2539" max="2539" width="6.44140625" style="56" customWidth="1"/>
    <col min="2540" max="2540" width="8.21875" style="56" customWidth="1"/>
    <col min="2541" max="2541" width="6.77734375" style="56" customWidth="1"/>
    <col min="2542" max="2542" width="4.77734375" style="56" customWidth="1"/>
    <col min="2543" max="2544" width="5" style="56" customWidth="1"/>
    <col min="2545" max="2545" width="8.77734375" style="56"/>
    <col min="2546" max="2546" width="10.44140625" style="56" customWidth="1"/>
    <col min="2547" max="2547" width="3.77734375" style="56" customWidth="1"/>
    <col min="2548" max="2549" width="8.77734375" style="56"/>
    <col min="2550" max="2550" width="3.77734375" style="56" customWidth="1"/>
    <col min="2551" max="2790" width="8.77734375" style="56"/>
    <col min="2791" max="2791" width="24.77734375" style="56" customWidth="1"/>
    <col min="2792" max="2792" width="13.44140625" style="56" customWidth="1"/>
    <col min="2793" max="2793" width="8.77734375" style="56"/>
    <col min="2794" max="2794" width="6.77734375" style="56" customWidth="1"/>
    <col min="2795" max="2795" width="6.44140625" style="56" customWidth="1"/>
    <col min="2796" max="2796" width="8.21875" style="56" customWidth="1"/>
    <col min="2797" max="2797" width="6.77734375" style="56" customWidth="1"/>
    <col min="2798" max="2798" width="4.77734375" style="56" customWidth="1"/>
    <col min="2799" max="2800" width="5" style="56" customWidth="1"/>
    <col min="2801" max="2801" width="8.77734375" style="56"/>
    <col min="2802" max="2802" width="10.44140625" style="56" customWidth="1"/>
    <col min="2803" max="2803" width="3.77734375" style="56" customWidth="1"/>
    <col min="2804" max="2805" width="8.77734375" style="56"/>
    <col min="2806" max="2806" width="3.77734375" style="56" customWidth="1"/>
    <col min="2807" max="3046" width="8.77734375" style="56"/>
    <col min="3047" max="3047" width="24.77734375" style="56" customWidth="1"/>
    <col min="3048" max="3048" width="13.44140625" style="56" customWidth="1"/>
    <col min="3049" max="3049" width="8.77734375" style="56"/>
    <col min="3050" max="3050" width="6.77734375" style="56" customWidth="1"/>
    <col min="3051" max="3051" width="6.44140625" style="56" customWidth="1"/>
    <col min="3052" max="3052" width="8.21875" style="56" customWidth="1"/>
    <col min="3053" max="3053" width="6.77734375" style="56" customWidth="1"/>
    <col min="3054" max="3054" width="4.77734375" style="56" customWidth="1"/>
    <col min="3055" max="3056" width="5" style="56" customWidth="1"/>
    <col min="3057" max="3057" width="8.77734375" style="56"/>
    <col min="3058" max="3058" width="10.44140625" style="56" customWidth="1"/>
    <col min="3059" max="3059" width="3.77734375" style="56" customWidth="1"/>
    <col min="3060" max="3061" width="8.77734375" style="56"/>
    <col min="3062" max="3062" width="3.77734375" style="56" customWidth="1"/>
    <col min="3063" max="3302" width="8.77734375" style="56"/>
    <col min="3303" max="3303" width="24.77734375" style="56" customWidth="1"/>
    <col min="3304" max="3304" width="13.44140625" style="56" customWidth="1"/>
    <col min="3305" max="3305" width="8.77734375" style="56"/>
    <col min="3306" max="3306" width="6.77734375" style="56" customWidth="1"/>
    <col min="3307" max="3307" width="6.44140625" style="56" customWidth="1"/>
    <col min="3308" max="3308" width="8.21875" style="56" customWidth="1"/>
    <col min="3309" max="3309" width="6.77734375" style="56" customWidth="1"/>
    <col min="3310" max="3310" width="4.77734375" style="56" customWidth="1"/>
    <col min="3311" max="3312" width="5" style="56" customWidth="1"/>
    <col min="3313" max="3313" width="8.77734375" style="56"/>
    <col min="3314" max="3314" width="10.44140625" style="56" customWidth="1"/>
    <col min="3315" max="3315" width="3.77734375" style="56" customWidth="1"/>
    <col min="3316" max="3317" width="8.77734375" style="56"/>
    <col min="3318" max="3318" width="3.77734375" style="56" customWidth="1"/>
    <col min="3319" max="3558" width="8.77734375" style="56"/>
    <col min="3559" max="3559" width="24.77734375" style="56" customWidth="1"/>
    <col min="3560" max="3560" width="13.44140625" style="56" customWidth="1"/>
    <col min="3561" max="3561" width="8.77734375" style="56"/>
    <col min="3562" max="3562" width="6.77734375" style="56" customWidth="1"/>
    <col min="3563" max="3563" width="6.44140625" style="56" customWidth="1"/>
    <col min="3564" max="3564" width="8.21875" style="56" customWidth="1"/>
    <col min="3565" max="3565" width="6.77734375" style="56" customWidth="1"/>
    <col min="3566" max="3566" width="4.77734375" style="56" customWidth="1"/>
    <col min="3567" max="3568" width="5" style="56" customWidth="1"/>
    <col min="3569" max="3569" width="8.77734375" style="56"/>
    <col min="3570" max="3570" width="10.44140625" style="56" customWidth="1"/>
    <col min="3571" max="3571" width="3.77734375" style="56" customWidth="1"/>
    <col min="3572" max="3573" width="8.77734375" style="56"/>
    <col min="3574" max="3574" width="3.77734375" style="56" customWidth="1"/>
    <col min="3575" max="3814" width="8.77734375" style="56"/>
    <col min="3815" max="3815" width="24.77734375" style="56" customWidth="1"/>
    <col min="3816" max="3816" width="13.44140625" style="56" customWidth="1"/>
    <col min="3817" max="3817" width="8.77734375" style="56"/>
    <col min="3818" max="3818" width="6.77734375" style="56" customWidth="1"/>
    <col min="3819" max="3819" width="6.44140625" style="56" customWidth="1"/>
    <col min="3820" max="3820" width="8.21875" style="56" customWidth="1"/>
    <col min="3821" max="3821" width="6.77734375" style="56" customWidth="1"/>
    <col min="3822" max="3822" width="4.77734375" style="56" customWidth="1"/>
    <col min="3823" max="3824" width="5" style="56" customWidth="1"/>
    <col min="3825" max="3825" width="8.77734375" style="56"/>
    <col min="3826" max="3826" width="10.44140625" style="56" customWidth="1"/>
    <col min="3827" max="3827" width="3.77734375" style="56" customWidth="1"/>
    <col min="3828" max="3829" width="8.77734375" style="56"/>
    <col min="3830" max="3830" width="3.77734375" style="56" customWidth="1"/>
    <col min="3831" max="4070" width="8.77734375" style="56"/>
    <col min="4071" max="4071" width="24.77734375" style="56" customWidth="1"/>
    <col min="4072" max="4072" width="13.44140625" style="56" customWidth="1"/>
    <col min="4073" max="4073" width="8.77734375" style="56"/>
    <col min="4074" max="4074" width="6.77734375" style="56" customWidth="1"/>
    <col min="4075" max="4075" width="6.44140625" style="56" customWidth="1"/>
    <col min="4076" max="4076" width="8.21875" style="56" customWidth="1"/>
    <col min="4077" max="4077" width="6.77734375" style="56" customWidth="1"/>
    <col min="4078" max="4078" width="4.77734375" style="56" customWidth="1"/>
    <col min="4079" max="4080" width="5" style="56" customWidth="1"/>
    <col min="4081" max="4081" width="8.77734375" style="56"/>
    <col min="4082" max="4082" width="10.44140625" style="56" customWidth="1"/>
    <col min="4083" max="4083" width="3.77734375" style="56" customWidth="1"/>
    <col min="4084" max="4085" width="8.77734375" style="56"/>
    <col min="4086" max="4086" width="3.77734375" style="56" customWidth="1"/>
    <col min="4087" max="4326" width="8.77734375" style="56"/>
    <col min="4327" max="4327" width="24.77734375" style="56" customWidth="1"/>
    <col min="4328" max="4328" width="13.44140625" style="56" customWidth="1"/>
    <col min="4329" max="4329" width="8.77734375" style="56"/>
    <col min="4330" max="4330" width="6.77734375" style="56" customWidth="1"/>
    <col min="4331" max="4331" width="6.44140625" style="56" customWidth="1"/>
    <col min="4332" max="4332" width="8.21875" style="56" customWidth="1"/>
    <col min="4333" max="4333" width="6.77734375" style="56" customWidth="1"/>
    <col min="4334" max="4334" width="4.77734375" style="56" customWidth="1"/>
    <col min="4335" max="4336" width="5" style="56" customWidth="1"/>
    <col min="4337" max="4337" width="8.77734375" style="56"/>
    <col min="4338" max="4338" width="10.44140625" style="56" customWidth="1"/>
    <col min="4339" max="4339" width="3.77734375" style="56" customWidth="1"/>
    <col min="4340" max="4341" width="8.77734375" style="56"/>
    <col min="4342" max="4342" width="3.77734375" style="56" customWidth="1"/>
    <col min="4343" max="4582" width="8.77734375" style="56"/>
    <col min="4583" max="4583" width="24.77734375" style="56" customWidth="1"/>
    <col min="4584" max="4584" width="13.44140625" style="56" customWidth="1"/>
    <col min="4585" max="4585" width="8.77734375" style="56"/>
    <col min="4586" max="4586" width="6.77734375" style="56" customWidth="1"/>
    <col min="4587" max="4587" width="6.44140625" style="56" customWidth="1"/>
    <col min="4588" max="4588" width="8.21875" style="56" customWidth="1"/>
    <col min="4589" max="4589" width="6.77734375" style="56" customWidth="1"/>
    <col min="4590" max="4590" width="4.77734375" style="56" customWidth="1"/>
    <col min="4591" max="4592" width="5" style="56" customWidth="1"/>
    <col min="4593" max="4593" width="8.77734375" style="56"/>
    <col min="4594" max="4594" width="10.44140625" style="56" customWidth="1"/>
    <col min="4595" max="4595" width="3.77734375" style="56" customWidth="1"/>
    <col min="4596" max="4597" width="8.77734375" style="56"/>
    <col min="4598" max="4598" width="3.77734375" style="56" customWidth="1"/>
    <col min="4599" max="4838" width="8.77734375" style="56"/>
    <col min="4839" max="4839" width="24.77734375" style="56" customWidth="1"/>
    <col min="4840" max="4840" width="13.44140625" style="56" customWidth="1"/>
    <col min="4841" max="4841" width="8.77734375" style="56"/>
    <col min="4842" max="4842" width="6.77734375" style="56" customWidth="1"/>
    <col min="4843" max="4843" width="6.44140625" style="56" customWidth="1"/>
    <col min="4844" max="4844" width="8.21875" style="56" customWidth="1"/>
    <col min="4845" max="4845" width="6.77734375" style="56" customWidth="1"/>
    <col min="4846" max="4846" width="4.77734375" style="56" customWidth="1"/>
    <col min="4847" max="4848" width="5" style="56" customWidth="1"/>
    <col min="4849" max="4849" width="8.77734375" style="56"/>
    <col min="4850" max="4850" width="10.44140625" style="56" customWidth="1"/>
    <col min="4851" max="4851" width="3.77734375" style="56" customWidth="1"/>
    <col min="4852" max="4853" width="8.77734375" style="56"/>
    <col min="4854" max="4854" width="3.77734375" style="56" customWidth="1"/>
    <col min="4855" max="5094" width="8.77734375" style="56"/>
    <col min="5095" max="5095" width="24.77734375" style="56" customWidth="1"/>
    <col min="5096" max="5096" width="13.44140625" style="56" customWidth="1"/>
    <col min="5097" max="5097" width="8.77734375" style="56"/>
    <col min="5098" max="5098" width="6.77734375" style="56" customWidth="1"/>
    <col min="5099" max="5099" width="6.44140625" style="56" customWidth="1"/>
    <col min="5100" max="5100" width="8.21875" style="56" customWidth="1"/>
    <col min="5101" max="5101" width="6.77734375" style="56" customWidth="1"/>
    <col min="5102" max="5102" width="4.77734375" style="56" customWidth="1"/>
    <col min="5103" max="5104" width="5" style="56" customWidth="1"/>
    <col min="5105" max="5105" width="8.77734375" style="56"/>
    <col min="5106" max="5106" width="10.44140625" style="56" customWidth="1"/>
    <col min="5107" max="5107" width="3.77734375" style="56" customWidth="1"/>
    <col min="5108" max="5109" width="8.77734375" style="56"/>
    <col min="5110" max="5110" width="3.77734375" style="56" customWidth="1"/>
    <col min="5111" max="5350" width="8.77734375" style="56"/>
    <col min="5351" max="5351" width="24.77734375" style="56" customWidth="1"/>
    <col min="5352" max="5352" width="13.44140625" style="56" customWidth="1"/>
    <col min="5353" max="5353" width="8.77734375" style="56"/>
    <col min="5354" max="5354" width="6.77734375" style="56" customWidth="1"/>
    <col min="5355" max="5355" width="6.44140625" style="56" customWidth="1"/>
    <col min="5356" max="5356" width="8.21875" style="56" customWidth="1"/>
    <col min="5357" max="5357" width="6.77734375" style="56" customWidth="1"/>
    <col min="5358" max="5358" width="4.77734375" style="56" customWidth="1"/>
    <col min="5359" max="5360" width="5" style="56" customWidth="1"/>
    <col min="5361" max="5361" width="8.77734375" style="56"/>
    <col min="5362" max="5362" width="10.44140625" style="56" customWidth="1"/>
    <col min="5363" max="5363" width="3.77734375" style="56" customWidth="1"/>
    <col min="5364" max="5365" width="8.77734375" style="56"/>
    <col min="5366" max="5366" width="3.77734375" style="56" customWidth="1"/>
    <col min="5367" max="5606" width="8.77734375" style="56"/>
    <col min="5607" max="5607" width="24.77734375" style="56" customWidth="1"/>
    <col min="5608" max="5608" width="13.44140625" style="56" customWidth="1"/>
    <col min="5609" max="5609" width="8.77734375" style="56"/>
    <col min="5610" max="5610" width="6.77734375" style="56" customWidth="1"/>
    <col min="5611" max="5611" width="6.44140625" style="56" customWidth="1"/>
    <col min="5612" max="5612" width="8.21875" style="56" customWidth="1"/>
    <col min="5613" max="5613" width="6.77734375" style="56" customWidth="1"/>
    <col min="5614" max="5614" width="4.77734375" style="56" customWidth="1"/>
    <col min="5615" max="5616" width="5" style="56" customWidth="1"/>
    <col min="5617" max="5617" width="8.77734375" style="56"/>
    <col min="5618" max="5618" width="10.44140625" style="56" customWidth="1"/>
    <col min="5619" max="5619" width="3.77734375" style="56" customWidth="1"/>
    <col min="5620" max="5621" width="8.77734375" style="56"/>
    <col min="5622" max="5622" width="3.77734375" style="56" customWidth="1"/>
    <col min="5623" max="5862" width="8.77734375" style="56"/>
    <col min="5863" max="5863" width="24.77734375" style="56" customWidth="1"/>
    <col min="5864" max="5864" width="13.44140625" style="56" customWidth="1"/>
    <col min="5865" max="5865" width="8.77734375" style="56"/>
    <col min="5866" max="5866" width="6.77734375" style="56" customWidth="1"/>
    <col min="5867" max="5867" width="6.44140625" style="56" customWidth="1"/>
    <col min="5868" max="5868" width="8.21875" style="56" customWidth="1"/>
    <col min="5869" max="5869" width="6.77734375" style="56" customWidth="1"/>
    <col min="5870" max="5870" width="4.77734375" style="56" customWidth="1"/>
    <col min="5871" max="5872" width="5" style="56" customWidth="1"/>
    <col min="5873" max="5873" width="8.77734375" style="56"/>
    <col min="5874" max="5874" width="10.44140625" style="56" customWidth="1"/>
    <col min="5875" max="5875" width="3.77734375" style="56" customWidth="1"/>
    <col min="5876" max="5877" width="8.77734375" style="56"/>
    <col min="5878" max="5878" width="3.77734375" style="56" customWidth="1"/>
    <col min="5879" max="6118" width="8.77734375" style="56"/>
    <col min="6119" max="6119" width="24.77734375" style="56" customWidth="1"/>
    <col min="6120" max="6120" width="13.44140625" style="56" customWidth="1"/>
    <col min="6121" max="6121" width="8.77734375" style="56"/>
    <col min="6122" max="6122" width="6.77734375" style="56" customWidth="1"/>
    <col min="6123" max="6123" width="6.44140625" style="56" customWidth="1"/>
    <col min="6124" max="6124" width="8.21875" style="56" customWidth="1"/>
    <col min="6125" max="6125" width="6.77734375" style="56" customWidth="1"/>
    <col min="6126" max="6126" width="4.77734375" style="56" customWidth="1"/>
    <col min="6127" max="6128" width="5" style="56" customWidth="1"/>
    <col min="6129" max="6129" width="8.77734375" style="56"/>
    <col min="6130" max="6130" width="10.44140625" style="56" customWidth="1"/>
    <col min="6131" max="6131" width="3.77734375" style="56" customWidth="1"/>
    <col min="6132" max="6133" width="8.77734375" style="56"/>
    <col min="6134" max="6134" width="3.77734375" style="56" customWidth="1"/>
    <col min="6135" max="6374" width="8.77734375" style="56"/>
    <col min="6375" max="6375" width="24.77734375" style="56" customWidth="1"/>
    <col min="6376" max="6376" width="13.44140625" style="56" customWidth="1"/>
    <col min="6377" max="6377" width="8.77734375" style="56"/>
    <col min="6378" max="6378" width="6.77734375" style="56" customWidth="1"/>
    <col min="6379" max="6379" width="6.44140625" style="56" customWidth="1"/>
    <col min="6380" max="6380" width="8.21875" style="56" customWidth="1"/>
    <col min="6381" max="6381" width="6.77734375" style="56" customWidth="1"/>
    <col min="6382" max="6382" width="4.77734375" style="56" customWidth="1"/>
    <col min="6383" max="6384" width="5" style="56" customWidth="1"/>
    <col min="6385" max="6385" width="8.77734375" style="56"/>
    <col min="6386" max="6386" width="10.44140625" style="56" customWidth="1"/>
    <col min="6387" max="6387" width="3.77734375" style="56" customWidth="1"/>
    <col min="6388" max="6389" width="8.77734375" style="56"/>
    <col min="6390" max="6390" width="3.77734375" style="56" customWidth="1"/>
    <col min="6391" max="6630" width="8.77734375" style="56"/>
    <col min="6631" max="6631" width="24.77734375" style="56" customWidth="1"/>
    <col min="6632" max="6632" width="13.44140625" style="56" customWidth="1"/>
    <col min="6633" max="6633" width="8.77734375" style="56"/>
    <col min="6634" max="6634" width="6.77734375" style="56" customWidth="1"/>
    <col min="6635" max="6635" width="6.44140625" style="56" customWidth="1"/>
    <col min="6636" max="6636" width="8.21875" style="56" customWidth="1"/>
    <col min="6637" max="6637" width="6.77734375" style="56" customWidth="1"/>
    <col min="6638" max="6638" width="4.77734375" style="56" customWidth="1"/>
    <col min="6639" max="6640" width="5" style="56" customWidth="1"/>
    <col min="6641" max="6641" width="8.77734375" style="56"/>
    <col min="6642" max="6642" width="10.44140625" style="56" customWidth="1"/>
    <col min="6643" max="6643" width="3.77734375" style="56" customWidth="1"/>
    <col min="6644" max="6645" width="8.77734375" style="56"/>
    <col min="6646" max="6646" width="3.77734375" style="56" customWidth="1"/>
    <col min="6647" max="6886" width="8.77734375" style="56"/>
    <col min="6887" max="6887" width="24.77734375" style="56" customWidth="1"/>
    <col min="6888" max="6888" width="13.44140625" style="56" customWidth="1"/>
    <col min="6889" max="6889" width="8.77734375" style="56"/>
    <col min="6890" max="6890" width="6.77734375" style="56" customWidth="1"/>
    <col min="6891" max="6891" width="6.44140625" style="56" customWidth="1"/>
    <col min="6892" max="6892" width="8.21875" style="56" customWidth="1"/>
    <col min="6893" max="6893" width="6.77734375" style="56" customWidth="1"/>
    <col min="6894" max="6894" width="4.77734375" style="56" customWidth="1"/>
    <col min="6895" max="6896" width="5" style="56" customWidth="1"/>
    <col min="6897" max="6897" width="8.77734375" style="56"/>
    <col min="6898" max="6898" width="10.44140625" style="56" customWidth="1"/>
    <col min="6899" max="6899" width="3.77734375" style="56" customWidth="1"/>
    <col min="6900" max="6901" width="8.77734375" style="56"/>
    <col min="6902" max="6902" width="3.77734375" style="56" customWidth="1"/>
    <col min="6903" max="7142" width="8.77734375" style="56"/>
    <col min="7143" max="7143" width="24.77734375" style="56" customWidth="1"/>
    <col min="7144" max="7144" width="13.44140625" style="56" customWidth="1"/>
    <col min="7145" max="7145" width="8.77734375" style="56"/>
    <col min="7146" max="7146" width="6.77734375" style="56" customWidth="1"/>
    <col min="7147" max="7147" width="6.44140625" style="56" customWidth="1"/>
    <col min="7148" max="7148" width="8.21875" style="56" customWidth="1"/>
    <col min="7149" max="7149" width="6.77734375" style="56" customWidth="1"/>
    <col min="7150" max="7150" width="4.77734375" style="56" customWidth="1"/>
    <col min="7151" max="7152" width="5" style="56" customWidth="1"/>
    <col min="7153" max="7153" width="8.77734375" style="56"/>
    <col min="7154" max="7154" width="10.44140625" style="56" customWidth="1"/>
    <col min="7155" max="7155" width="3.77734375" style="56" customWidth="1"/>
    <col min="7156" max="7157" width="8.77734375" style="56"/>
    <col min="7158" max="7158" width="3.77734375" style="56" customWidth="1"/>
    <col min="7159" max="7398" width="8.77734375" style="56"/>
    <col min="7399" max="7399" width="24.77734375" style="56" customWidth="1"/>
    <col min="7400" max="7400" width="13.44140625" style="56" customWidth="1"/>
    <col min="7401" max="7401" width="8.77734375" style="56"/>
    <col min="7402" max="7402" width="6.77734375" style="56" customWidth="1"/>
    <col min="7403" max="7403" width="6.44140625" style="56" customWidth="1"/>
    <col min="7404" max="7404" width="8.21875" style="56" customWidth="1"/>
    <col min="7405" max="7405" width="6.77734375" style="56" customWidth="1"/>
    <col min="7406" max="7406" width="4.77734375" style="56" customWidth="1"/>
    <col min="7407" max="7408" width="5" style="56" customWidth="1"/>
    <col min="7409" max="7409" width="8.77734375" style="56"/>
    <col min="7410" max="7410" width="10.44140625" style="56" customWidth="1"/>
    <col min="7411" max="7411" width="3.77734375" style="56" customWidth="1"/>
    <col min="7412" max="7413" width="8.77734375" style="56"/>
    <col min="7414" max="7414" width="3.77734375" style="56" customWidth="1"/>
    <col min="7415" max="7654" width="8.77734375" style="56"/>
    <col min="7655" max="7655" width="24.77734375" style="56" customWidth="1"/>
    <col min="7656" max="7656" width="13.44140625" style="56" customWidth="1"/>
    <col min="7657" max="7657" width="8.77734375" style="56"/>
    <col min="7658" max="7658" width="6.77734375" style="56" customWidth="1"/>
    <col min="7659" max="7659" width="6.44140625" style="56" customWidth="1"/>
    <col min="7660" max="7660" width="8.21875" style="56" customWidth="1"/>
    <col min="7661" max="7661" width="6.77734375" style="56" customWidth="1"/>
    <col min="7662" max="7662" width="4.77734375" style="56" customWidth="1"/>
    <col min="7663" max="7664" width="5" style="56" customWidth="1"/>
    <col min="7665" max="7665" width="8.77734375" style="56"/>
    <col min="7666" max="7666" width="10.44140625" style="56" customWidth="1"/>
    <col min="7667" max="7667" width="3.77734375" style="56" customWidth="1"/>
    <col min="7668" max="7669" width="8.77734375" style="56"/>
    <col min="7670" max="7670" width="3.77734375" style="56" customWidth="1"/>
    <col min="7671" max="7910" width="8.77734375" style="56"/>
    <col min="7911" max="7911" width="24.77734375" style="56" customWidth="1"/>
    <col min="7912" max="7912" width="13.44140625" style="56" customWidth="1"/>
    <col min="7913" max="7913" width="8.77734375" style="56"/>
    <col min="7914" max="7914" width="6.77734375" style="56" customWidth="1"/>
    <col min="7915" max="7915" width="6.44140625" style="56" customWidth="1"/>
    <col min="7916" max="7916" width="8.21875" style="56" customWidth="1"/>
    <col min="7917" max="7917" width="6.77734375" style="56" customWidth="1"/>
    <col min="7918" max="7918" width="4.77734375" style="56" customWidth="1"/>
    <col min="7919" max="7920" width="5" style="56" customWidth="1"/>
    <col min="7921" max="7921" width="8.77734375" style="56"/>
    <col min="7922" max="7922" width="10.44140625" style="56" customWidth="1"/>
    <col min="7923" max="7923" width="3.77734375" style="56" customWidth="1"/>
    <col min="7924" max="7925" width="8.77734375" style="56"/>
    <col min="7926" max="7926" width="3.77734375" style="56" customWidth="1"/>
    <col min="7927" max="8166" width="8.77734375" style="56"/>
    <col min="8167" max="8167" width="24.77734375" style="56" customWidth="1"/>
    <col min="8168" max="8168" width="13.44140625" style="56" customWidth="1"/>
    <col min="8169" max="8169" width="8.77734375" style="56"/>
    <col min="8170" max="8170" width="6.77734375" style="56" customWidth="1"/>
    <col min="8171" max="8171" width="6.44140625" style="56" customWidth="1"/>
    <col min="8172" max="8172" width="8.21875" style="56" customWidth="1"/>
    <col min="8173" max="8173" width="6.77734375" style="56" customWidth="1"/>
    <col min="8174" max="8174" width="4.77734375" style="56" customWidth="1"/>
    <col min="8175" max="8176" width="5" style="56" customWidth="1"/>
    <col min="8177" max="8177" width="8.77734375" style="56"/>
    <col min="8178" max="8178" width="10.44140625" style="56" customWidth="1"/>
    <col min="8179" max="8179" width="3.77734375" style="56" customWidth="1"/>
    <col min="8180" max="8181" width="8.77734375" style="56"/>
    <col min="8182" max="8182" width="3.77734375" style="56" customWidth="1"/>
    <col min="8183" max="8422" width="8.77734375" style="56"/>
    <col min="8423" max="8423" width="24.77734375" style="56" customWidth="1"/>
    <col min="8424" max="8424" width="13.44140625" style="56" customWidth="1"/>
    <col min="8425" max="8425" width="8.77734375" style="56"/>
    <col min="8426" max="8426" width="6.77734375" style="56" customWidth="1"/>
    <col min="8427" max="8427" width="6.44140625" style="56" customWidth="1"/>
    <col min="8428" max="8428" width="8.21875" style="56" customWidth="1"/>
    <col min="8429" max="8429" width="6.77734375" style="56" customWidth="1"/>
    <col min="8430" max="8430" width="4.77734375" style="56" customWidth="1"/>
    <col min="8431" max="8432" width="5" style="56" customWidth="1"/>
    <col min="8433" max="8433" width="8.77734375" style="56"/>
    <col min="8434" max="8434" width="10.44140625" style="56" customWidth="1"/>
    <col min="8435" max="8435" width="3.77734375" style="56" customWidth="1"/>
    <col min="8436" max="8437" width="8.77734375" style="56"/>
    <col min="8438" max="8438" width="3.77734375" style="56" customWidth="1"/>
    <col min="8439" max="8678" width="8.77734375" style="56"/>
    <col min="8679" max="8679" width="24.77734375" style="56" customWidth="1"/>
    <col min="8680" max="8680" width="13.44140625" style="56" customWidth="1"/>
    <col min="8681" max="8681" width="8.77734375" style="56"/>
    <col min="8682" max="8682" width="6.77734375" style="56" customWidth="1"/>
    <col min="8683" max="8683" width="6.44140625" style="56" customWidth="1"/>
    <col min="8684" max="8684" width="8.21875" style="56" customWidth="1"/>
    <col min="8685" max="8685" width="6.77734375" style="56" customWidth="1"/>
    <col min="8686" max="8686" width="4.77734375" style="56" customWidth="1"/>
    <col min="8687" max="8688" width="5" style="56" customWidth="1"/>
    <col min="8689" max="8689" width="8.77734375" style="56"/>
    <col min="8690" max="8690" width="10.44140625" style="56" customWidth="1"/>
    <col min="8691" max="8691" width="3.77734375" style="56" customWidth="1"/>
    <col min="8692" max="8693" width="8.77734375" style="56"/>
    <col min="8694" max="8694" width="3.77734375" style="56" customWidth="1"/>
    <col min="8695" max="8934" width="8.77734375" style="56"/>
    <col min="8935" max="8935" width="24.77734375" style="56" customWidth="1"/>
    <col min="8936" max="8936" width="13.44140625" style="56" customWidth="1"/>
    <col min="8937" max="8937" width="8.77734375" style="56"/>
    <col min="8938" max="8938" width="6.77734375" style="56" customWidth="1"/>
    <col min="8939" max="8939" width="6.44140625" style="56" customWidth="1"/>
    <col min="8940" max="8940" width="8.21875" style="56" customWidth="1"/>
    <col min="8941" max="8941" width="6.77734375" style="56" customWidth="1"/>
    <col min="8942" max="8942" width="4.77734375" style="56" customWidth="1"/>
    <col min="8943" max="8944" width="5" style="56" customWidth="1"/>
    <col min="8945" max="8945" width="8.77734375" style="56"/>
    <col min="8946" max="8946" width="10.44140625" style="56" customWidth="1"/>
    <col min="8947" max="8947" width="3.77734375" style="56" customWidth="1"/>
    <col min="8948" max="8949" width="8.77734375" style="56"/>
    <col min="8950" max="8950" width="3.77734375" style="56" customWidth="1"/>
    <col min="8951" max="9190" width="8.77734375" style="56"/>
    <col min="9191" max="9191" width="24.77734375" style="56" customWidth="1"/>
    <col min="9192" max="9192" width="13.44140625" style="56" customWidth="1"/>
    <col min="9193" max="9193" width="8.77734375" style="56"/>
    <col min="9194" max="9194" width="6.77734375" style="56" customWidth="1"/>
    <col min="9195" max="9195" width="6.44140625" style="56" customWidth="1"/>
    <col min="9196" max="9196" width="8.21875" style="56" customWidth="1"/>
    <col min="9197" max="9197" width="6.77734375" style="56" customWidth="1"/>
    <col min="9198" max="9198" width="4.77734375" style="56" customWidth="1"/>
    <col min="9199" max="9200" width="5" style="56" customWidth="1"/>
    <col min="9201" max="9201" width="8.77734375" style="56"/>
    <col min="9202" max="9202" width="10.44140625" style="56" customWidth="1"/>
    <col min="9203" max="9203" width="3.77734375" style="56" customWidth="1"/>
    <col min="9204" max="9205" width="8.77734375" style="56"/>
    <col min="9206" max="9206" width="3.77734375" style="56" customWidth="1"/>
    <col min="9207" max="9446" width="8.77734375" style="56"/>
    <col min="9447" max="9447" width="24.77734375" style="56" customWidth="1"/>
    <col min="9448" max="9448" width="13.44140625" style="56" customWidth="1"/>
    <col min="9449" max="9449" width="8.77734375" style="56"/>
    <col min="9450" max="9450" width="6.77734375" style="56" customWidth="1"/>
    <col min="9451" max="9451" width="6.44140625" style="56" customWidth="1"/>
    <col min="9452" max="9452" width="8.21875" style="56" customWidth="1"/>
    <col min="9453" max="9453" width="6.77734375" style="56" customWidth="1"/>
    <col min="9454" max="9454" width="4.77734375" style="56" customWidth="1"/>
    <col min="9455" max="9456" width="5" style="56" customWidth="1"/>
    <col min="9457" max="9457" width="8.77734375" style="56"/>
    <col min="9458" max="9458" width="10.44140625" style="56" customWidth="1"/>
    <col min="9459" max="9459" width="3.77734375" style="56" customWidth="1"/>
    <col min="9460" max="9461" width="8.77734375" style="56"/>
    <col min="9462" max="9462" width="3.77734375" style="56" customWidth="1"/>
    <col min="9463" max="9702" width="8.77734375" style="56"/>
    <col min="9703" max="9703" width="24.77734375" style="56" customWidth="1"/>
    <col min="9704" max="9704" width="13.44140625" style="56" customWidth="1"/>
    <col min="9705" max="9705" width="8.77734375" style="56"/>
    <col min="9706" max="9706" width="6.77734375" style="56" customWidth="1"/>
    <col min="9707" max="9707" width="6.44140625" style="56" customWidth="1"/>
    <col min="9708" max="9708" width="8.21875" style="56" customWidth="1"/>
    <col min="9709" max="9709" width="6.77734375" style="56" customWidth="1"/>
    <col min="9710" max="9710" width="4.77734375" style="56" customWidth="1"/>
    <col min="9711" max="9712" width="5" style="56" customWidth="1"/>
    <col min="9713" max="9713" width="8.77734375" style="56"/>
    <col min="9714" max="9714" width="10.44140625" style="56" customWidth="1"/>
    <col min="9715" max="9715" width="3.77734375" style="56" customWidth="1"/>
    <col min="9716" max="9717" width="8.77734375" style="56"/>
    <col min="9718" max="9718" width="3.77734375" style="56" customWidth="1"/>
    <col min="9719" max="9958" width="8.77734375" style="56"/>
    <col min="9959" max="9959" width="24.77734375" style="56" customWidth="1"/>
    <col min="9960" max="9960" width="13.44140625" style="56" customWidth="1"/>
    <col min="9961" max="9961" width="8.77734375" style="56"/>
    <col min="9962" max="9962" width="6.77734375" style="56" customWidth="1"/>
    <col min="9963" max="9963" width="6.44140625" style="56" customWidth="1"/>
    <col min="9964" max="9964" width="8.21875" style="56" customWidth="1"/>
    <col min="9965" max="9965" width="6.77734375" style="56" customWidth="1"/>
    <col min="9966" max="9966" width="4.77734375" style="56" customWidth="1"/>
    <col min="9967" max="9968" width="5" style="56" customWidth="1"/>
    <col min="9969" max="9969" width="8.77734375" style="56"/>
    <col min="9970" max="9970" width="10.44140625" style="56" customWidth="1"/>
    <col min="9971" max="9971" width="3.77734375" style="56" customWidth="1"/>
    <col min="9972" max="9973" width="8.77734375" style="56"/>
    <col min="9974" max="9974" width="3.77734375" style="56" customWidth="1"/>
    <col min="9975" max="10214" width="8.77734375" style="56"/>
    <col min="10215" max="10215" width="24.77734375" style="56" customWidth="1"/>
    <col min="10216" max="10216" width="13.44140625" style="56" customWidth="1"/>
    <col min="10217" max="10217" width="8.77734375" style="56"/>
    <col min="10218" max="10218" width="6.77734375" style="56" customWidth="1"/>
    <col min="10219" max="10219" width="6.44140625" style="56" customWidth="1"/>
    <col min="10220" max="10220" width="8.21875" style="56" customWidth="1"/>
    <col min="10221" max="10221" width="6.77734375" style="56" customWidth="1"/>
    <col min="10222" max="10222" width="4.77734375" style="56" customWidth="1"/>
    <col min="10223" max="10224" width="5" style="56" customWidth="1"/>
    <col min="10225" max="10225" width="8.77734375" style="56"/>
    <col min="10226" max="10226" width="10.44140625" style="56" customWidth="1"/>
    <col min="10227" max="10227" width="3.77734375" style="56" customWidth="1"/>
    <col min="10228" max="10229" width="8.77734375" style="56"/>
    <col min="10230" max="10230" width="3.77734375" style="56" customWidth="1"/>
    <col min="10231" max="10470" width="8.77734375" style="56"/>
    <col min="10471" max="10471" width="24.77734375" style="56" customWidth="1"/>
    <col min="10472" max="10472" width="13.44140625" style="56" customWidth="1"/>
    <col min="10473" max="10473" width="8.77734375" style="56"/>
    <col min="10474" max="10474" width="6.77734375" style="56" customWidth="1"/>
    <col min="10475" max="10475" width="6.44140625" style="56" customWidth="1"/>
    <col min="10476" max="10476" width="8.21875" style="56" customWidth="1"/>
    <col min="10477" max="10477" width="6.77734375" style="56" customWidth="1"/>
    <col min="10478" max="10478" width="4.77734375" style="56" customWidth="1"/>
    <col min="10479" max="10480" width="5" style="56" customWidth="1"/>
    <col min="10481" max="10481" width="8.77734375" style="56"/>
    <col min="10482" max="10482" width="10.44140625" style="56" customWidth="1"/>
    <col min="10483" max="10483" width="3.77734375" style="56" customWidth="1"/>
    <col min="10484" max="10485" width="8.77734375" style="56"/>
    <col min="10486" max="10486" width="3.77734375" style="56" customWidth="1"/>
    <col min="10487" max="10726" width="8.77734375" style="56"/>
    <col min="10727" max="10727" width="24.77734375" style="56" customWidth="1"/>
    <col min="10728" max="10728" width="13.44140625" style="56" customWidth="1"/>
    <col min="10729" max="10729" width="8.77734375" style="56"/>
    <col min="10730" max="10730" width="6.77734375" style="56" customWidth="1"/>
    <col min="10731" max="10731" width="6.44140625" style="56" customWidth="1"/>
    <col min="10732" max="10732" width="8.21875" style="56" customWidth="1"/>
    <col min="10733" max="10733" width="6.77734375" style="56" customWidth="1"/>
    <col min="10734" max="10734" width="4.77734375" style="56" customWidth="1"/>
    <col min="10735" max="10736" width="5" style="56" customWidth="1"/>
    <col min="10737" max="10737" width="8.77734375" style="56"/>
    <col min="10738" max="10738" width="10.44140625" style="56" customWidth="1"/>
    <col min="10739" max="10739" width="3.77734375" style="56" customWidth="1"/>
    <col min="10740" max="10741" width="8.77734375" style="56"/>
    <col min="10742" max="10742" width="3.77734375" style="56" customWidth="1"/>
    <col min="10743" max="10982" width="8.77734375" style="56"/>
    <col min="10983" max="10983" width="24.77734375" style="56" customWidth="1"/>
    <col min="10984" max="10984" width="13.44140625" style="56" customWidth="1"/>
    <col min="10985" max="10985" width="8.77734375" style="56"/>
    <col min="10986" max="10986" width="6.77734375" style="56" customWidth="1"/>
    <col min="10987" max="10987" width="6.44140625" style="56" customWidth="1"/>
    <col min="10988" max="10988" width="8.21875" style="56" customWidth="1"/>
    <col min="10989" max="10989" width="6.77734375" style="56" customWidth="1"/>
    <col min="10990" max="10990" width="4.77734375" style="56" customWidth="1"/>
    <col min="10991" max="10992" width="5" style="56" customWidth="1"/>
    <col min="10993" max="10993" width="8.77734375" style="56"/>
    <col min="10994" max="10994" width="10.44140625" style="56" customWidth="1"/>
    <col min="10995" max="10995" width="3.77734375" style="56" customWidth="1"/>
    <col min="10996" max="10997" width="8.77734375" style="56"/>
    <col min="10998" max="10998" width="3.77734375" style="56" customWidth="1"/>
    <col min="10999" max="11238" width="8.77734375" style="56"/>
    <col min="11239" max="11239" width="24.77734375" style="56" customWidth="1"/>
    <col min="11240" max="11240" width="13.44140625" style="56" customWidth="1"/>
    <col min="11241" max="11241" width="8.77734375" style="56"/>
    <col min="11242" max="11242" width="6.77734375" style="56" customWidth="1"/>
    <col min="11243" max="11243" width="6.44140625" style="56" customWidth="1"/>
    <col min="11244" max="11244" width="8.21875" style="56" customWidth="1"/>
    <col min="11245" max="11245" width="6.77734375" style="56" customWidth="1"/>
    <col min="11246" max="11246" width="4.77734375" style="56" customWidth="1"/>
    <col min="11247" max="11248" width="5" style="56" customWidth="1"/>
    <col min="11249" max="11249" width="8.77734375" style="56"/>
    <col min="11250" max="11250" width="10.44140625" style="56" customWidth="1"/>
    <col min="11251" max="11251" width="3.77734375" style="56" customWidth="1"/>
    <col min="11252" max="11253" width="8.77734375" style="56"/>
    <col min="11254" max="11254" width="3.77734375" style="56" customWidth="1"/>
    <col min="11255" max="11494" width="8.77734375" style="56"/>
    <col min="11495" max="11495" width="24.77734375" style="56" customWidth="1"/>
    <col min="11496" max="11496" width="13.44140625" style="56" customWidth="1"/>
    <col min="11497" max="11497" width="8.77734375" style="56"/>
    <col min="11498" max="11498" width="6.77734375" style="56" customWidth="1"/>
    <col min="11499" max="11499" width="6.44140625" style="56" customWidth="1"/>
    <col min="11500" max="11500" width="8.21875" style="56" customWidth="1"/>
    <col min="11501" max="11501" width="6.77734375" style="56" customWidth="1"/>
    <col min="11502" max="11502" width="4.77734375" style="56" customWidth="1"/>
    <col min="11503" max="11504" width="5" style="56" customWidth="1"/>
    <col min="11505" max="11505" width="8.77734375" style="56"/>
    <col min="11506" max="11506" width="10.44140625" style="56" customWidth="1"/>
    <col min="11507" max="11507" width="3.77734375" style="56" customWidth="1"/>
    <col min="11508" max="11509" width="8.77734375" style="56"/>
    <col min="11510" max="11510" width="3.77734375" style="56" customWidth="1"/>
    <col min="11511" max="11750" width="8.77734375" style="56"/>
    <col min="11751" max="11751" width="24.77734375" style="56" customWidth="1"/>
    <col min="11752" max="11752" width="13.44140625" style="56" customWidth="1"/>
    <col min="11753" max="11753" width="8.77734375" style="56"/>
    <col min="11754" max="11754" width="6.77734375" style="56" customWidth="1"/>
    <col min="11755" max="11755" width="6.44140625" style="56" customWidth="1"/>
    <col min="11756" max="11756" width="8.21875" style="56" customWidth="1"/>
    <col min="11757" max="11757" width="6.77734375" style="56" customWidth="1"/>
    <col min="11758" max="11758" width="4.77734375" style="56" customWidth="1"/>
    <col min="11759" max="11760" width="5" style="56" customWidth="1"/>
    <col min="11761" max="11761" width="8.77734375" style="56"/>
    <col min="11762" max="11762" width="10.44140625" style="56" customWidth="1"/>
    <col min="11763" max="11763" width="3.77734375" style="56" customWidth="1"/>
    <col min="11764" max="11765" width="8.77734375" style="56"/>
    <col min="11766" max="11766" width="3.77734375" style="56" customWidth="1"/>
    <col min="11767" max="12006" width="8.77734375" style="56"/>
    <col min="12007" max="12007" width="24.77734375" style="56" customWidth="1"/>
    <col min="12008" max="12008" width="13.44140625" style="56" customWidth="1"/>
    <col min="12009" max="12009" width="8.77734375" style="56"/>
    <col min="12010" max="12010" width="6.77734375" style="56" customWidth="1"/>
    <col min="12011" max="12011" width="6.44140625" style="56" customWidth="1"/>
    <col min="12012" max="12012" width="8.21875" style="56" customWidth="1"/>
    <col min="12013" max="12013" width="6.77734375" style="56" customWidth="1"/>
    <col min="12014" max="12014" width="4.77734375" style="56" customWidth="1"/>
    <col min="12015" max="12016" width="5" style="56" customWidth="1"/>
    <col min="12017" max="12017" width="8.77734375" style="56"/>
    <col min="12018" max="12018" width="10.44140625" style="56" customWidth="1"/>
    <col min="12019" max="12019" width="3.77734375" style="56" customWidth="1"/>
    <col min="12020" max="12021" width="8.77734375" style="56"/>
    <col min="12022" max="12022" width="3.77734375" style="56" customWidth="1"/>
    <col min="12023" max="12262" width="8.77734375" style="56"/>
    <col min="12263" max="12263" width="24.77734375" style="56" customWidth="1"/>
    <col min="12264" max="12264" width="13.44140625" style="56" customWidth="1"/>
    <col min="12265" max="12265" width="8.77734375" style="56"/>
    <col min="12266" max="12266" width="6.77734375" style="56" customWidth="1"/>
    <col min="12267" max="12267" width="6.44140625" style="56" customWidth="1"/>
    <col min="12268" max="12268" width="8.21875" style="56" customWidth="1"/>
    <col min="12269" max="12269" width="6.77734375" style="56" customWidth="1"/>
    <col min="12270" max="12270" width="4.77734375" style="56" customWidth="1"/>
    <col min="12271" max="12272" width="5" style="56" customWidth="1"/>
    <col min="12273" max="12273" width="8.77734375" style="56"/>
    <col min="12274" max="12274" width="10.44140625" style="56" customWidth="1"/>
    <col min="12275" max="12275" width="3.77734375" style="56" customWidth="1"/>
    <col min="12276" max="12277" width="8.77734375" style="56"/>
    <col min="12278" max="12278" width="3.77734375" style="56" customWidth="1"/>
    <col min="12279" max="12518" width="8.77734375" style="56"/>
    <col min="12519" max="12519" width="24.77734375" style="56" customWidth="1"/>
    <col min="12520" max="12520" width="13.44140625" style="56" customWidth="1"/>
    <col min="12521" max="12521" width="8.77734375" style="56"/>
    <col min="12522" max="12522" width="6.77734375" style="56" customWidth="1"/>
    <col min="12523" max="12523" width="6.44140625" style="56" customWidth="1"/>
    <col min="12524" max="12524" width="8.21875" style="56" customWidth="1"/>
    <col min="12525" max="12525" width="6.77734375" style="56" customWidth="1"/>
    <col min="12526" max="12526" width="4.77734375" style="56" customWidth="1"/>
    <col min="12527" max="12528" width="5" style="56" customWidth="1"/>
    <col min="12529" max="12529" width="8.77734375" style="56"/>
    <col min="12530" max="12530" width="10.44140625" style="56" customWidth="1"/>
    <col min="12531" max="12531" width="3.77734375" style="56" customWidth="1"/>
    <col min="12532" max="12533" width="8.77734375" style="56"/>
    <col min="12534" max="12534" width="3.77734375" style="56" customWidth="1"/>
    <col min="12535" max="12774" width="8.77734375" style="56"/>
    <col min="12775" max="12775" width="24.77734375" style="56" customWidth="1"/>
    <col min="12776" max="12776" width="13.44140625" style="56" customWidth="1"/>
    <col min="12777" max="12777" width="8.77734375" style="56"/>
    <col min="12778" max="12778" width="6.77734375" style="56" customWidth="1"/>
    <col min="12779" max="12779" width="6.44140625" style="56" customWidth="1"/>
    <col min="12780" max="12780" width="8.21875" style="56" customWidth="1"/>
    <col min="12781" max="12781" width="6.77734375" style="56" customWidth="1"/>
    <col min="12782" max="12782" width="4.77734375" style="56" customWidth="1"/>
    <col min="12783" max="12784" width="5" style="56" customWidth="1"/>
    <col min="12785" max="12785" width="8.77734375" style="56"/>
    <col min="12786" max="12786" width="10.44140625" style="56" customWidth="1"/>
    <col min="12787" max="12787" width="3.77734375" style="56" customWidth="1"/>
    <col min="12788" max="12789" width="8.77734375" style="56"/>
    <col min="12790" max="12790" width="3.77734375" style="56" customWidth="1"/>
    <col min="12791" max="13030" width="8.77734375" style="56"/>
    <col min="13031" max="13031" width="24.77734375" style="56" customWidth="1"/>
    <col min="13032" max="13032" width="13.44140625" style="56" customWidth="1"/>
    <col min="13033" max="13033" width="8.77734375" style="56"/>
    <col min="13034" max="13034" width="6.77734375" style="56" customWidth="1"/>
    <col min="13035" max="13035" width="6.44140625" style="56" customWidth="1"/>
    <col min="13036" max="13036" width="8.21875" style="56" customWidth="1"/>
    <col min="13037" max="13037" width="6.77734375" style="56" customWidth="1"/>
    <col min="13038" max="13038" width="4.77734375" style="56" customWidth="1"/>
    <col min="13039" max="13040" width="5" style="56" customWidth="1"/>
    <col min="13041" max="13041" width="8.77734375" style="56"/>
    <col min="13042" max="13042" width="10.44140625" style="56" customWidth="1"/>
    <col min="13043" max="13043" width="3.77734375" style="56" customWidth="1"/>
    <col min="13044" max="13045" width="8.77734375" style="56"/>
    <col min="13046" max="13046" width="3.77734375" style="56" customWidth="1"/>
    <col min="13047" max="13286" width="8.77734375" style="56"/>
    <col min="13287" max="13287" width="24.77734375" style="56" customWidth="1"/>
    <col min="13288" max="13288" width="13.44140625" style="56" customWidth="1"/>
    <col min="13289" max="13289" width="8.77734375" style="56"/>
    <col min="13290" max="13290" width="6.77734375" style="56" customWidth="1"/>
    <col min="13291" max="13291" width="6.44140625" style="56" customWidth="1"/>
    <col min="13292" max="13292" width="8.21875" style="56" customWidth="1"/>
    <col min="13293" max="13293" width="6.77734375" style="56" customWidth="1"/>
    <col min="13294" max="13294" width="4.77734375" style="56" customWidth="1"/>
    <col min="13295" max="13296" width="5" style="56" customWidth="1"/>
    <col min="13297" max="13297" width="8.77734375" style="56"/>
    <col min="13298" max="13298" width="10.44140625" style="56" customWidth="1"/>
    <col min="13299" max="13299" width="3.77734375" style="56" customWidth="1"/>
    <col min="13300" max="13301" width="8.77734375" style="56"/>
    <col min="13302" max="13302" width="3.77734375" style="56" customWidth="1"/>
    <col min="13303" max="13542" width="8.77734375" style="56"/>
    <col min="13543" max="13543" width="24.77734375" style="56" customWidth="1"/>
    <col min="13544" max="13544" width="13.44140625" style="56" customWidth="1"/>
    <col min="13545" max="13545" width="8.77734375" style="56"/>
    <col min="13546" max="13546" width="6.77734375" style="56" customWidth="1"/>
    <col min="13547" max="13547" width="6.44140625" style="56" customWidth="1"/>
    <col min="13548" max="13548" width="8.21875" style="56" customWidth="1"/>
    <col min="13549" max="13549" width="6.77734375" style="56" customWidth="1"/>
    <col min="13550" max="13550" width="4.77734375" style="56" customWidth="1"/>
    <col min="13551" max="13552" width="5" style="56" customWidth="1"/>
    <col min="13553" max="13553" width="8.77734375" style="56"/>
    <col min="13554" max="13554" width="10.44140625" style="56" customWidth="1"/>
    <col min="13555" max="13555" width="3.77734375" style="56" customWidth="1"/>
    <col min="13556" max="13557" width="8.77734375" style="56"/>
    <col min="13558" max="13558" width="3.77734375" style="56" customWidth="1"/>
    <col min="13559" max="13798" width="8.77734375" style="56"/>
    <col min="13799" max="13799" width="24.77734375" style="56" customWidth="1"/>
    <col min="13800" max="13800" width="13.44140625" style="56" customWidth="1"/>
    <col min="13801" max="13801" width="8.77734375" style="56"/>
    <col min="13802" max="13802" width="6.77734375" style="56" customWidth="1"/>
    <col min="13803" max="13803" width="6.44140625" style="56" customWidth="1"/>
    <col min="13804" max="13804" width="8.21875" style="56" customWidth="1"/>
    <col min="13805" max="13805" width="6.77734375" style="56" customWidth="1"/>
    <col min="13806" max="13806" width="4.77734375" style="56" customWidth="1"/>
    <col min="13807" max="13808" width="5" style="56" customWidth="1"/>
    <col min="13809" max="13809" width="8.77734375" style="56"/>
    <col min="13810" max="13810" width="10.44140625" style="56" customWidth="1"/>
    <col min="13811" max="13811" width="3.77734375" style="56" customWidth="1"/>
    <col min="13812" max="13813" width="8.77734375" style="56"/>
    <col min="13814" max="13814" width="3.77734375" style="56" customWidth="1"/>
    <col min="13815" max="14054" width="8.77734375" style="56"/>
    <col min="14055" max="14055" width="24.77734375" style="56" customWidth="1"/>
    <col min="14056" max="14056" width="13.44140625" style="56" customWidth="1"/>
    <col min="14057" max="14057" width="8.77734375" style="56"/>
    <col min="14058" max="14058" width="6.77734375" style="56" customWidth="1"/>
    <col min="14059" max="14059" width="6.44140625" style="56" customWidth="1"/>
    <col min="14060" max="14060" width="8.21875" style="56" customWidth="1"/>
    <col min="14061" max="14061" width="6.77734375" style="56" customWidth="1"/>
    <col min="14062" max="14062" width="4.77734375" style="56" customWidth="1"/>
    <col min="14063" max="14064" width="5" style="56" customWidth="1"/>
    <col min="14065" max="14065" width="8.77734375" style="56"/>
    <col min="14066" max="14066" width="10.44140625" style="56" customWidth="1"/>
    <col min="14067" max="14067" width="3.77734375" style="56" customWidth="1"/>
    <col min="14068" max="14069" width="8.77734375" style="56"/>
    <col min="14070" max="14070" width="3.77734375" style="56" customWidth="1"/>
    <col min="14071" max="14310" width="8.77734375" style="56"/>
    <col min="14311" max="14311" width="24.77734375" style="56" customWidth="1"/>
    <col min="14312" max="14312" width="13.44140625" style="56" customWidth="1"/>
    <col min="14313" max="14313" width="8.77734375" style="56"/>
    <col min="14314" max="14314" width="6.77734375" style="56" customWidth="1"/>
    <col min="14315" max="14315" width="6.44140625" style="56" customWidth="1"/>
    <col min="14316" max="14316" width="8.21875" style="56" customWidth="1"/>
    <col min="14317" max="14317" width="6.77734375" style="56" customWidth="1"/>
    <col min="14318" max="14318" width="4.77734375" style="56" customWidth="1"/>
    <col min="14319" max="14320" width="5" style="56" customWidth="1"/>
    <col min="14321" max="14321" width="8.77734375" style="56"/>
    <col min="14322" max="14322" width="10.44140625" style="56" customWidth="1"/>
    <col min="14323" max="14323" width="3.77734375" style="56" customWidth="1"/>
    <col min="14324" max="14325" width="8.77734375" style="56"/>
    <col min="14326" max="14326" width="3.77734375" style="56" customWidth="1"/>
    <col min="14327" max="14566" width="8.77734375" style="56"/>
    <col min="14567" max="14567" width="24.77734375" style="56" customWidth="1"/>
    <col min="14568" max="14568" width="13.44140625" style="56" customWidth="1"/>
    <col min="14569" max="14569" width="8.77734375" style="56"/>
    <col min="14570" max="14570" width="6.77734375" style="56" customWidth="1"/>
    <col min="14571" max="14571" width="6.44140625" style="56" customWidth="1"/>
    <col min="14572" max="14572" width="8.21875" style="56" customWidth="1"/>
    <col min="14573" max="14573" width="6.77734375" style="56" customWidth="1"/>
    <col min="14574" max="14574" width="4.77734375" style="56" customWidth="1"/>
    <col min="14575" max="14576" width="5" style="56" customWidth="1"/>
    <col min="14577" max="14577" width="8.77734375" style="56"/>
    <col min="14578" max="14578" width="10.44140625" style="56" customWidth="1"/>
    <col min="14579" max="14579" width="3.77734375" style="56" customWidth="1"/>
    <col min="14580" max="14581" width="8.77734375" style="56"/>
    <col min="14582" max="14582" width="3.77734375" style="56" customWidth="1"/>
    <col min="14583" max="14822" width="8.77734375" style="56"/>
    <col min="14823" max="14823" width="24.77734375" style="56" customWidth="1"/>
    <col min="14824" max="14824" width="13.44140625" style="56" customWidth="1"/>
    <col min="14825" max="14825" width="8.77734375" style="56"/>
    <col min="14826" max="14826" width="6.77734375" style="56" customWidth="1"/>
    <col min="14827" max="14827" width="6.44140625" style="56" customWidth="1"/>
    <col min="14828" max="14828" width="8.21875" style="56" customWidth="1"/>
    <col min="14829" max="14829" width="6.77734375" style="56" customWidth="1"/>
    <col min="14830" max="14830" width="4.77734375" style="56" customWidth="1"/>
    <col min="14831" max="14832" width="5" style="56" customWidth="1"/>
    <col min="14833" max="14833" width="8.77734375" style="56"/>
    <col min="14834" max="14834" width="10.44140625" style="56" customWidth="1"/>
    <col min="14835" max="14835" width="3.77734375" style="56" customWidth="1"/>
    <col min="14836" max="14837" width="8.77734375" style="56"/>
    <col min="14838" max="14838" width="3.77734375" style="56" customWidth="1"/>
    <col min="14839" max="15078" width="8.77734375" style="56"/>
    <col min="15079" max="15079" width="24.77734375" style="56" customWidth="1"/>
    <col min="15080" max="15080" width="13.44140625" style="56" customWidth="1"/>
    <col min="15081" max="15081" width="8.77734375" style="56"/>
    <col min="15082" max="15082" width="6.77734375" style="56" customWidth="1"/>
    <col min="15083" max="15083" width="6.44140625" style="56" customWidth="1"/>
    <col min="15084" max="15084" width="8.21875" style="56" customWidth="1"/>
    <col min="15085" max="15085" width="6.77734375" style="56" customWidth="1"/>
    <col min="15086" max="15086" width="4.77734375" style="56" customWidth="1"/>
    <col min="15087" max="15088" width="5" style="56" customWidth="1"/>
    <col min="15089" max="15089" width="8.77734375" style="56"/>
    <col min="15090" max="15090" width="10.44140625" style="56" customWidth="1"/>
    <col min="15091" max="15091" width="3.77734375" style="56" customWidth="1"/>
    <col min="15092" max="15093" width="8.77734375" style="56"/>
    <col min="15094" max="15094" width="3.77734375" style="56" customWidth="1"/>
    <col min="15095" max="15334" width="8.77734375" style="56"/>
    <col min="15335" max="15335" width="24.77734375" style="56" customWidth="1"/>
    <col min="15336" max="15336" width="13.44140625" style="56" customWidth="1"/>
    <col min="15337" max="15337" width="8.77734375" style="56"/>
    <col min="15338" max="15338" width="6.77734375" style="56" customWidth="1"/>
    <col min="15339" max="15339" width="6.44140625" style="56" customWidth="1"/>
    <col min="15340" max="15340" width="8.21875" style="56" customWidth="1"/>
    <col min="15341" max="15341" width="6.77734375" style="56" customWidth="1"/>
    <col min="15342" max="15342" width="4.77734375" style="56" customWidth="1"/>
    <col min="15343" max="15344" width="5" style="56" customWidth="1"/>
    <col min="15345" max="15345" width="8.77734375" style="56"/>
    <col min="15346" max="15346" width="10.44140625" style="56" customWidth="1"/>
    <col min="15347" max="15347" width="3.77734375" style="56" customWidth="1"/>
    <col min="15348" max="15349" width="8.77734375" style="56"/>
    <col min="15350" max="15350" width="3.77734375" style="56" customWidth="1"/>
    <col min="15351" max="15590" width="8.77734375" style="56"/>
    <col min="15591" max="15591" width="24.77734375" style="56" customWidth="1"/>
    <col min="15592" max="15592" width="13.44140625" style="56" customWidth="1"/>
    <col min="15593" max="15593" width="8.77734375" style="56"/>
    <col min="15594" max="15594" width="6.77734375" style="56" customWidth="1"/>
    <col min="15595" max="15595" width="6.44140625" style="56" customWidth="1"/>
    <col min="15596" max="15596" width="8.21875" style="56" customWidth="1"/>
    <col min="15597" max="15597" width="6.77734375" style="56" customWidth="1"/>
    <col min="15598" max="15598" width="4.77734375" style="56" customWidth="1"/>
    <col min="15599" max="15600" width="5" style="56" customWidth="1"/>
    <col min="15601" max="15601" width="8.77734375" style="56"/>
    <col min="15602" max="15602" width="10.44140625" style="56" customWidth="1"/>
    <col min="15603" max="15603" width="3.77734375" style="56" customWidth="1"/>
    <col min="15604" max="15605" width="8.77734375" style="56"/>
    <col min="15606" max="15606" width="3.77734375" style="56" customWidth="1"/>
    <col min="15607" max="15846" width="8.77734375" style="56"/>
    <col min="15847" max="15847" width="24.77734375" style="56" customWidth="1"/>
    <col min="15848" max="15848" width="13.44140625" style="56" customWidth="1"/>
    <col min="15849" max="15849" width="8.77734375" style="56"/>
    <col min="15850" max="15850" width="6.77734375" style="56" customWidth="1"/>
    <col min="15851" max="15851" width="6.44140625" style="56" customWidth="1"/>
    <col min="15852" max="15852" width="8.21875" style="56" customWidth="1"/>
    <col min="15853" max="15853" width="6.77734375" style="56" customWidth="1"/>
    <col min="15854" max="15854" width="4.77734375" style="56" customWidth="1"/>
    <col min="15855" max="15856" width="5" style="56" customWidth="1"/>
    <col min="15857" max="15857" width="8.77734375" style="56"/>
    <col min="15858" max="15858" width="10.44140625" style="56" customWidth="1"/>
    <col min="15859" max="15859" width="3.77734375" style="56" customWidth="1"/>
    <col min="15860" max="15861" width="8.77734375" style="56"/>
    <col min="15862" max="15862" width="3.77734375" style="56" customWidth="1"/>
    <col min="15863" max="16102" width="8.77734375" style="56"/>
    <col min="16103" max="16103" width="24.77734375" style="56" customWidth="1"/>
    <col min="16104" max="16104" width="13.44140625" style="56" customWidth="1"/>
    <col min="16105" max="16105" width="8.77734375" style="56"/>
    <col min="16106" max="16106" width="6.77734375" style="56" customWidth="1"/>
    <col min="16107" max="16107" width="6.44140625" style="56" customWidth="1"/>
    <col min="16108" max="16108" width="8.21875" style="56" customWidth="1"/>
    <col min="16109" max="16109" width="6.77734375" style="56" customWidth="1"/>
    <col min="16110" max="16110" width="4.77734375" style="56" customWidth="1"/>
    <col min="16111" max="16112" width="5" style="56" customWidth="1"/>
    <col min="16113" max="16113" width="8.77734375" style="56"/>
    <col min="16114" max="16114" width="10.44140625" style="56" customWidth="1"/>
    <col min="16115" max="16115" width="3.77734375" style="56" customWidth="1"/>
    <col min="16116" max="16117" width="8.77734375" style="56"/>
    <col min="16118" max="16118" width="3.77734375" style="56" customWidth="1"/>
    <col min="16119" max="16384" width="8.77734375" style="56"/>
  </cols>
  <sheetData>
    <row r="16" spans="3:44" ht="15" x14ac:dyDescent="0.25">
      <c r="C16" s="53" t="s">
        <v>371</v>
      </c>
      <c r="D16" s="53" t="s">
        <v>0</v>
      </c>
      <c r="AR16" s="56"/>
    </row>
    <row r="17" spans="1:56" ht="15" x14ac:dyDescent="0.25">
      <c r="A17" s="53" t="s">
        <v>372</v>
      </c>
      <c r="B17" s="56"/>
      <c r="C17" s="53">
        <v>93</v>
      </c>
      <c r="D17" s="106">
        <v>44168</v>
      </c>
      <c r="E17" s="56"/>
      <c r="F17" s="56"/>
      <c r="AR17" s="56"/>
    </row>
    <row r="18" spans="1:56" ht="15" x14ac:dyDescent="0.25">
      <c r="B18" s="53" t="s">
        <v>373</v>
      </c>
      <c r="C18" s="107">
        <v>44568</v>
      </c>
      <c r="D18" s="106">
        <v>44266</v>
      </c>
      <c r="E18" s="56"/>
      <c r="F18" s="56" t="s">
        <v>374</v>
      </c>
      <c r="AR18" s="56"/>
    </row>
    <row r="19" spans="1:56" ht="15" x14ac:dyDescent="0.25">
      <c r="B19" s="53" t="s">
        <v>375</v>
      </c>
      <c r="C19" s="53">
        <v>124</v>
      </c>
      <c r="D19" s="106">
        <v>44350</v>
      </c>
      <c r="E19" s="56"/>
      <c r="F19" s="56"/>
      <c r="AR19" s="56"/>
    </row>
    <row r="20" spans="1:56" ht="15" x14ac:dyDescent="0.25">
      <c r="B20" s="53" t="s">
        <v>376</v>
      </c>
      <c r="C20" s="53">
        <v>143</v>
      </c>
      <c r="D20" s="106">
        <v>44425</v>
      </c>
      <c r="E20" s="56"/>
      <c r="F20" s="56" t="s">
        <v>377</v>
      </c>
      <c r="AR20" s="56"/>
    </row>
    <row r="21" spans="1:56" ht="15" x14ac:dyDescent="0.25">
      <c r="A21" s="56"/>
      <c r="B21" s="53" t="s">
        <v>378</v>
      </c>
      <c r="C21" s="53">
        <v>174</v>
      </c>
      <c r="D21" s="106">
        <v>44595</v>
      </c>
      <c r="E21" s="56"/>
      <c r="F21" s="56" t="s">
        <v>379</v>
      </c>
      <c r="AR21" s="56"/>
    </row>
    <row r="22" spans="1:56" ht="15" x14ac:dyDescent="0.25">
      <c r="D22" s="106"/>
      <c r="E22" s="56"/>
      <c r="F22" s="56" t="s">
        <v>380</v>
      </c>
      <c r="I22" s="53" t="e">
        <f>AVERAGE(#REF!)-2*(STDEV(#REF!))</f>
        <v>#REF!</v>
      </c>
      <c r="J22" s="53" t="e">
        <f>AVERAGE(#REF!)+2*(STDEV(#REF!))</f>
        <v>#REF!</v>
      </c>
      <c r="AR22" s="56"/>
    </row>
    <row r="23" spans="1:56" ht="15" x14ac:dyDescent="0.25">
      <c r="D23" s="106"/>
      <c r="E23" s="56"/>
      <c r="F23" s="56"/>
      <c r="AR23" s="56"/>
    </row>
    <row r="24" spans="1:56" s="101" customFormat="1" ht="14.4" x14ac:dyDescent="0.3">
      <c r="AQ24" s="1"/>
      <c r="AR24" s="1"/>
      <c r="AS24" s="7"/>
      <c r="AT24" s="19"/>
      <c r="AU24" s="19"/>
      <c r="AW24" s="19"/>
      <c r="AX24" s="19"/>
      <c r="AZ24" s="19"/>
      <c r="BA24" s="19"/>
      <c r="BC24" s="19"/>
      <c r="BD24" s="19"/>
    </row>
    <row r="25" spans="1:56" s="101" customFormat="1" x14ac:dyDescent="0.3">
      <c r="A25" s="101" t="s">
        <v>19</v>
      </c>
      <c r="E25" s="53"/>
      <c r="F25" s="53"/>
      <c r="I25" s="101" t="s">
        <v>122</v>
      </c>
      <c r="O25" s="101" t="s">
        <v>20</v>
      </c>
      <c r="AK25" s="101" t="s">
        <v>123</v>
      </c>
    </row>
    <row r="26" spans="1:56" s="101" customFormat="1" ht="187.2" x14ac:dyDescent="0.3">
      <c r="A26" s="101" t="s">
        <v>6</v>
      </c>
      <c r="B26" s="101" t="s">
        <v>7</v>
      </c>
      <c r="C26" s="101" t="s">
        <v>8</v>
      </c>
      <c r="D26" s="101" t="s">
        <v>9</v>
      </c>
      <c r="E26" s="101" t="s">
        <v>10</v>
      </c>
      <c r="F26" s="101" t="s">
        <v>11</v>
      </c>
      <c r="G26" s="101" t="s">
        <v>12</v>
      </c>
      <c r="H26" s="101" t="s">
        <v>13</v>
      </c>
      <c r="I26" s="101" t="s">
        <v>14</v>
      </c>
      <c r="J26" s="101" t="s">
        <v>15</v>
      </c>
      <c r="K26" s="101" t="s">
        <v>16</v>
      </c>
      <c r="L26" s="101" t="s">
        <v>22</v>
      </c>
      <c r="M26" s="101" t="s">
        <v>23</v>
      </c>
      <c r="O26" s="101" t="s">
        <v>6</v>
      </c>
      <c r="P26" s="101" t="s">
        <v>7</v>
      </c>
      <c r="Q26" s="101" t="s">
        <v>8</v>
      </c>
      <c r="R26" s="101" t="s">
        <v>9</v>
      </c>
      <c r="S26" s="101" t="s">
        <v>10</v>
      </c>
      <c r="T26" s="101" t="s">
        <v>11</v>
      </c>
      <c r="U26" s="101" t="s">
        <v>12</v>
      </c>
      <c r="V26" s="101" t="s">
        <v>13</v>
      </c>
      <c r="W26" s="101" t="s">
        <v>14</v>
      </c>
      <c r="X26" s="101" t="s">
        <v>15</v>
      </c>
      <c r="Y26" s="101" t="s">
        <v>16</v>
      </c>
      <c r="Z26" s="101" t="s">
        <v>22</v>
      </c>
      <c r="AA26" s="101" t="s">
        <v>23</v>
      </c>
      <c r="AC26" s="101" t="s">
        <v>6</v>
      </c>
      <c r="AD26" s="101" t="s">
        <v>7</v>
      </c>
      <c r="AE26" s="101" t="s">
        <v>8</v>
      </c>
      <c r="AF26" s="101" t="s">
        <v>9</v>
      </c>
      <c r="AG26" s="101" t="s">
        <v>10</v>
      </c>
      <c r="AH26" s="101" t="s">
        <v>11</v>
      </c>
      <c r="AI26" s="101" t="s">
        <v>12</v>
      </c>
      <c r="AJ26" s="101" t="s">
        <v>13</v>
      </c>
      <c r="AK26" s="101" t="s">
        <v>14</v>
      </c>
      <c r="AL26" s="101" t="s">
        <v>15</v>
      </c>
      <c r="AM26" s="101" t="s">
        <v>16</v>
      </c>
      <c r="AN26" s="101" t="s">
        <v>22</v>
      </c>
      <c r="AO26" s="101" t="s">
        <v>23</v>
      </c>
      <c r="AQ26" s="1" t="s">
        <v>359</v>
      </c>
      <c r="AR26" s="1" t="s">
        <v>360</v>
      </c>
      <c r="AS26" s="101" t="s">
        <v>124</v>
      </c>
      <c r="AT26" s="19" t="s">
        <v>125</v>
      </c>
      <c r="AU26" s="19" t="s">
        <v>126</v>
      </c>
      <c r="AW26" s="19" t="s">
        <v>361</v>
      </c>
      <c r="AX26" s="19" t="s">
        <v>362</v>
      </c>
      <c r="AZ26" s="19" t="s">
        <v>363</v>
      </c>
      <c r="BA26" s="19" t="s">
        <v>364</v>
      </c>
      <c r="BC26" s="19" t="s">
        <v>369</v>
      </c>
      <c r="BD26" s="19" t="s">
        <v>370</v>
      </c>
    </row>
    <row r="27" spans="1:56" s="101" customFormat="1" ht="14.4" x14ac:dyDescent="0.3">
      <c r="A27" s="101">
        <v>37</v>
      </c>
      <c r="B27" s="101" t="s">
        <v>225</v>
      </c>
      <c r="C27" s="20">
        <v>44236.479155092595</v>
      </c>
      <c r="D27" s="101" t="s">
        <v>25</v>
      </c>
      <c r="E27" s="101" t="s">
        <v>17</v>
      </c>
      <c r="F27" s="101">
        <v>0</v>
      </c>
      <c r="G27" s="101">
        <v>6.1040000000000001</v>
      </c>
      <c r="H27" s="12">
        <v>2068</v>
      </c>
      <c r="I27" s="101">
        <v>1E-3</v>
      </c>
      <c r="J27" s="101" t="s">
        <v>18</v>
      </c>
      <c r="K27" s="101" t="s">
        <v>18</v>
      </c>
      <c r="L27" s="101" t="s">
        <v>18</v>
      </c>
      <c r="M27" s="101" t="s">
        <v>18</v>
      </c>
      <c r="O27" s="101">
        <v>37</v>
      </c>
      <c r="P27" s="101" t="s">
        <v>225</v>
      </c>
      <c r="Q27" s="20">
        <v>44236.479155092595</v>
      </c>
      <c r="R27" s="101" t="s">
        <v>25</v>
      </c>
      <c r="S27" s="101" t="s">
        <v>17</v>
      </c>
      <c r="T27" s="101">
        <v>0</v>
      </c>
      <c r="U27" s="101" t="s">
        <v>18</v>
      </c>
      <c r="V27" s="101" t="s">
        <v>18</v>
      </c>
      <c r="W27" s="101" t="s">
        <v>18</v>
      </c>
      <c r="X27" s="101" t="s">
        <v>18</v>
      </c>
      <c r="Y27" s="101" t="s">
        <v>18</v>
      </c>
      <c r="Z27" s="101" t="s">
        <v>18</v>
      </c>
      <c r="AA27" s="101" t="s">
        <v>18</v>
      </c>
      <c r="AC27" s="101">
        <v>37</v>
      </c>
      <c r="AD27" s="101" t="s">
        <v>225</v>
      </c>
      <c r="AE27" s="20">
        <v>44236.479155092595</v>
      </c>
      <c r="AF27" s="101" t="s">
        <v>25</v>
      </c>
      <c r="AG27" s="101" t="s">
        <v>17</v>
      </c>
      <c r="AH27" s="101">
        <v>0</v>
      </c>
      <c r="AI27" s="101">
        <v>12.266999999999999</v>
      </c>
      <c r="AJ27" s="12">
        <v>3146</v>
      </c>
      <c r="AK27" s="101">
        <v>0.60299999999999998</v>
      </c>
      <c r="AL27" s="101" t="s">
        <v>18</v>
      </c>
      <c r="AM27" s="101" t="s">
        <v>18</v>
      </c>
      <c r="AN27" s="101" t="s">
        <v>18</v>
      </c>
      <c r="AO27" s="101" t="s">
        <v>18</v>
      </c>
      <c r="AQ27" s="101">
        <v>1</v>
      </c>
      <c r="AS27" s="7">
        <v>1</v>
      </c>
      <c r="AT27" s="23">
        <f t="shared" ref="AT27:AT90" si="0">IF(H27&lt;10000,((-0.00000005795*H27^2)+(0.003823*H27)+(-6.715)),(IF(H27&lt;700000,((-0.0000000001209*H27^2)+(0.002635*H27)+(-0.4111)), ((-0.00000002007*V27^2)+(0.2564*V27)+(286.1)))))</f>
        <v>0.94313363920000004</v>
      </c>
      <c r="AU27" s="103">
        <f t="shared" ref="AU27:AU90" si="1">(-0.00000001626*AJ27^2)+(0.1912*AJ27)+(-3.858)</f>
        <v>597.49626964184006</v>
      </c>
      <c r="AW27" s="60">
        <f t="shared" ref="AW27:AW58" si="2">IF(H27&lt;15000,((0.00000002125*H27^2)+(0.002705*H27)+(-4.371)),(IF(H27&lt;700000,((-0.0000000008162*H27^2)+(0.003141*H27)+(0.4702)), ((0.000000003285*V27^2)+(0.1899*V27)+(559.5)))))</f>
        <v>1.3138182599999997</v>
      </c>
      <c r="AX27" s="61">
        <f t="shared" ref="AX27:AX58" si="3">((-0.00000006277*AJ27^2)+(0.1854*AJ27)+(34.83))</f>
        <v>617.47714547468013</v>
      </c>
      <c r="AZ27" s="23">
        <f t="shared" ref="AZ27:AZ58" si="4">IF(H27&lt;10000,((-0.00000005795*H27^2)+(0.003823*H27)+(-6.715)),(IF(H27&lt;700000,((-0.0000000001209*H27^2)+(0.002635*H27)+(-0.4111)), ((-0.00000002007*V27^2)+(0.2564*V27)+(286.1)))))</f>
        <v>0.94313363920000004</v>
      </c>
      <c r="BA27" s="103">
        <f t="shared" ref="BA27:BA58" si="5">(-0.00000001626*AJ27^2)+(0.1912*AJ27)+(-3.858)</f>
        <v>597.49626964184006</v>
      </c>
      <c r="BC27" s="104">
        <f t="shared" ref="BC27:BC58" si="6">IF(H27&lt;10000,((0.0000001453*H27^2)+(0.0008349*H27)+(-1.805)),(IF(H27&lt;700000,((-0.00000000008054*H27^2)+(0.002348*H27)+(-2.47)), ((-0.00000001938*V27^2)+(0.2471*V27)+(226.8)))))</f>
        <v>0.5429666672000002</v>
      </c>
      <c r="BD27" s="105">
        <f t="shared" ref="BD27:BD58" si="7">(-0.00000002552*AJ27^2)+(0.2067*AJ27)+(-103.7)</f>
        <v>546.32562049567991</v>
      </c>
    </row>
    <row r="28" spans="1:56" s="101" customFormat="1" ht="14.4" x14ac:dyDescent="0.3">
      <c r="A28" s="101">
        <v>62</v>
      </c>
      <c r="B28" s="101" t="s">
        <v>226</v>
      </c>
      <c r="C28" s="20">
        <v>44237.60083333333</v>
      </c>
      <c r="D28" s="101" t="s">
        <v>25</v>
      </c>
      <c r="E28" s="101" t="s">
        <v>17</v>
      </c>
      <c r="F28" s="101">
        <v>0</v>
      </c>
      <c r="G28" s="101">
        <v>6.101</v>
      </c>
      <c r="H28" s="12">
        <v>2784</v>
      </c>
      <c r="I28" s="101">
        <v>2E-3</v>
      </c>
      <c r="J28" s="101" t="s">
        <v>18</v>
      </c>
      <c r="K28" s="101" t="s">
        <v>18</v>
      </c>
      <c r="L28" s="101" t="s">
        <v>18</v>
      </c>
      <c r="M28" s="101" t="s">
        <v>18</v>
      </c>
      <c r="O28" s="101">
        <v>62</v>
      </c>
      <c r="P28" s="101" t="s">
        <v>226</v>
      </c>
      <c r="Q28" s="20">
        <v>44237.60083333333</v>
      </c>
      <c r="R28" s="101" t="s">
        <v>25</v>
      </c>
      <c r="S28" s="101" t="s">
        <v>17</v>
      </c>
      <c r="T28" s="101">
        <v>0</v>
      </c>
      <c r="U28" s="101" t="s">
        <v>18</v>
      </c>
      <c r="V28" s="101" t="s">
        <v>18</v>
      </c>
      <c r="W28" s="101" t="s">
        <v>18</v>
      </c>
      <c r="X28" s="101" t="s">
        <v>18</v>
      </c>
      <c r="Y28" s="101" t="s">
        <v>18</v>
      </c>
      <c r="Z28" s="101" t="s">
        <v>18</v>
      </c>
      <c r="AA28" s="101" t="s">
        <v>18</v>
      </c>
      <c r="AC28" s="101">
        <v>62</v>
      </c>
      <c r="AD28" s="101" t="s">
        <v>226</v>
      </c>
      <c r="AE28" s="20">
        <v>44237.60083333333</v>
      </c>
      <c r="AF28" s="101" t="s">
        <v>25</v>
      </c>
      <c r="AG28" s="101" t="s">
        <v>17</v>
      </c>
      <c r="AH28" s="101">
        <v>0</v>
      </c>
      <c r="AI28" s="101">
        <v>12.286</v>
      </c>
      <c r="AJ28" s="12">
        <v>2530</v>
      </c>
      <c r="AK28" s="101">
        <v>0.51900000000000002</v>
      </c>
      <c r="AL28" s="101" t="s">
        <v>18</v>
      </c>
      <c r="AM28" s="101" t="s">
        <v>18</v>
      </c>
      <c r="AN28" s="101" t="s">
        <v>18</v>
      </c>
      <c r="AO28" s="101" t="s">
        <v>18</v>
      </c>
      <c r="AQ28" s="101">
        <v>1</v>
      </c>
      <c r="AS28" s="7">
        <v>2</v>
      </c>
      <c r="AT28" s="23">
        <f t="shared" si="0"/>
        <v>3.4790814848</v>
      </c>
      <c r="AU28" s="103">
        <f t="shared" si="1"/>
        <v>479.77392136600002</v>
      </c>
      <c r="AW28" s="60">
        <f t="shared" si="2"/>
        <v>3.3244214399999992</v>
      </c>
      <c r="AX28" s="61">
        <f t="shared" si="3"/>
        <v>503.49021550700002</v>
      </c>
      <c r="AZ28" s="23">
        <f t="shared" si="4"/>
        <v>3.4790814848</v>
      </c>
      <c r="BA28" s="103">
        <f t="shared" si="5"/>
        <v>479.77392136600002</v>
      </c>
      <c r="BC28" s="104">
        <f t="shared" si="6"/>
        <v>1.6455319168000002</v>
      </c>
      <c r="BD28" s="105">
        <f t="shared" si="7"/>
        <v>419.087649032</v>
      </c>
    </row>
    <row r="29" spans="1:56" s="101" customFormat="1" ht="14.4" x14ac:dyDescent="0.3">
      <c r="A29" s="101">
        <v>60</v>
      </c>
      <c r="B29" s="101" t="s">
        <v>227</v>
      </c>
      <c r="C29" s="20">
        <v>44237.64335648148</v>
      </c>
      <c r="D29" s="101" t="s">
        <v>26</v>
      </c>
      <c r="E29" s="101" t="s">
        <v>17</v>
      </c>
      <c r="F29" s="101">
        <v>0</v>
      </c>
      <c r="G29" s="101">
        <v>6.1109999999999998</v>
      </c>
      <c r="H29" s="12">
        <v>2805</v>
      </c>
      <c r="I29" s="101">
        <v>2E-3</v>
      </c>
      <c r="J29" s="101" t="s">
        <v>18</v>
      </c>
      <c r="K29" s="101" t="s">
        <v>18</v>
      </c>
      <c r="L29" s="101" t="s">
        <v>18</v>
      </c>
      <c r="M29" s="101" t="s">
        <v>18</v>
      </c>
      <c r="O29" s="101">
        <v>60</v>
      </c>
      <c r="P29" s="101" t="s">
        <v>227</v>
      </c>
      <c r="Q29" s="20">
        <v>44237.64335648148</v>
      </c>
      <c r="R29" s="101" t="s">
        <v>26</v>
      </c>
      <c r="S29" s="101" t="s">
        <v>17</v>
      </c>
      <c r="T29" s="101">
        <v>0</v>
      </c>
      <c r="U29" s="101" t="s">
        <v>18</v>
      </c>
      <c r="V29" s="101" t="s">
        <v>18</v>
      </c>
      <c r="W29" s="101" t="s">
        <v>18</v>
      </c>
      <c r="X29" s="101" t="s">
        <v>18</v>
      </c>
      <c r="Y29" s="101" t="s">
        <v>18</v>
      </c>
      <c r="Z29" s="101" t="s">
        <v>18</v>
      </c>
      <c r="AA29" s="101" t="s">
        <v>18</v>
      </c>
      <c r="AC29" s="101">
        <v>60</v>
      </c>
      <c r="AD29" s="101" t="s">
        <v>227</v>
      </c>
      <c r="AE29" s="20">
        <v>44237.64335648148</v>
      </c>
      <c r="AF29" s="101" t="s">
        <v>26</v>
      </c>
      <c r="AG29" s="101" t="s">
        <v>17</v>
      </c>
      <c r="AH29" s="101">
        <v>0</v>
      </c>
      <c r="AI29" s="101">
        <v>12.266</v>
      </c>
      <c r="AJ29" s="12">
        <v>1750</v>
      </c>
      <c r="AK29" s="101">
        <v>0.41299999999999998</v>
      </c>
      <c r="AL29" s="101" t="s">
        <v>18</v>
      </c>
      <c r="AM29" s="101" t="s">
        <v>18</v>
      </c>
      <c r="AN29" s="101" t="s">
        <v>18</v>
      </c>
      <c r="AO29" s="101" t="s">
        <v>18</v>
      </c>
      <c r="AQ29" s="101">
        <v>1</v>
      </c>
      <c r="AS29" s="7">
        <v>3</v>
      </c>
      <c r="AT29" s="23">
        <f t="shared" si="0"/>
        <v>3.5525629512500014</v>
      </c>
      <c r="AU29" s="103">
        <f t="shared" si="1"/>
        <v>330.69220375000003</v>
      </c>
      <c r="AW29" s="60">
        <f t="shared" si="2"/>
        <v>3.3837205312499989</v>
      </c>
      <c r="AX29" s="61">
        <f t="shared" si="3"/>
        <v>359.087766875</v>
      </c>
      <c r="AZ29" s="23">
        <f t="shared" si="4"/>
        <v>3.5525629512500014</v>
      </c>
      <c r="BA29" s="103">
        <f t="shared" si="5"/>
        <v>330.69220375000003</v>
      </c>
      <c r="BC29" s="104">
        <f t="shared" si="6"/>
        <v>1.6801185325000001</v>
      </c>
      <c r="BD29" s="105">
        <f t="shared" si="7"/>
        <v>257.946845</v>
      </c>
    </row>
    <row r="30" spans="1:56" s="101" customFormat="1" ht="14.4" x14ac:dyDescent="0.3">
      <c r="A30" s="101">
        <v>37</v>
      </c>
      <c r="B30" s="101" t="s">
        <v>228</v>
      </c>
      <c r="C30" s="20">
        <v>44251.65152777778</v>
      </c>
      <c r="D30" s="101" t="s">
        <v>25</v>
      </c>
      <c r="E30" s="101" t="s">
        <v>17</v>
      </c>
      <c r="F30" s="101">
        <v>0</v>
      </c>
      <c r="G30" s="101">
        <v>6.1130000000000004</v>
      </c>
      <c r="H30" s="12">
        <v>2295</v>
      </c>
      <c r="I30" s="101">
        <v>2E-3</v>
      </c>
      <c r="J30" s="101" t="s">
        <v>18</v>
      </c>
      <c r="K30" s="101" t="s">
        <v>18</v>
      </c>
      <c r="L30" s="101" t="s">
        <v>18</v>
      </c>
      <c r="M30" s="101" t="s">
        <v>18</v>
      </c>
      <c r="O30" s="101">
        <v>37</v>
      </c>
      <c r="P30" s="101" t="s">
        <v>228</v>
      </c>
      <c r="Q30" s="20">
        <v>44251.65152777778</v>
      </c>
      <c r="R30" s="101" t="s">
        <v>25</v>
      </c>
      <c r="S30" s="101" t="s">
        <v>17</v>
      </c>
      <c r="T30" s="101">
        <v>0</v>
      </c>
      <c r="U30" s="101" t="s">
        <v>18</v>
      </c>
      <c r="V30" s="101" t="s">
        <v>18</v>
      </c>
      <c r="W30" s="101" t="s">
        <v>18</v>
      </c>
      <c r="X30" s="101" t="s">
        <v>18</v>
      </c>
      <c r="Y30" s="101" t="s">
        <v>18</v>
      </c>
      <c r="Z30" s="101" t="s">
        <v>18</v>
      </c>
      <c r="AA30" s="101" t="s">
        <v>18</v>
      </c>
      <c r="AC30" s="101">
        <v>37</v>
      </c>
      <c r="AD30" s="101" t="s">
        <v>228</v>
      </c>
      <c r="AE30" s="20">
        <v>44251.65152777778</v>
      </c>
      <c r="AF30" s="101" t="s">
        <v>25</v>
      </c>
      <c r="AG30" s="101" t="s">
        <v>17</v>
      </c>
      <c r="AH30" s="101">
        <v>0</v>
      </c>
      <c r="AI30" s="101">
        <v>12.291</v>
      </c>
      <c r="AJ30" s="12">
        <v>2281</v>
      </c>
      <c r="AK30" s="101">
        <v>0.48499999999999999</v>
      </c>
      <c r="AL30" s="101" t="s">
        <v>18</v>
      </c>
      <c r="AM30" s="101" t="s">
        <v>18</v>
      </c>
      <c r="AN30" s="101" t="s">
        <v>18</v>
      </c>
      <c r="AO30" s="101" t="s">
        <v>18</v>
      </c>
      <c r="AQ30" s="101">
        <v>1</v>
      </c>
      <c r="AS30" s="7">
        <v>4</v>
      </c>
      <c r="AT30" s="23">
        <f t="shared" si="0"/>
        <v>1.7535609012500011</v>
      </c>
      <c r="AU30" s="103">
        <f t="shared" si="1"/>
        <v>432.18459985414</v>
      </c>
      <c r="AW30" s="60">
        <f t="shared" si="2"/>
        <v>1.9488992812500001</v>
      </c>
      <c r="AX30" s="61">
        <f t="shared" si="3"/>
        <v>457.40081013803001</v>
      </c>
      <c r="AZ30" s="23">
        <f t="shared" si="4"/>
        <v>1.7535609012500011</v>
      </c>
      <c r="BA30" s="103">
        <f t="shared" si="5"/>
        <v>432.18459985414</v>
      </c>
      <c r="BC30" s="104">
        <f t="shared" si="6"/>
        <v>0.87639423249999981</v>
      </c>
      <c r="BD30" s="105">
        <f t="shared" si="7"/>
        <v>367.64992043527997</v>
      </c>
    </row>
    <row r="31" spans="1:56" s="101" customFormat="1" ht="14.4" x14ac:dyDescent="0.3">
      <c r="A31" s="101">
        <v>37</v>
      </c>
      <c r="B31" s="101" t="s">
        <v>229</v>
      </c>
      <c r="C31" s="20">
        <v>44256.458356481482</v>
      </c>
      <c r="D31" s="101" t="s">
        <v>25</v>
      </c>
      <c r="E31" s="101" t="s">
        <v>17</v>
      </c>
      <c r="F31" s="101">
        <v>0</v>
      </c>
      <c r="G31" s="101">
        <v>6.1150000000000002</v>
      </c>
      <c r="H31" s="12">
        <v>2175</v>
      </c>
      <c r="I31" s="101">
        <v>1E-3</v>
      </c>
      <c r="J31" s="101" t="s">
        <v>18</v>
      </c>
      <c r="K31" s="101" t="s">
        <v>18</v>
      </c>
      <c r="L31" s="101" t="s">
        <v>18</v>
      </c>
      <c r="M31" s="101" t="s">
        <v>18</v>
      </c>
      <c r="O31" s="101">
        <v>37</v>
      </c>
      <c r="P31" s="101" t="s">
        <v>229</v>
      </c>
      <c r="Q31" s="20">
        <v>44256.458356481482</v>
      </c>
      <c r="R31" s="101" t="s">
        <v>25</v>
      </c>
      <c r="S31" s="101" t="s">
        <v>17</v>
      </c>
      <c r="T31" s="101">
        <v>0</v>
      </c>
      <c r="U31" s="101" t="s">
        <v>18</v>
      </c>
      <c r="V31" s="101" t="s">
        <v>18</v>
      </c>
      <c r="W31" s="101" t="s">
        <v>18</v>
      </c>
      <c r="X31" s="101" t="s">
        <v>18</v>
      </c>
      <c r="Y31" s="101" t="s">
        <v>18</v>
      </c>
      <c r="Z31" s="101" t="s">
        <v>18</v>
      </c>
      <c r="AA31" s="101" t="s">
        <v>18</v>
      </c>
      <c r="AC31" s="101">
        <v>37</v>
      </c>
      <c r="AD31" s="101" t="s">
        <v>229</v>
      </c>
      <c r="AE31" s="20">
        <v>44256.458356481482</v>
      </c>
      <c r="AF31" s="101" t="s">
        <v>25</v>
      </c>
      <c r="AG31" s="101" t="s">
        <v>17</v>
      </c>
      <c r="AH31" s="101">
        <v>0</v>
      </c>
      <c r="AI31" s="101">
        <v>12.25</v>
      </c>
      <c r="AJ31" s="12">
        <v>1664</v>
      </c>
      <c r="AK31" s="101">
        <v>0.40200000000000002</v>
      </c>
      <c r="AL31" s="101" t="s">
        <v>18</v>
      </c>
      <c r="AM31" s="101" t="s">
        <v>18</v>
      </c>
      <c r="AN31" s="101" t="s">
        <v>18</v>
      </c>
      <c r="AO31" s="101" t="s">
        <v>18</v>
      </c>
      <c r="AQ31" s="101">
        <v>1</v>
      </c>
      <c r="AS31" s="7">
        <v>5</v>
      </c>
      <c r="AT31" s="23">
        <f t="shared" si="0"/>
        <v>1.3258852812500006</v>
      </c>
      <c r="AU31" s="103">
        <f t="shared" si="1"/>
        <v>314.25377775104005</v>
      </c>
      <c r="AW31" s="60">
        <f t="shared" si="2"/>
        <v>1.6129007812499996</v>
      </c>
      <c r="AX31" s="61">
        <f t="shared" si="3"/>
        <v>343.16179639808001</v>
      </c>
      <c r="AZ31" s="23">
        <f t="shared" si="4"/>
        <v>1.3258852812500006</v>
      </c>
      <c r="BA31" s="103">
        <f t="shared" si="5"/>
        <v>314.25377775104005</v>
      </c>
      <c r="BC31" s="104">
        <f t="shared" si="6"/>
        <v>0.69826731250000029</v>
      </c>
      <c r="BD31" s="105">
        <f t="shared" si="7"/>
        <v>240.17813777408003</v>
      </c>
    </row>
    <row r="32" spans="1:56" s="101" customFormat="1" ht="14.4" x14ac:dyDescent="0.3">
      <c r="A32" s="65">
        <v>64</v>
      </c>
      <c r="B32" s="101" t="s">
        <v>230</v>
      </c>
      <c r="C32" s="20">
        <v>44257.425081018519</v>
      </c>
      <c r="D32" s="101" t="s">
        <v>231</v>
      </c>
      <c r="E32" s="101" t="s">
        <v>54</v>
      </c>
      <c r="F32" s="101">
        <v>1</v>
      </c>
      <c r="G32" s="101">
        <v>6.1180000000000003</v>
      </c>
      <c r="H32" s="12">
        <v>2400</v>
      </c>
      <c r="I32" s="101">
        <v>2E-3</v>
      </c>
      <c r="J32" s="101">
        <v>1.8000000000000001E-4</v>
      </c>
      <c r="K32" s="101" t="s">
        <v>18</v>
      </c>
      <c r="L32" s="101">
        <v>959.8</v>
      </c>
      <c r="M32" s="101">
        <v>2E-3</v>
      </c>
      <c r="O32" s="101">
        <v>64</v>
      </c>
      <c r="P32" s="101" t="s">
        <v>230</v>
      </c>
      <c r="Q32" s="20">
        <v>44257.425081018519</v>
      </c>
      <c r="R32" s="101" t="s">
        <v>231</v>
      </c>
      <c r="S32" s="101" t="s">
        <v>54</v>
      </c>
      <c r="T32" s="101">
        <v>1</v>
      </c>
      <c r="U32" s="101" t="s">
        <v>18</v>
      </c>
      <c r="V32" s="101" t="s">
        <v>18</v>
      </c>
      <c r="W32" s="101" t="s">
        <v>18</v>
      </c>
      <c r="X32" s="101">
        <v>1.8E-3</v>
      </c>
      <c r="Y32" s="101" t="s">
        <v>18</v>
      </c>
      <c r="Z32" s="101" t="s">
        <v>18</v>
      </c>
      <c r="AA32" s="101" t="s">
        <v>18</v>
      </c>
      <c r="AC32" s="101">
        <v>64</v>
      </c>
      <c r="AD32" s="101" t="s">
        <v>230</v>
      </c>
      <c r="AE32" s="20">
        <v>44257.425081018519</v>
      </c>
      <c r="AF32" s="101" t="s">
        <v>231</v>
      </c>
      <c r="AG32" s="101" t="s">
        <v>54</v>
      </c>
      <c r="AH32" s="101">
        <v>1</v>
      </c>
      <c r="AI32" s="101">
        <v>12.298</v>
      </c>
      <c r="AJ32" s="12">
        <v>2505</v>
      </c>
      <c r="AK32" s="101">
        <v>0.51600000000000001</v>
      </c>
      <c r="AL32" s="101">
        <v>0.4</v>
      </c>
      <c r="AM32" s="101" t="s">
        <v>18</v>
      </c>
      <c r="AN32" s="101">
        <v>128.9</v>
      </c>
      <c r="AO32" s="101">
        <v>0.11600000000000001</v>
      </c>
      <c r="AQ32" s="101">
        <v>1</v>
      </c>
      <c r="AS32" s="7">
        <v>6</v>
      </c>
      <c r="AT32" s="23">
        <f t="shared" si="0"/>
        <v>2.1264079999999996</v>
      </c>
      <c r="AU32" s="103">
        <f t="shared" si="1"/>
        <v>474.99596809350004</v>
      </c>
      <c r="AW32" s="60">
        <f t="shared" si="2"/>
        <v>2.2433999999999994</v>
      </c>
      <c r="AX32" s="61">
        <f t="shared" si="3"/>
        <v>498.86311668075001</v>
      </c>
      <c r="AZ32" s="23">
        <f t="shared" si="4"/>
        <v>2.1264079999999996</v>
      </c>
      <c r="BA32" s="103">
        <f t="shared" si="5"/>
        <v>474.99596809350004</v>
      </c>
      <c r="BC32" s="104">
        <f t="shared" si="6"/>
        <v>1.0356880000000002</v>
      </c>
      <c r="BD32" s="105">
        <f t="shared" si="7"/>
        <v>413.92336136199998</v>
      </c>
    </row>
    <row r="33" spans="1:56" s="101" customFormat="1" ht="14.4" x14ac:dyDescent="0.3">
      <c r="A33" s="65">
        <v>65</v>
      </c>
      <c r="B33" s="101" t="s">
        <v>232</v>
      </c>
      <c r="C33" s="20">
        <v>44257.446319444447</v>
      </c>
      <c r="D33" s="101" t="s">
        <v>231</v>
      </c>
      <c r="E33" s="101" t="s">
        <v>54</v>
      </c>
      <c r="F33" s="101">
        <v>1</v>
      </c>
      <c r="G33" s="101">
        <v>6.1139999999999999</v>
      </c>
      <c r="H33" s="12">
        <v>2455</v>
      </c>
      <c r="I33" s="101">
        <v>2E-3</v>
      </c>
      <c r="J33" s="101">
        <v>1.8000000000000001E-4</v>
      </c>
      <c r="K33" s="101" t="s">
        <v>18</v>
      </c>
      <c r="L33" s="17">
        <v>1005.8</v>
      </c>
      <c r="M33" s="101">
        <v>2E-3</v>
      </c>
      <c r="O33" s="101">
        <v>65</v>
      </c>
      <c r="P33" s="101" t="s">
        <v>232</v>
      </c>
      <c r="Q33" s="20">
        <v>44257.446319444447</v>
      </c>
      <c r="R33" s="101" t="s">
        <v>231</v>
      </c>
      <c r="S33" s="101" t="s">
        <v>54</v>
      </c>
      <c r="T33" s="101">
        <v>1</v>
      </c>
      <c r="U33" s="101" t="s">
        <v>18</v>
      </c>
      <c r="V33" s="12" t="s">
        <v>18</v>
      </c>
      <c r="W33" s="101" t="s">
        <v>18</v>
      </c>
      <c r="X33" s="101">
        <v>1.8E-3</v>
      </c>
      <c r="Y33" s="101" t="s">
        <v>18</v>
      </c>
      <c r="Z33" s="101" t="s">
        <v>18</v>
      </c>
      <c r="AA33" s="101" t="s">
        <v>18</v>
      </c>
      <c r="AC33" s="101">
        <v>65</v>
      </c>
      <c r="AD33" s="101" t="s">
        <v>232</v>
      </c>
      <c r="AE33" s="20">
        <v>44257.446319444447</v>
      </c>
      <c r="AF33" s="101" t="s">
        <v>231</v>
      </c>
      <c r="AG33" s="101" t="s">
        <v>54</v>
      </c>
      <c r="AH33" s="101">
        <v>1</v>
      </c>
      <c r="AI33" s="101">
        <v>12.26</v>
      </c>
      <c r="AJ33" s="12">
        <v>1928</v>
      </c>
      <c r="AK33" s="101">
        <v>0.437</v>
      </c>
      <c r="AL33" s="101">
        <v>0.4</v>
      </c>
      <c r="AM33" s="101" t="s">
        <v>18</v>
      </c>
      <c r="AN33" s="101">
        <v>109.4</v>
      </c>
      <c r="AO33" s="101">
        <v>3.6999999999999998E-2</v>
      </c>
      <c r="AQ33" s="101">
        <v>1</v>
      </c>
      <c r="AS33" s="7">
        <v>7</v>
      </c>
      <c r="AT33" s="23">
        <f t="shared" si="0"/>
        <v>2.3211989012499998</v>
      </c>
      <c r="AU33" s="103">
        <f t="shared" si="1"/>
        <v>364.71515858816002</v>
      </c>
      <c r="AW33" s="60">
        <f t="shared" si="2"/>
        <v>2.3978492812499992</v>
      </c>
      <c r="AX33" s="61">
        <f t="shared" si="3"/>
        <v>392.04787236032001</v>
      </c>
      <c r="AZ33" s="23">
        <f t="shared" si="4"/>
        <v>2.3211989012499998</v>
      </c>
      <c r="BA33" s="103">
        <f t="shared" si="5"/>
        <v>364.71515858816002</v>
      </c>
      <c r="BC33" s="104">
        <f t="shared" si="6"/>
        <v>1.1204062324999999</v>
      </c>
      <c r="BD33" s="105">
        <f t="shared" si="7"/>
        <v>294.72273746432001</v>
      </c>
    </row>
    <row r="34" spans="1:56" s="101" customFormat="1" ht="14.4" x14ac:dyDescent="0.3">
      <c r="A34" s="65">
        <v>66</v>
      </c>
      <c r="B34" s="101" t="s">
        <v>233</v>
      </c>
      <c r="C34" s="20">
        <v>44257.467557870368</v>
      </c>
      <c r="D34" s="101" t="s">
        <v>231</v>
      </c>
      <c r="E34" s="101" t="s">
        <v>54</v>
      </c>
      <c r="F34" s="101">
        <v>1</v>
      </c>
      <c r="G34" s="101">
        <v>6.1219999999999999</v>
      </c>
      <c r="H34" s="12">
        <v>2842</v>
      </c>
      <c r="I34" s="101">
        <v>2E-3</v>
      </c>
      <c r="J34" s="101">
        <v>1.8000000000000001E-4</v>
      </c>
      <c r="K34" s="101" t="s">
        <v>18</v>
      </c>
      <c r="L34" s="17">
        <v>1325.5</v>
      </c>
      <c r="M34" s="101">
        <v>2E-3</v>
      </c>
      <c r="O34" s="101">
        <v>66</v>
      </c>
      <c r="P34" s="101" t="s">
        <v>233</v>
      </c>
      <c r="Q34" s="20">
        <v>44257.467557870368</v>
      </c>
      <c r="R34" s="101" t="s">
        <v>231</v>
      </c>
      <c r="S34" s="101" t="s">
        <v>54</v>
      </c>
      <c r="T34" s="101">
        <v>1</v>
      </c>
      <c r="U34" s="101" t="s">
        <v>18</v>
      </c>
      <c r="V34" s="12" t="s">
        <v>18</v>
      </c>
      <c r="W34" s="101" t="s">
        <v>18</v>
      </c>
      <c r="X34" s="101">
        <v>1.8E-3</v>
      </c>
      <c r="Y34" s="101" t="s">
        <v>18</v>
      </c>
      <c r="Z34" s="101" t="s">
        <v>18</v>
      </c>
      <c r="AA34" s="101" t="s">
        <v>18</v>
      </c>
      <c r="AC34" s="101">
        <v>66</v>
      </c>
      <c r="AD34" s="101" t="s">
        <v>233</v>
      </c>
      <c r="AE34" s="20">
        <v>44257.467557870368</v>
      </c>
      <c r="AF34" s="101" t="s">
        <v>231</v>
      </c>
      <c r="AG34" s="101" t="s">
        <v>54</v>
      </c>
      <c r="AH34" s="101">
        <v>1</v>
      </c>
      <c r="AI34" s="101">
        <v>12.253</v>
      </c>
      <c r="AJ34" s="12">
        <v>1771</v>
      </c>
      <c r="AK34" s="101">
        <v>0.41599999999999998</v>
      </c>
      <c r="AL34" s="101">
        <v>0.4</v>
      </c>
      <c r="AM34" s="101" t="s">
        <v>18</v>
      </c>
      <c r="AN34" s="101">
        <v>104</v>
      </c>
      <c r="AO34" s="101">
        <v>1.6E-2</v>
      </c>
      <c r="AQ34" s="101">
        <v>1</v>
      </c>
      <c r="AS34" s="7">
        <v>8</v>
      </c>
      <c r="AT34" s="23">
        <f t="shared" si="0"/>
        <v>3.6819059362000015</v>
      </c>
      <c r="AU34" s="103">
        <f t="shared" si="1"/>
        <v>334.70620146933999</v>
      </c>
      <c r="AW34" s="60">
        <f t="shared" si="2"/>
        <v>3.4882454849999993</v>
      </c>
      <c r="AX34" s="61">
        <f t="shared" si="3"/>
        <v>362.97652559842999</v>
      </c>
      <c r="AZ34" s="23">
        <f t="shared" si="4"/>
        <v>3.6819059362000015</v>
      </c>
      <c r="BA34" s="103">
        <f t="shared" si="5"/>
        <v>334.70620146933999</v>
      </c>
      <c r="BC34" s="104">
        <f t="shared" si="6"/>
        <v>1.7413686692000001</v>
      </c>
      <c r="BD34" s="105">
        <f t="shared" si="7"/>
        <v>262.28565802567999</v>
      </c>
    </row>
    <row r="35" spans="1:56" s="101" customFormat="1" ht="14.4" x14ac:dyDescent="0.3">
      <c r="A35" s="27">
        <v>37</v>
      </c>
      <c r="B35" s="101" t="s">
        <v>234</v>
      </c>
      <c r="C35" s="20">
        <v>44266.451840277776</v>
      </c>
      <c r="D35" s="101" t="s">
        <v>25</v>
      </c>
      <c r="E35" s="101" t="s">
        <v>17</v>
      </c>
      <c r="F35" s="101">
        <v>0</v>
      </c>
      <c r="G35" s="101">
        <v>6.1189999999999998</v>
      </c>
      <c r="H35" s="12">
        <v>2552</v>
      </c>
      <c r="I35" s="101">
        <v>2E-3</v>
      </c>
      <c r="J35" s="101" t="s">
        <v>18</v>
      </c>
      <c r="K35" s="101" t="s">
        <v>18</v>
      </c>
      <c r="L35" s="101" t="s">
        <v>18</v>
      </c>
      <c r="M35" s="101" t="s">
        <v>18</v>
      </c>
      <c r="O35" s="101">
        <v>37</v>
      </c>
      <c r="P35" s="101" t="s">
        <v>234</v>
      </c>
      <c r="Q35" s="20">
        <v>44266.451840277776</v>
      </c>
      <c r="R35" s="101" t="s">
        <v>25</v>
      </c>
      <c r="S35" s="101" t="s">
        <v>17</v>
      </c>
      <c r="T35" s="101">
        <v>0</v>
      </c>
      <c r="U35" s="101" t="s">
        <v>18</v>
      </c>
      <c r="V35" s="12" t="s">
        <v>18</v>
      </c>
      <c r="W35" s="101" t="s">
        <v>18</v>
      </c>
      <c r="X35" s="101" t="s">
        <v>18</v>
      </c>
      <c r="Y35" s="101" t="s">
        <v>18</v>
      </c>
      <c r="Z35" s="101" t="s">
        <v>18</v>
      </c>
      <c r="AA35" s="101" t="s">
        <v>18</v>
      </c>
      <c r="AC35" s="101">
        <v>37</v>
      </c>
      <c r="AD35" s="101" t="s">
        <v>234</v>
      </c>
      <c r="AE35" s="20">
        <v>44266.451840277776</v>
      </c>
      <c r="AF35" s="101" t="s">
        <v>25</v>
      </c>
      <c r="AG35" s="101" t="s">
        <v>17</v>
      </c>
      <c r="AH35" s="101">
        <v>0</v>
      </c>
      <c r="AI35" s="101">
        <v>12.286</v>
      </c>
      <c r="AJ35" s="12">
        <v>2796</v>
      </c>
      <c r="AK35" s="101">
        <v>0.55500000000000005</v>
      </c>
      <c r="AL35" s="101" t="s">
        <v>18</v>
      </c>
      <c r="AM35" s="101" t="s">
        <v>18</v>
      </c>
      <c r="AN35" s="101" t="s">
        <v>18</v>
      </c>
      <c r="AO35" s="101" t="s">
        <v>18</v>
      </c>
      <c r="AQ35" s="101">
        <v>1</v>
      </c>
      <c r="AS35" s="7">
        <v>9</v>
      </c>
      <c r="AT35" s="23">
        <f t="shared" si="0"/>
        <v>2.6638848032000002</v>
      </c>
      <c r="AU35" s="103">
        <f t="shared" si="1"/>
        <v>530.61008556384002</v>
      </c>
      <c r="AW35" s="60">
        <f t="shared" si="2"/>
        <v>2.6705549599999996</v>
      </c>
      <c r="AX35" s="61">
        <f t="shared" si="3"/>
        <v>552.71768824368007</v>
      </c>
      <c r="AZ35" s="23">
        <f t="shared" si="4"/>
        <v>2.6638848032000002</v>
      </c>
      <c r="BA35" s="103">
        <f t="shared" si="5"/>
        <v>530.61008556384002</v>
      </c>
      <c r="BC35" s="104">
        <f t="shared" si="6"/>
        <v>1.2719606912000001</v>
      </c>
      <c r="BD35" s="105">
        <f t="shared" si="7"/>
        <v>474.03369443968</v>
      </c>
    </row>
    <row r="36" spans="1:56" s="101" customFormat="1" ht="14.4" x14ac:dyDescent="0.3">
      <c r="A36" s="101">
        <v>37</v>
      </c>
      <c r="B36" s="101" t="s">
        <v>235</v>
      </c>
      <c r="C36" s="20">
        <v>44271.474594907406</v>
      </c>
      <c r="D36" s="101" t="s">
        <v>25</v>
      </c>
      <c r="E36" s="101" t="s">
        <v>17</v>
      </c>
      <c r="F36" s="101">
        <v>0</v>
      </c>
      <c r="G36" s="101">
        <v>6.11</v>
      </c>
      <c r="H36" s="12">
        <v>1400</v>
      </c>
      <c r="I36" s="101">
        <v>0</v>
      </c>
      <c r="J36" s="101" t="s">
        <v>18</v>
      </c>
      <c r="K36" s="101" t="s">
        <v>18</v>
      </c>
      <c r="L36" s="101" t="s">
        <v>18</v>
      </c>
      <c r="M36" s="101" t="s">
        <v>18</v>
      </c>
      <c r="O36" s="101">
        <v>37</v>
      </c>
      <c r="P36" s="101" t="s">
        <v>235</v>
      </c>
      <c r="Q36" s="20">
        <v>44271.474594907406</v>
      </c>
      <c r="R36" s="101" t="s">
        <v>25</v>
      </c>
      <c r="S36" s="101" t="s">
        <v>17</v>
      </c>
      <c r="T36" s="101">
        <v>0</v>
      </c>
      <c r="U36" s="101" t="s">
        <v>18</v>
      </c>
      <c r="V36" s="101" t="s">
        <v>18</v>
      </c>
      <c r="W36" s="101" t="s">
        <v>18</v>
      </c>
      <c r="X36" s="101" t="s">
        <v>18</v>
      </c>
      <c r="Y36" s="101" t="s">
        <v>18</v>
      </c>
      <c r="Z36" s="101" t="s">
        <v>18</v>
      </c>
      <c r="AA36" s="101" t="s">
        <v>18</v>
      </c>
      <c r="AC36" s="101">
        <v>37</v>
      </c>
      <c r="AD36" s="101" t="s">
        <v>235</v>
      </c>
      <c r="AE36" s="20">
        <v>44271.474594907406</v>
      </c>
      <c r="AF36" s="101" t="s">
        <v>25</v>
      </c>
      <c r="AG36" s="101" t="s">
        <v>17</v>
      </c>
      <c r="AH36" s="101">
        <v>0</v>
      </c>
      <c r="AI36" s="101">
        <v>12.287000000000001</v>
      </c>
      <c r="AJ36" s="12">
        <v>2752</v>
      </c>
      <c r="AK36" s="101">
        <v>0.54900000000000004</v>
      </c>
      <c r="AL36" s="101" t="s">
        <v>18</v>
      </c>
      <c r="AM36" s="101" t="s">
        <v>18</v>
      </c>
      <c r="AN36" s="101" t="s">
        <v>18</v>
      </c>
      <c r="AO36" s="101" t="s">
        <v>18</v>
      </c>
      <c r="AQ36" s="101">
        <v>1</v>
      </c>
      <c r="AS36" s="7">
        <v>10</v>
      </c>
      <c r="AT36" s="23">
        <f t="shared" si="0"/>
        <v>-1.4763820000000001</v>
      </c>
      <c r="AU36" s="103">
        <f t="shared" si="1"/>
        <v>522.20125482496007</v>
      </c>
      <c r="AW36" s="60">
        <f t="shared" si="2"/>
        <v>-0.54235000000000033</v>
      </c>
      <c r="AX36" s="61">
        <f t="shared" si="3"/>
        <v>544.57541115392007</v>
      </c>
      <c r="AZ36" s="23">
        <f t="shared" si="4"/>
        <v>-1.4763820000000001</v>
      </c>
      <c r="BA36" s="103">
        <f t="shared" si="5"/>
        <v>522.20125482496007</v>
      </c>
      <c r="BC36" s="104">
        <f t="shared" si="6"/>
        <v>-0.35135199999999989</v>
      </c>
      <c r="BD36" s="105">
        <f t="shared" si="7"/>
        <v>464.94512417792004</v>
      </c>
    </row>
    <row r="37" spans="1:56" s="101" customFormat="1" ht="14.4" x14ac:dyDescent="0.3">
      <c r="A37" s="65">
        <v>37</v>
      </c>
      <c r="B37" s="101" t="s">
        <v>236</v>
      </c>
      <c r="C37" s="20">
        <v>44272.501458333332</v>
      </c>
      <c r="D37" s="101" t="s">
        <v>25</v>
      </c>
      <c r="E37" s="101" t="s">
        <v>17</v>
      </c>
      <c r="F37" s="101">
        <v>0</v>
      </c>
      <c r="G37" s="101">
        <v>6.0590000000000002</v>
      </c>
      <c r="H37" s="12">
        <v>1306</v>
      </c>
      <c r="I37" s="101">
        <v>0</v>
      </c>
      <c r="J37" s="101" t="s">
        <v>18</v>
      </c>
      <c r="K37" s="101" t="s">
        <v>18</v>
      </c>
      <c r="L37" s="101" t="s">
        <v>18</v>
      </c>
      <c r="M37" s="101" t="s">
        <v>18</v>
      </c>
      <c r="O37" s="101">
        <v>37</v>
      </c>
      <c r="P37" s="101" t="s">
        <v>236</v>
      </c>
      <c r="Q37" s="20">
        <v>44272.501458333332</v>
      </c>
      <c r="R37" s="101" t="s">
        <v>25</v>
      </c>
      <c r="S37" s="101" t="s">
        <v>17</v>
      </c>
      <c r="T37" s="101">
        <v>0</v>
      </c>
      <c r="U37" s="101" t="s">
        <v>18</v>
      </c>
      <c r="V37" s="12" t="s">
        <v>18</v>
      </c>
      <c r="W37" s="101" t="s">
        <v>18</v>
      </c>
      <c r="X37" s="101" t="s">
        <v>18</v>
      </c>
      <c r="Y37" s="101" t="s">
        <v>18</v>
      </c>
      <c r="Z37" s="101" t="s">
        <v>18</v>
      </c>
      <c r="AA37" s="101" t="s">
        <v>18</v>
      </c>
      <c r="AC37" s="101">
        <v>37</v>
      </c>
      <c r="AD37" s="101" t="s">
        <v>236</v>
      </c>
      <c r="AE37" s="20">
        <v>44272.501458333332</v>
      </c>
      <c r="AF37" s="101" t="s">
        <v>25</v>
      </c>
      <c r="AG37" s="101" t="s">
        <v>17</v>
      </c>
      <c r="AH37" s="101">
        <v>0</v>
      </c>
      <c r="AI37" s="101">
        <v>12.269</v>
      </c>
      <c r="AJ37" s="12">
        <v>2782</v>
      </c>
      <c r="AK37" s="101">
        <v>0.55300000000000005</v>
      </c>
      <c r="AL37" s="101" t="s">
        <v>18</v>
      </c>
      <c r="AM37" s="101" t="s">
        <v>18</v>
      </c>
      <c r="AN37" s="101" t="s">
        <v>18</v>
      </c>
      <c r="AO37" s="101" t="s">
        <v>18</v>
      </c>
      <c r="AQ37" s="101">
        <v>1</v>
      </c>
      <c r="AS37" s="7">
        <v>11</v>
      </c>
      <c r="AT37" s="23">
        <f t="shared" si="0"/>
        <v>-1.8210036061999997</v>
      </c>
      <c r="AU37" s="103">
        <f t="shared" si="1"/>
        <v>527.9345553397601</v>
      </c>
      <c r="AW37" s="60">
        <f t="shared" si="2"/>
        <v>-0.80202523500000034</v>
      </c>
      <c r="AX37" s="61">
        <f t="shared" si="3"/>
        <v>550.12699007852007</v>
      </c>
      <c r="AZ37" s="23">
        <f t="shared" si="4"/>
        <v>-1.8210036061999997</v>
      </c>
      <c r="BA37" s="103">
        <f t="shared" si="5"/>
        <v>527.9345553397601</v>
      </c>
      <c r="BC37" s="104">
        <f t="shared" si="6"/>
        <v>-0.46679168919999992</v>
      </c>
      <c r="BD37" s="105">
        <f t="shared" si="7"/>
        <v>471.14188734752003</v>
      </c>
    </row>
    <row r="38" spans="1:56" s="101" customFormat="1" ht="14.4" x14ac:dyDescent="0.3">
      <c r="A38" s="65">
        <v>37</v>
      </c>
      <c r="B38" s="101" t="s">
        <v>237</v>
      </c>
      <c r="C38" s="20">
        <v>44278.595486111109</v>
      </c>
      <c r="D38" s="101" t="s">
        <v>25</v>
      </c>
      <c r="E38" s="101" t="s">
        <v>17</v>
      </c>
      <c r="F38" s="101">
        <v>0</v>
      </c>
      <c r="G38" s="101">
        <v>6.0910000000000002</v>
      </c>
      <c r="H38" s="12">
        <v>1779</v>
      </c>
      <c r="I38" s="101">
        <v>1E-3</v>
      </c>
      <c r="J38" s="101" t="s">
        <v>18</v>
      </c>
      <c r="K38" s="101" t="s">
        <v>18</v>
      </c>
      <c r="L38" s="101" t="s">
        <v>18</v>
      </c>
      <c r="M38" s="101" t="s">
        <v>18</v>
      </c>
      <c r="O38" s="101">
        <v>37</v>
      </c>
      <c r="P38" s="101" t="s">
        <v>237</v>
      </c>
      <c r="Q38" s="20">
        <v>44278.595486111109</v>
      </c>
      <c r="R38" s="101" t="s">
        <v>25</v>
      </c>
      <c r="S38" s="101" t="s">
        <v>17</v>
      </c>
      <c r="T38" s="101">
        <v>0</v>
      </c>
      <c r="U38" s="101" t="s">
        <v>18</v>
      </c>
      <c r="V38" s="12" t="s">
        <v>18</v>
      </c>
      <c r="W38" s="101" t="s">
        <v>18</v>
      </c>
      <c r="X38" s="101" t="s">
        <v>18</v>
      </c>
      <c r="Y38" s="101" t="s">
        <v>18</v>
      </c>
      <c r="Z38" s="101" t="s">
        <v>18</v>
      </c>
      <c r="AA38" s="101" t="s">
        <v>18</v>
      </c>
      <c r="AC38" s="101">
        <v>37</v>
      </c>
      <c r="AD38" s="101" t="s">
        <v>237</v>
      </c>
      <c r="AE38" s="20">
        <v>44278.595486111109</v>
      </c>
      <c r="AF38" s="101" t="s">
        <v>25</v>
      </c>
      <c r="AG38" s="101" t="s">
        <v>17</v>
      </c>
      <c r="AH38" s="101">
        <v>0</v>
      </c>
      <c r="AI38" s="101">
        <v>12.273999999999999</v>
      </c>
      <c r="AJ38" s="12">
        <v>1989</v>
      </c>
      <c r="AK38" s="101">
        <v>0.44600000000000001</v>
      </c>
      <c r="AL38" s="101" t="s">
        <v>18</v>
      </c>
      <c r="AM38" s="101" t="s">
        <v>18</v>
      </c>
      <c r="AN38" s="101" t="s">
        <v>18</v>
      </c>
      <c r="AO38" s="101" t="s">
        <v>18</v>
      </c>
      <c r="AQ38" s="101">
        <v>1</v>
      </c>
      <c r="AS38" s="7">
        <v>12</v>
      </c>
      <c r="AT38" s="23">
        <f t="shared" si="0"/>
        <v>-9.7285535950000224E-2</v>
      </c>
      <c r="AU38" s="103">
        <f t="shared" si="1"/>
        <v>376.37447347253999</v>
      </c>
      <c r="AW38" s="60">
        <f t="shared" si="2"/>
        <v>0.50844787124999957</v>
      </c>
      <c r="AX38" s="61">
        <f t="shared" si="3"/>
        <v>403.34227428483001</v>
      </c>
      <c r="AZ38" s="23">
        <f t="shared" si="4"/>
        <v>-9.7285535950000224E-2</v>
      </c>
      <c r="BA38" s="103">
        <f t="shared" si="5"/>
        <v>376.37447347253999</v>
      </c>
      <c r="BC38" s="104">
        <f t="shared" si="6"/>
        <v>0.14013849729999994</v>
      </c>
      <c r="BD38" s="105">
        <f t="shared" si="7"/>
        <v>307.32533979208</v>
      </c>
    </row>
    <row r="39" spans="1:56" s="101" customFormat="1" ht="14.4" x14ac:dyDescent="0.3">
      <c r="A39" s="65">
        <v>37</v>
      </c>
      <c r="B39" s="101" t="s">
        <v>381</v>
      </c>
      <c r="C39" s="20">
        <v>44292.535810185182</v>
      </c>
      <c r="D39" s="101" t="s">
        <v>25</v>
      </c>
      <c r="E39" s="101" t="s">
        <v>17</v>
      </c>
      <c r="F39" s="101">
        <v>0</v>
      </c>
      <c r="G39" s="101">
        <v>6.0960000000000001</v>
      </c>
      <c r="H39" s="12">
        <v>1813</v>
      </c>
      <c r="I39" s="101">
        <v>1E-3</v>
      </c>
      <c r="J39" s="101" t="s">
        <v>18</v>
      </c>
      <c r="K39" s="101" t="s">
        <v>18</v>
      </c>
      <c r="L39" s="101" t="s">
        <v>18</v>
      </c>
      <c r="M39" s="101" t="s">
        <v>18</v>
      </c>
      <c r="O39" s="101">
        <v>37</v>
      </c>
      <c r="P39" s="101" t="s">
        <v>381</v>
      </c>
      <c r="Q39" s="20">
        <v>44292.535810185182</v>
      </c>
      <c r="R39" s="101" t="s">
        <v>25</v>
      </c>
      <c r="S39" s="101" t="s">
        <v>17</v>
      </c>
      <c r="T39" s="101">
        <v>0</v>
      </c>
      <c r="U39" s="101" t="s">
        <v>18</v>
      </c>
      <c r="V39" s="12" t="s">
        <v>18</v>
      </c>
      <c r="W39" s="101" t="s">
        <v>18</v>
      </c>
      <c r="X39" s="101" t="s">
        <v>18</v>
      </c>
      <c r="Y39" s="101" t="s">
        <v>18</v>
      </c>
      <c r="Z39" s="101" t="s">
        <v>18</v>
      </c>
      <c r="AA39" s="101" t="s">
        <v>18</v>
      </c>
      <c r="AC39" s="101">
        <v>37</v>
      </c>
      <c r="AD39" s="101" t="s">
        <v>381</v>
      </c>
      <c r="AE39" s="20">
        <v>44292.535810185182</v>
      </c>
      <c r="AF39" s="101" t="s">
        <v>25</v>
      </c>
      <c r="AG39" s="101" t="s">
        <v>17</v>
      </c>
      <c r="AH39" s="101">
        <v>0</v>
      </c>
      <c r="AI39" s="101">
        <v>12.263</v>
      </c>
      <c r="AJ39" s="12">
        <v>2411</v>
      </c>
      <c r="AK39" s="101">
        <v>0.503</v>
      </c>
      <c r="AL39" s="101" t="s">
        <v>18</v>
      </c>
      <c r="AM39" s="101" t="s">
        <v>18</v>
      </c>
      <c r="AN39" s="101" t="s">
        <v>18</v>
      </c>
      <c r="AO39" s="101" t="s">
        <v>18</v>
      </c>
      <c r="AQ39" s="101">
        <v>1</v>
      </c>
      <c r="AS39" s="7">
        <v>13</v>
      </c>
      <c r="AT39" s="23">
        <f t="shared" si="0"/>
        <v>2.5619146449999519E-2</v>
      </c>
      <c r="AU39" s="103">
        <f t="shared" si="1"/>
        <v>457.03068190454002</v>
      </c>
      <c r="AW39" s="60">
        <f t="shared" si="2"/>
        <v>0.60301309124999936</v>
      </c>
      <c r="AX39" s="61">
        <f t="shared" si="3"/>
        <v>481.46452294882999</v>
      </c>
      <c r="AZ39" s="23">
        <f t="shared" si="4"/>
        <v>2.5619146449999519E-2</v>
      </c>
      <c r="BA39" s="103">
        <f t="shared" si="5"/>
        <v>457.03068190454002</v>
      </c>
      <c r="BC39" s="104">
        <f t="shared" si="6"/>
        <v>0.1862702957000002</v>
      </c>
      <c r="BD39" s="105">
        <f t="shared" si="7"/>
        <v>394.50535425608001</v>
      </c>
    </row>
    <row r="40" spans="1:56" s="101" customFormat="1" ht="14.4" x14ac:dyDescent="0.3">
      <c r="A40" s="101">
        <v>49</v>
      </c>
      <c r="B40" s="101" t="s">
        <v>382</v>
      </c>
      <c r="C40" s="20">
        <v>44293.464386574073</v>
      </c>
      <c r="D40" s="101" t="s">
        <v>25</v>
      </c>
      <c r="E40" s="101" t="s">
        <v>17</v>
      </c>
      <c r="F40" s="101">
        <v>0</v>
      </c>
      <c r="G40" s="101">
        <v>6.1070000000000002</v>
      </c>
      <c r="H40" s="12">
        <v>2383</v>
      </c>
      <c r="I40" s="101">
        <v>-1E-3</v>
      </c>
      <c r="J40" s="101" t="s">
        <v>18</v>
      </c>
      <c r="K40" s="101" t="s">
        <v>18</v>
      </c>
      <c r="L40" s="101" t="s">
        <v>18</v>
      </c>
      <c r="M40" s="101" t="s">
        <v>18</v>
      </c>
      <c r="O40" s="101">
        <v>49</v>
      </c>
      <c r="P40" s="101" t="s">
        <v>382</v>
      </c>
      <c r="Q40" s="20">
        <v>44293.464386574073</v>
      </c>
      <c r="R40" s="101" t="s">
        <v>25</v>
      </c>
      <c r="S40" s="101" t="s">
        <v>17</v>
      </c>
      <c r="T40" s="101">
        <v>0</v>
      </c>
      <c r="U40" s="101" t="s">
        <v>18</v>
      </c>
      <c r="V40" s="101" t="s">
        <v>18</v>
      </c>
      <c r="W40" s="101" t="s">
        <v>18</v>
      </c>
      <c r="X40" s="101" t="s">
        <v>18</v>
      </c>
      <c r="Y40" s="101" t="s">
        <v>18</v>
      </c>
      <c r="Z40" s="101" t="s">
        <v>18</v>
      </c>
      <c r="AA40" s="101" t="s">
        <v>18</v>
      </c>
      <c r="AC40" s="101">
        <v>49</v>
      </c>
      <c r="AD40" s="101" t="s">
        <v>382</v>
      </c>
      <c r="AE40" s="20">
        <v>44293.464386574073</v>
      </c>
      <c r="AF40" s="101" t="s">
        <v>25</v>
      </c>
      <c r="AG40" s="101" t="s">
        <v>17</v>
      </c>
      <c r="AH40" s="101">
        <v>0</v>
      </c>
      <c r="AI40" s="101">
        <v>12.27</v>
      </c>
      <c r="AJ40" s="12">
        <v>2019</v>
      </c>
      <c r="AK40" s="101">
        <v>0.41199999999999998</v>
      </c>
      <c r="AL40" s="101" t="s">
        <v>18</v>
      </c>
      <c r="AM40" s="101" t="s">
        <v>18</v>
      </c>
      <c r="AN40" s="101" t="s">
        <v>18</v>
      </c>
      <c r="AO40" s="101" t="s">
        <v>18</v>
      </c>
      <c r="AQ40" s="101">
        <v>1</v>
      </c>
      <c r="AS40" s="7">
        <v>14</v>
      </c>
      <c r="AT40" s="23">
        <f t="shared" si="0"/>
        <v>2.0661289724499987</v>
      </c>
      <c r="AU40" s="103">
        <f t="shared" si="1"/>
        <v>382.10851837014002</v>
      </c>
      <c r="AW40" s="60">
        <f t="shared" si="2"/>
        <v>2.1956871412499996</v>
      </c>
      <c r="AX40" s="61">
        <f t="shared" si="3"/>
        <v>408.89672682002998</v>
      </c>
      <c r="AZ40" s="23">
        <f t="shared" si="4"/>
        <v>2.0661289724499987</v>
      </c>
      <c r="BA40" s="103">
        <f t="shared" si="5"/>
        <v>382.10851837014002</v>
      </c>
      <c r="BC40" s="104">
        <f t="shared" si="6"/>
        <v>1.0096802116999999</v>
      </c>
      <c r="BD40" s="105">
        <f t="shared" si="7"/>
        <v>313.52327126727999</v>
      </c>
    </row>
    <row r="41" spans="1:56" s="101" customFormat="1" ht="14.4" x14ac:dyDescent="0.3">
      <c r="A41" s="101">
        <v>51</v>
      </c>
      <c r="B41" s="101" t="s">
        <v>383</v>
      </c>
      <c r="C41" s="20">
        <v>44293.506956018522</v>
      </c>
      <c r="D41" s="101" t="s">
        <v>25</v>
      </c>
      <c r="E41" s="101" t="s">
        <v>17</v>
      </c>
      <c r="F41" s="101">
        <v>0</v>
      </c>
      <c r="G41" s="101">
        <v>6.093</v>
      </c>
      <c r="H41" s="12">
        <v>2304</v>
      </c>
      <c r="I41" s="101">
        <v>-1E-3</v>
      </c>
      <c r="J41" s="101" t="s">
        <v>18</v>
      </c>
      <c r="K41" s="101" t="s">
        <v>18</v>
      </c>
      <c r="L41" s="101" t="s">
        <v>18</v>
      </c>
      <c r="M41" s="101" t="s">
        <v>18</v>
      </c>
      <c r="O41" s="101">
        <v>51</v>
      </c>
      <c r="P41" s="101" t="s">
        <v>383</v>
      </c>
      <c r="Q41" s="20">
        <v>44293.506956018522</v>
      </c>
      <c r="R41" s="101" t="s">
        <v>25</v>
      </c>
      <c r="S41" s="101" t="s">
        <v>17</v>
      </c>
      <c r="T41" s="101">
        <v>0</v>
      </c>
      <c r="U41" s="101" t="s">
        <v>18</v>
      </c>
      <c r="V41" s="101" t="s">
        <v>18</v>
      </c>
      <c r="W41" s="101" t="s">
        <v>18</v>
      </c>
      <c r="X41" s="101" t="s">
        <v>18</v>
      </c>
      <c r="Y41" s="101" t="s">
        <v>18</v>
      </c>
      <c r="Z41" s="101" t="s">
        <v>18</v>
      </c>
      <c r="AA41" s="101" t="s">
        <v>18</v>
      </c>
      <c r="AC41" s="101">
        <v>51</v>
      </c>
      <c r="AD41" s="101" t="s">
        <v>383</v>
      </c>
      <c r="AE41" s="20">
        <v>44293.506956018522</v>
      </c>
      <c r="AF41" s="101" t="s">
        <v>25</v>
      </c>
      <c r="AG41" s="101" t="s">
        <v>17</v>
      </c>
      <c r="AH41" s="101">
        <v>0</v>
      </c>
      <c r="AI41" s="101">
        <v>12.252000000000001</v>
      </c>
      <c r="AJ41" s="12">
        <v>1894</v>
      </c>
      <c r="AK41" s="101">
        <v>0.34599999999999997</v>
      </c>
      <c r="AL41" s="101" t="s">
        <v>18</v>
      </c>
      <c r="AM41" s="101" t="s">
        <v>18</v>
      </c>
      <c r="AN41" s="101" t="s">
        <v>18</v>
      </c>
      <c r="AO41" s="101" t="s">
        <v>18</v>
      </c>
      <c r="AQ41" s="101">
        <v>1</v>
      </c>
      <c r="AS41" s="7">
        <v>15</v>
      </c>
      <c r="AT41" s="23">
        <f t="shared" si="0"/>
        <v>1.7855692928</v>
      </c>
      <c r="AU41" s="103">
        <f t="shared" si="1"/>
        <v>358.21647154264002</v>
      </c>
      <c r="AW41" s="60">
        <f t="shared" si="2"/>
        <v>1.974123839999999</v>
      </c>
      <c r="AX41" s="61">
        <f t="shared" si="3"/>
        <v>385.75242919627999</v>
      </c>
      <c r="AZ41" s="23">
        <f t="shared" si="4"/>
        <v>1.7855692928</v>
      </c>
      <c r="BA41" s="103">
        <f t="shared" si="5"/>
        <v>358.21647154264002</v>
      </c>
      <c r="BC41" s="104">
        <f t="shared" si="6"/>
        <v>0.88992244480000005</v>
      </c>
      <c r="BD41" s="105">
        <f t="shared" si="7"/>
        <v>287.69825373728003</v>
      </c>
    </row>
    <row r="42" spans="1:56" s="101" customFormat="1" ht="14.4" x14ac:dyDescent="0.3">
      <c r="A42" s="101">
        <v>52</v>
      </c>
      <c r="B42" s="101" t="s">
        <v>384</v>
      </c>
      <c r="C42" s="20">
        <v>44293.528240740743</v>
      </c>
      <c r="D42" s="101" t="s">
        <v>26</v>
      </c>
      <c r="E42" s="101" t="s">
        <v>17</v>
      </c>
      <c r="F42" s="101">
        <v>0</v>
      </c>
      <c r="G42" s="101">
        <v>6.1020000000000003</v>
      </c>
      <c r="H42" s="12">
        <v>2118</v>
      </c>
      <c r="I42" s="101">
        <v>-2E-3</v>
      </c>
      <c r="J42" s="101" t="s">
        <v>18</v>
      </c>
      <c r="K42" s="101" t="s">
        <v>18</v>
      </c>
      <c r="L42" s="101" t="s">
        <v>18</v>
      </c>
      <c r="M42" s="101" t="s">
        <v>18</v>
      </c>
      <c r="O42" s="101">
        <v>52</v>
      </c>
      <c r="P42" s="101" t="s">
        <v>384</v>
      </c>
      <c r="Q42" s="20">
        <v>44293.528240740743</v>
      </c>
      <c r="R42" s="101" t="s">
        <v>26</v>
      </c>
      <c r="S42" s="101" t="s">
        <v>17</v>
      </c>
      <c r="T42" s="101">
        <v>0</v>
      </c>
      <c r="U42" s="101" t="s">
        <v>18</v>
      </c>
      <c r="V42" s="101" t="s">
        <v>18</v>
      </c>
      <c r="W42" s="101" t="s">
        <v>18</v>
      </c>
      <c r="X42" s="101" t="s">
        <v>18</v>
      </c>
      <c r="Y42" s="101" t="s">
        <v>18</v>
      </c>
      <c r="Z42" s="101" t="s">
        <v>18</v>
      </c>
      <c r="AA42" s="101" t="s">
        <v>18</v>
      </c>
      <c r="AC42" s="101">
        <v>52</v>
      </c>
      <c r="AD42" s="101" t="s">
        <v>384</v>
      </c>
      <c r="AE42" s="20">
        <v>44293.528240740743</v>
      </c>
      <c r="AF42" s="101" t="s">
        <v>26</v>
      </c>
      <c r="AG42" s="101" t="s">
        <v>17</v>
      </c>
      <c r="AH42" s="101">
        <v>0</v>
      </c>
      <c r="AI42" s="101">
        <v>12.234999999999999</v>
      </c>
      <c r="AJ42" s="12">
        <v>2429</v>
      </c>
      <c r="AK42" s="101">
        <v>0.63</v>
      </c>
      <c r="AL42" s="101" t="s">
        <v>18</v>
      </c>
      <c r="AM42" s="101" t="s">
        <v>18</v>
      </c>
      <c r="AN42" s="101" t="s">
        <v>18</v>
      </c>
      <c r="AO42" s="101" t="s">
        <v>18</v>
      </c>
      <c r="AQ42" s="101">
        <v>1</v>
      </c>
      <c r="AS42" s="7">
        <v>16</v>
      </c>
      <c r="AT42" s="23">
        <f t="shared" si="0"/>
        <v>1.1221547041999997</v>
      </c>
      <c r="AU42" s="103">
        <f t="shared" si="1"/>
        <v>460.47086533333999</v>
      </c>
      <c r="AW42" s="60">
        <f t="shared" si="2"/>
        <v>1.4535158849999998</v>
      </c>
      <c r="AX42" s="61">
        <f t="shared" si="3"/>
        <v>484.79625442643004</v>
      </c>
      <c r="AZ42" s="23">
        <f t="shared" si="4"/>
        <v>1.1221547041999997</v>
      </c>
      <c r="BA42" s="103">
        <f t="shared" si="5"/>
        <v>460.47086533333999</v>
      </c>
      <c r="BC42" s="104">
        <f t="shared" si="6"/>
        <v>0.61512295720000032</v>
      </c>
      <c r="BD42" s="105">
        <f t="shared" si="7"/>
        <v>398.22373095367999</v>
      </c>
    </row>
    <row r="43" spans="1:56" s="101" customFormat="1" ht="14.4" x14ac:dyDescent="0.3">
      <c r="A43" s="101">
        <v>39</v>
      </c>
      <c r="B43" s="101" t="s">
        <v>385</v>
      </c>
      <c r="C43" s="20">
        <v>44305.429097222222</v>
      </c>
      <c r="D43" s="101" t="s">
        <v>25</v>
      </c>
      <c r="E43" s="101" t="s">
        <v>17</v>
      </c>
      <c r="F43" s="101">
        <v>0</v>
      </c>
      <c r="G43" s="101">
        <v>6.1139999999999999</v>
      </c>
      <c r="H43" s="12">
        <v>1841</v>
      </c>
      <c r="I43" s="101">
        <v>-1E-3</v>
      </c>
      <c r="J43" s="101" t="s">
        <v>18</v>
      </c>
      <c r="K43" s="101" t="s">
        <v>18</v>
      </c>
      <c r="L43" s="101" t="s">
        <v>18</v>
      </c>
      <c r="M43" s="101" t="s">
        <v>18</v>
      </c>
      <c r="O43" s="101">
        <v>39</v>
      </c>
      <c r="P43" s="101" t="s">
        <v>385</v>
      </c>
      <c r="Q43" s="20">
        <v>44305.429097222222</v>
      </c>
      <c r="R43" s="101" t="s">
        <v>25</v>
      </c>
      <c r="S43" s="101" t="s">
        <v>17</v>
      </c>
      <c r="T43" s="101">
        <v>0</v>
      </c>
      <c r="U43" s="101" t="s">
        <v>18</v>
      </c>
      <c r="V43" s="101" t="s">
        <v>18</v>
      </c>
      <c r="W43" s="101" t="s">
        <v>18</v>
      </c>
      <c r="X43" s="101" t="s">
        <v>18</v>
      </c>
      <c r="Y43" s="101" t="s">
        <v>18</v>
      </c>
      <c r="Z43" s="101" t="s">
        <v>18</v>
      </c>
      <c r="AA43" s="101" t="s">
        <v>18</v>
      </c>
      <c r="AC43" s="101">
        <v>39</v>
      </c>
      <c r="AD43" s="101" t="s">
        <v>385</v>
      </c>
      <c r="AE43" s="20">
        <v>44305.429097222222</v>
      </c>
      <c r="AF43" s="101" t="s">
        <v>25</v>
      </c>
      <c r="AG43" s="101" t="s">
        <v>17</v>
      </c>
      <c r="AH43" s="101">
        <v>0</v>
      </c>
      <c r="AI43" s="101">
        <v>12.286</v>
      </c>
      <c r="AJ43" s="12">
        <v>2060</v>
      </c>
      <c r="AK43" s="101">
        <v>0.42099999999999999</v>
      </c>
      <c r="AL43" s="101" t="s">
        <v>18</v>
      </c>
      <c r="AM43" s="101" t="s">
        <v>18</v>
      </c>
      <c r="AN43" s="101" t="s">
        <v>18</v>
      </c>
      <c r="AO43" s="101" t="s">
        <v>18</v>
      </c>
      <c r="AQ43" s="101">
        <v>1</v>
      </c>
      <c r="AS43" s="7">
        <v>17</v>
      </c>
      <c r="AT43" s="23">
        <f t="shared" si="0"/>
        <v>0.12673416605000032</v>
      </c>
      <c r="AU43" s="103">
        <f t="shared" si="1"/>
        <v>389.944999064</v>
      </c>
      <c r="AW43" s="60">
        <f t="shared" si="2"/>
        <v>0.68092722124999927</v>
      </c>
      <c r="AX43" s="61">
        <f t="shared" si="3"/>
        <v>416.487629228</v>
      </c>
      <c r="AZ43" s="23">
        <f t="shared" si="4"/>
        <v>0.12673416605000032</v>
      </c>
      <c r="BA43" s="103">
        <f t="shared" si="5"/>
        <v>389.944999064</v>
      </c>
      <c r="BC43" s="104">
        <f t="shared" si="6"/>
        <v>0.22451342930000018</v>
      </c>
      <c r="BD43" s="105">
        <f t="shared" si="7"/>
        <v>321.99370332799998</v>
      </c>
    </row>
    <row r="44" spans="1:56" s="101" customFormat="1" ht="14.4" x14ac:dyDescent="0.3">
      <c r="A44" s="101">
        <v>39</v>
      </c>
      <c r="B44" s="101" t="s">
        <v>386</v>
      </c>
      <c r="C44" s="20">
        <v>44320.443414351852</v>
      </c>
      <c r="D44" s="101" t="s">
        <v>25</v>
      </c>
      <c r="E44" s="101" t="s">
        <v>17</v>
      </c>
      <c r="F44" s="101">
        <v>0</v>
      </c>
      <c r="G44" s="101">
        <v>6.085</v>
      </c>
      <c r="H44" s="12">
        <v>2352</v>
      </c>
      <c r="I44" s="101">
        <v>0</v>
      </c>
      <c r="J44" s="101" t="s">
        <v>18</v>
      </c>
      <c r="K44" s="101" t="s">
        <v>18</v>
      </c>
      <c r="L44" s="101" t="s">
        <v>18</v>
      </c>
      <c r="M44" s="101" t="s">
        <v>18</v>
      </c>
      <c r="O44" s="101">
        <v>39</v>
      </c>
      <c r="P44" s="101" t="s">
        <v>386</v>
      </c>
      <c r="Q44" s="20">
        <v>44320.443414351852</v>
      </c>
      <c r="R44" s="101" t="s">
        <v>25</v>
      </c>
      <c r="S44" s="101" t="s">
        <v>17</v>
      </c>
      <c r="T44" s="101">
        <v>0</v>
      </c>
      <c r="U44" s="101" t="s">
        <v>18</v>
      </c>
      <c r="V44" s="101" t="s">
        <v>18</v>
      </c>
      <c r="W44" s="101" t="s">
        <v>18</v>
      </c>
      <c r="X44" s="101" t="s">
        <v>18</v>
      </c>
      <c r="Y44" s="101" t="s">
        <v>18</v>
      </c>
      <c r="Z44" s="101" t="s">
        <v>18</v>
      </c>
      <c r="AA44" s="101" t="s">
        <v>18</v>
      </c>
      <c r="AC44" s="101">
        <v>39</v>
      </c>
      <c r="AD44" s="101" t="s">
        <v>386</v>
      </c>
      <c r="AE44" s="20">
        <v>44320.443414351852</v>
      </c>
      <c r="AF44" s="101" t="s">
        <v>25</v>
      </c>
      <c r="AG44" s="101" t="s">
        <v>17</v>
      </c>
      <c r="AH44" s="101">
        <v>0</v>
      </c>
      <c r="AI44" s="101">
        <v>12.234</v>
      </c>
      <c r="AJ44" s="12">
        <v>2855</v>
      </c>
      <c r="AK44" s="101">
        <v>0.57899999999999996</v>
      </c>
      <c r="AL44" s="101" t="s">
        <v>18</v>
      </c>
      <c r="AM44" s="101" t="s">
        <v>18</v>
      </c>
      <c r="AN44" s="101" t="s">
        <v>18</v>
      </c>
      <c r="AO44" s="101" t="s">
        <v>18</v>
      </c>
      <c r="AQ44" s="101">
        <v>1</v>
      </c>
      <c r="AS44" s="7">
        <v>18</v>
      </c>
      <c r="AT44" s="23">
        <f t="shared" si="0"/>
        <v>1.9561221631999999</v>
      </c>
      <c r="AU44" s="103">
        <f t="shared" si="1"/>
        <v>541.88546433350007</v>
      </c>
      <c r="AW44" s="60">
        <f t="shared" si="2"/>
        <v>2.1087129600000001</v>
      </c>
      <c r="AX44" s="61">
        <f t="shared" si="3"/>
        <v>563.63536016075</v>
      </c>
      <c r="AZ44" s="23">
        <f t="shared" si="4"/>
        <v>1.9561221631999999</v>
      </c>
      <c r="BA44" s="103">
        <f t="shared" si="5"/>
        <v>541.88546433350007</v>
      </c>
      <c r="BC44" s="104">
        <f t="shared" si="6"/>
        <v>0.96247045119999997</v>
      </c>
      <c r="BD44" s="105">
        <f t="shared" si="7"/>
        <v>486.22048584200007</v>
      </c>
    </row>
    <row r="45" spans="1:56" s="101" customFormat="1" ht="14.4" x14ac:dyDescent="0.3">
      <c r="A45" s="101">
        <v>39</v>
      </c>
      <c r="B45" s="101" t="s">
        <v>387</v>
      </c>
      <c r="C45" s="20">
        <v>44323.459027777775</v>
      </c>
      <c r="D45" s="101" t="s">
        <v>25</v>
      </c>
      <c r="E45" s="101" t="s">
        <v>17</v>
      </c>
      <c r="F45" s="101">
        <v>0</v>
      </c>
      <c r="G45" s="101">
        <v>6.1180000000000003</v>
      </c>
      <c r="H45" s="12">
        <v>2545</v>
      </c>
      <c r="I45" s="101">
        <v>1E-3</v>
      </c>
      <c r="J45" s="101" t="s">
        <v>18</v>
      </c>
      <c r="K45" s="101" t="s">
        <v>18</v>
      </c>
      <c r="L45" s="101" t="s">
        <v>18</v>
      </c>
      <c r="M45" s="101" t="s">
        <v>18</v>
      </c>
      <c r="O45" s="101">
        <v>39</v>
      </c>
      <c r="P45" s="101" t="s">
        <v>387</v>
      </c>
      <c r="Q45" s="20">
        <v>44323.459027777775</v>
      </c>
      <c r="R45" s="101" t="s">
        <v>25</v>
      </c>
      <c r="S45" s="101" t="s">
        <v>17</v>
      </c>
      <c r="T45" s="101">
        <v>0</v>
      </c>
      <c r="U45" s="101" t="s">
        <v>18</v>
      </c>
      <c r="V45" s="101" t="s">
        <v>18</v>
      </c>
      <c r="W45" s="101" t="s">
        <v>18</v>
      </c>
      <c r="X45" s="101" t="s">
        <v>18</v>
      </c>
      <c r="Y45" s="101" t="s">
        <v>18</v>
      </c>
      <c r="Z45" s="101" t="s">
        <v>18</v>
      </c>
      <c r="AA45" s="101" t="s">
        <v>18</v>
      </c>
      <c r="AC45" s="101">
        <v>39</v>
      </c>
      <c r="AD45" s="101" t="s">
        <v>387</v>
      </c>
      <c r="AE45" s="20">
        <v>44323.459027777775</v>
      </c>
      <c r="AF45" s="101" t="s">
        <v>25</v>
      </c>
      <c r="AG45" s="101" t="s">
        <v>17</v>
      </c>
      <c r="AH45" s="101">
        <v>0</v>
      </c>
      <c r="AI45" s="101">
        <v>12.271000000000001</v>
      </c>
      <c r="AJ45" s="12">
        <v>3193</v>
      </c>
      <c r="AK45" s="101">
        <v>0.64700000000000002</v>
      </c>
      <c r="AL45" s="101" t="s">
        <v>18</v>
      </c>
      <c r="AM45" s="101" t="s">
        <v>18</v>
      </c>
      <c r="AN45" s="101" t="s">
        <v>18</v>
      </c>
      <c r="AO45" s="101" t="s">
        <v>18</v>
      </c>
      <c r="AQ45" s="101">
        <v>1</v>
      </c>
      <c r="AS45" s="7">
        <v>19</v>
      </c>
      <c r="AT45" s="23">
        <f t="shared" si="0"/>
        <v>2.6391914012500006</v>
      </c>
      <c r="AU45" s="103">
        <f t="shared" si="1"/>
        <v>606.47782525126013</v>
      </c>
      <c r="AW45" s="60">
        <f t="shared" si="2"/>
        <v>2.6508617812499997</v>
      </c>
      <c r="AX45" s="61">
        <f t="shared" si="3"/>
        <v>626.17224422027004</v>
      </c>
      <c r="AZ45" s="23">
        <f t="shared" si="4"/>
        <v>2.6391914012500006</v>
      </c>
      <c r="BA45" s="103">
        <f t="shared" si="5"/>
        <v>606.47782525126013</v>
      </c>
      <c r="BC45" s="104">
        <f t="shared" si="6"/>
        <v>1.2609322324999999</v>
      </c>
      <c r="BD45" s="105">
        <f t="shared" si="7"/>
        <v>556.03291724552003</v>
      </c>
    </row>
    <row r="46" spans="1:56" s="101" customFormat="1" ht="14.4" x14ac:dyDescent="0.3">
      <c r="A46" s="101">
        <v>39</v>
      </c>
      <c r="B46" s="101" t="s">
        <v>388</v>
      </c>
      <c r="C46" s="20">
        <v>44334.443414351852</v>
      </c>
      <c r="D46" s="101" t="s">
        <v>25</v>
      </c>
      <c r="E46" s="101" t="s">
        <v>17</v>
      </c>
      <c r="F46" s="101">
        <v>0</v>
      </c>
      <c r="G46" s="101">
        <v>6.0629999999999997</v>
      </c>
      <c r="H46" s="12">
        <v>2303</v>
      </c>
      <c r="I46" s="101">
        <v>0</v>
      </c>
      <c r="J46" s="101" t="s">
        <v>18</v>
      </c>
      <c r="K46" s="101" t="s">
        <v>18</v>
      </c>
      <c r="L46" s="101" t="s">
        <v>18</v>
      </c>
      <c r="M46" s="101" t="s">
        <v>18</v>
      </c>
      <c r="O46" s="101">
        <v>39</v>
      </c>
      <c r="P46" s="101" t="s">
        <v>388</v>
      </c>
      <c r="Q46" s="20">
        <v>44334.443414351852</v>
      </c>
      <c r="R46" s="101" t="s">
        <v>25</v>
      </c>
      <c r="S46" s="101" t="s">
        <v>17</v>
      </c>
      <c r="T46" s="101">
        <v>0</v>
      </c>
      <c r="U46" s="101" t="s">
        <v>18</v>
      </c>
      <c r="V46" s="12" t="s">
        <v>18</v>
      </c>
      <c r="W46" s="101" t="s">
        <v>18</v>
      </c>
      <c r="X46" s="101" t="s">
        <v>18</v>
      </c>
      <c r="Y46" s="101" t="s">
        <v>18</v>
      </c>
      <c r="Z46" s="101" t="s">
        <v>18</v>
      </c>
      <c r="AA46" s="101" t="s">
        <v>18</v>
      </c>
      <c r="AC46" s="101">
        <v>39</v>
      </c>
      <c r="AD46" s="101" t="s">
        <v>388</v>
      </c>
      <c r="AE46" s="20">
        <v>44334.443414351852</v>
      </c>
      <c r="AF46" s="101" t="s">
        <v>25</v>
      </c>
      <c r="AG46" s="101" t="s">
        <v>17</v>
      </c>
      <c r="AH46" s="101">
        <v>0</v>
      </c>
      <c r="AI46" s="101">
        <v>12.214</v>
      </c>
      <c r="AJ46" s="12">
        <v>1939</v>
      </c>
      <c r="AK46" s="101">
        <v>0.39700000000000002</v>
      </c>
      <c r="AL46" s="101" t="s">
        <v>18</v>
      </c>
      <c r="AM46" s="101" t="s">
        <v>18</v>
      </c>
      <c r="AN46" s="101" t="s">
        <v>18</v>
      </c>
      <c r="AO46" s="101" t="s">
        <v>18</v>
      </c>
      <c r="AQ46" s="101">
        <v>1</v>
      </c>
      <c r="AS46" s="7">
        <v>20</v>
      </c>
      <c r="AT46" s="23">
        <f t="shared" si="0"/>
        <v>1.7820132684499992</v>
      </c>
      <c r="AU46" s="103">
        <f t="shared" si="1"/>
        <v>366.81766693654004</v>
      </c>
      <c r="AW46" s="60">
        <f t="shared" si="2"/>
        <v>1.9713209412499992</v>
      </c>
      <c r="AX46" s="61">
        <f t="shared" si="3"/>
        <v>394.08460231282999</v>
      </c>
      <c r="AZ46" s="23">
        <f t="shared" si="4"/>
        <v>1.7820132684499992</v>
      </c>
      <c r="BA46" s="103">
        <f t="shared" si="5"/>
        <v>366.81766693654004</v>
      </c>
      <c r="BC46" s="104">
        <f t="shared" si="6"/>
        <v>0.88841814770000016</v>
      </c>
      <c r="BD46" s="105">
        <f t="shared" si="7"/>
        <v>296.99535192008</v>
      </c>
    </row>
    <row r="47" spans="1:56" s="101" customFormat="1" ht="14.4" x14ac:dyDescent="0.3">
      <c r="A47" s="101">
        <v>39</v>
      </c>
      <c r="B47" s="101" t="s">
        <v>389</v>
      </c>
      <c r="C47" s="20">
        <v>44335.403101851851</v>
      </c>
      <c r="D47" s="101" t="s">
        <v>25</v>
      </c>
      <c r="E47" s="101" t="s">
        <v>17</v>
      </c>
      <c r="F47" s="101">
        <v>0</v>
      </c>
      <c r="G47" s="101">
        <v>6.1</v>
      </c>
      <c r="H47" s="12">
        <v>2663</v>
      </c>
      <c r="I47" s="101">
        <v>1E-3</v>
      </c>
      <c r="J47" s="101" t="s">
        <v>18</v>
      </c>
      <c r="K47" s="101" t="s">
        <v>18</v>
      </c>
      <c r="L47" s="101" t="s">
        <v>18</v>
      </c>
      <c r="M47" s="101" t="s">
        <v>18</v>
      </c>
      <c r="O47" s="101">
        <v>39</v>
      </c>
      <c r="P47" s="101" t="s">
        <v>389</v>
      </c>
      <c r="Q47" s="20">
        <v>44335.403101851851</v>
      </c>
      <c r="R47" s="101" t="s">
        <v>25</v>
      </c>
      <c r="S47" s="101" t="s">
        <v>17</v>
      </c>
      <c r="T47" s="101">
        <v>0</v>
      </c>
      <c r="U47" s="101" t="s">
        <v>18</v>
      </c>
      <c r="V47" s="12" t="s">
        <v>18</v>
      </c>
      <c r="W47" s="101" t="s">
        <v>18</v>
      </c>
      <c r="X47" s="101" t="s">
        <v>18</v>
      </c>
      <c r="Y47" s="101" t="s">
        <v>18</v>
      </c>
      <c r="Z47" s="101" t="s">
        <v>18</v>
      </c>
      <c r="AA47" s="101" t="s">
        <v>18</v>
      </c>
      <c r="AC47" s="101">
        <v>39</v>
      </c>
      <c r="AD47" s="101" t="s">
        <v>389</v>
      </c>
      <c r="AE47" s="20">
        <v>44335.403101851851</v>
      </c>
      <c r="AF47" s="101" t="s">
        <v>25</v>
      </c>
      <c r="AG47" s="101" t="s">
        <v>17</v>
      </c>
      <c r="AH47" s="101">
        <v>0</v>
      </c>
      <c r="AI47" s="101">
        <v>12.199</v>
      </c>
      <c r="AJ47" s="12">
        <v>2113</v>
      </c>
      <c r="AK47" s="101">
        <v>0.43099999999999999</v>
      </c>
      <c r="AL47" s="101" t="s">
        <v>18</v>
      </c>
      <c r="AM47" s="101" t="s">
        <v>18</v>
      </c>
      <c r="AN47" s="101" t="s">
        <v>18</v>
      </c>
      <c r="AO47" s="101" t="s">
        <v>18</v>
      </c>
      <c r="AQ47" s="101">
        <v>1</v>
      </c>
      <c r="AS47" s="7">
        <v>21</v>
      </c>
      <c r="AT47" s="23">
        <f t="shared" si="0"/>
        <v>3.0546925764500017</v>
      </c>
      <c r="AU47" s="103">
        <f t="shared" si="1"/>
        <v>400.07500285606</v>
      </c>
      <c r="AW47" s="60">
        <f t="shared" si="2"/>
        <v>2.9831108412499994</v>
      </c>
      <c r="AX47" s="61">
        <f t="shared" si="3"/>
        <v>426.29994644986999</v>
      </c>
      <c r="AZ47" s="23">
        <f t="shared" si="4"/>
        <v>3.0546925764500017</v>
      </c>
      <c r="BA47" s="103">
        <f t="shared" si="5"/>
        <v>400.07500285606</v>
      </c>
      <c r="BC47" s="104">
        <f t="shared" si="6"/>
        <v>1.4487436757000001</v>
      </c>
      <c r="BD47" s="105">
        <f t="shared" si="7"/>
        <v>332.94315909512</v>
      </c>
    </row>
    <row r="48" spans="1:56" s="101" customFormat="1" ht="14.4" x14ac:dyDescent="0.3">
      <c r="A48" s="101">
        <v>39</v>
      </c>
      <c r="B48" s="101" t="s">
        <v>390</v>
      </c>
      <c r="C48" s="20">
        <v>44336.708981481483</v>
      </c>
      <c r="D48" s="101" t="s">
        <v>25</v>
      </c>
      <c r="E48" s="101" t="s">
        <v>17</v>
      </c>
      <c r="F48" s="101">
        <v>0</v>
      </c>
      <c r="G48" s="101">
        <v>6.11</v>
      </c>
      <c r="H48" s="12">
        <v>2187</v>
      </c>
      <c r="I48" s="101">
        <v>0</v>
      </c>
      <c r="J48" s="101" t="s">
        <v>18</v>
      </c>
      <c r="K48" s="101" t="s">
        <v>18</v>
      </c>
      <c r="L48" s="101" t="s">
        <v>18</v>
      </c>
      <c r="M48" s="101" t="s">
        <v>18</v>
      </c>
      <c r="O48" s="101">
        <v>39</v>
      </c>
      <c r="P48" s="101" t="s">
        <v>390</v>
      </c>
      <c r="Q48" s="20">
        <v>44336.708981481483</v>
      </c>
      <c r="R48" s="101" t="s">
        <v>25</v>
      </c>
      <c r="S48" s="101" t="s">
        <v>17</v>
      </c>
      <c r="T48" s="101">
        <v>0</v>
      </c>
      <c r="U48" s="101" t="s">
        <v>18</v>
      </c>
      <c r="V48" s="101" t="s">
        <v>18</v>
      </c>
      <c r="W48" s="101" t="s">
        <v>18</v>
      </c>
      <c r="X48" s="101" t="s">
        <v>18</v>
      </c>
      <c r="Y48" s="101" t="s">
        <v>18</v>
      </c>
      <c r="Z48" s="101" t="s">
        <v>18</v>
      </c>
      <c r="AA48" s="101" t="s">
        <v>18</v>
      </c>
      <c r="AC48" s="101">
        <v>39</v>
      </c>
      <c r="AD48" s="101" t="s">
        <v>390</v>
      </c>
      <c r="AE48" s="20">
        <v>44336.708981481483</v>
      </c>
      <c r="AF48" s="101" t="s">
        <v>25</v>
      </c>
      <c r="AG48" s="101" t="s">
        <v>17</v>
      </c>
      <c r="AH48" s="101">
        <v>0</v>
      </c>
      <c r="AI48" s="101">
        <v>12.225</v>
      </c>
      <c r="AJ48" s="12">
        <v>1796</v>
      </c>
      <c r="AK48" s="101">
        <v>0.36799999999999999</v>
      </c>
      <c r="AL48" s="101" t="s">
        <v>18</v>
      </c>
      <c r="AM48" s="101" t="s">
        <v>18</v>
      </c>
      <c r="AN48" s="101" t="s">
        <v>18</v>
      </c>
      <c r="AO48" s="101" t="s">
        <v>18</v>
      </c>
      <c r="AQ48" s="101">
        <v>1</v>
      </c>
      <c r="AS48" s="7">
        <v>22</v>
      </c>
      <c r="AT48" s="23">
        <f t="shared" si="0"/>
        <v>1.3687279464500008</v>
      </c>
      <c r="AU48" s="103">
        <f t="shared" si="1"/>
        <v>339.48475148384</v>
      </c>
      <c r="AW48" s="60">
        <f t="shared" si="2"/>
        <v>1.646473091249999</v>
      </c>
      <c r="AX48" s="61">
        <f t="shared" si="3"/>
        <v>367.60592808368</v>
      </c>
      <c r="AZ48" s="23">
        <f t="shared" si="4"/>
        <v>1.3687279464500008</v>
      </c>
      <c r="BA48" s="103">
        <f t="shared" si="5"/>
        <v>339.48475148384</v>
      </c>
      <c r="BC48" s="104">
        <f t="shared" si="6"/>
        <v>0.71589169570000011</v>
      </c>
      <c r="BD48" s="105">
        <f t="shared" si="7"/>
        <v>267.45088227968</v>
      </c>
    </row>
    <row r="49" spans="1:56" s="101" customFormat="1" ht="14.4" x14ac:dyDescent="0.3">
      <c r="A49" s="101">
        <v>39</v>
      </c>
      <c r="B49" s="101" t="s">
        <v>391</v>
      </c>
      <c r="C49" s="20">
        <v>44340.400763888887</v>
      </c>
      <c r="D49" s="101" t="s">
        <v>25</v>
      </c>
      <c r="E49" s="101" t="s">
        <v>17</v>
      </c>
      <c r="F49" s="101">
        <v>0</v>
      </c>
      <c r="G49" s="101">
        <v>6.1159999999999997</v>
      </c>
      <c r="H49" s="12">
        <v>2045</v>
      </c>
      <c r="I49" s="101">
        <v>-1E-3</v>
      </c>
      <c r="J49" s="101" t="s">
        <v>18</v>
      </c>
      <c r="K49" s="101" t="s">
        <v>18</v>
      </c>
      <c r="L49" s="101" t="s">
        <v>18</v>
      </c>
      <c r="M49" s="101" t="s">
        <v>18</v>
      </c>
      <c r="O49" s="101">
        <v>39</v>
      </c>
      <c r="P49" s="101" t="s">
        <v>391</v>
      </c>
      <c r="Q49" s="20">
        <v>44340.400763888887</v>
      </c>
      <c r="R49" s="101" t="s">
        <v>25</v>
      </c>
      <c r="S49" s="101" t="s">
        <v>17</v>
      </c>
      <c r="T49" s="101">
        <v>0</v>
      </c>
      <c r="U49" s="101" t="s">
        <v>18</v>
      </c>
      <c r="V49" s="12" t="s">
        <v>18</v>
      </c>
      <c r="W49" s="101" t="s">
        <v>18</v>
      </c>
      <c r="X49" s="101" t="s">
        <v>18</v>
      </c>
      <c r="Y49" s="101" t="s">
        <v>18</v>
      </c>
      <c r="Z49" s="101" t="s">
        <v>18</v>
      </c>
      <c r="AA49" s="101" t="s">
        <v>18</v>
      </c>
      <c r="AC49" s="101">
        <v>39</v>
      </c>
      <c r="AD49" s="101" t="s">
        <v>391</v>
      </c>
      <c r="AE49" s="20">
        <v>44340.400763888887</v>
      </c>
      <c r="AF49" s="101" t="s">
        <v>25</v>
      </c>
      <c r="AG49" s="101" t="s">
        <v>17</v>
      </c>
      <c r="AH49" s="101">
        <v>0</v>
      </c>
      <c r="AI49" s="101">
        <v>12.239000000000001</v>
      </c>
      <c r="AJ49" s="12">
        <v>2300</v>
      </c>
      <c r="AK49" s="101">
        <v>0.46899999999999997</v>
      </c>
      <c r="AL49" s="101" t="s">
        <v>18</v>
      </c>
      <c r="AM49" s="101" t="s">
        <v>18</v>
      </c>
      <c r="AN49" s="101" t="s">
        <v>18</v>
      </c>
      <c r="AO49" s="101" t="s">
        <v>18</v>
      </c>
      <c r="AQ49" s="101">
        <v>1</v>
      </c>
      <c r="AS49" s="7">
        <v>23</v>
      </c>
      <c r="AT49" s="23">
        <f t="shared" si="0"/>
        <v>0.86068665124999999</v>
      </c>
      <c r="AU49" s="103">
        <f t="shared" si="1"/>
        <v>435.81598460000004</v>
      </c>
      <c r="AW49" s="60">
        <f t="shared" si="2"/>
        <v>1.249593031249999</v>
      </c>
      <c r="AX49" s="61">
        <f t="shared" si="3"/>
        <v>460.91794670000002</v>
      </c>
      <c r="AZ49" s="23">
        <f t="shared" si="4"/>
        <v>0.86068665124999999</v>
      </c>
      <c r="BA49" s="103">
        <f t="shared" si="5"/>
        <v>435.81598460000004</v>
      </c>
      <c r="BC49" s="104">
        <f t="shared" si="6"/>
        <v>0.51001873250000007</v>
      </c>
      <c r="BD49" s="105">
        <f t="shared" si="7"/>
        <v>371.57499919999998</v>
      </c>
    </row>
    <row r="50" spans="1:56" s="101" customFormat="1" ht="14.4" x14ac:dyDescent="0.3">
      <c r="A50" s="101">
        <v>39</v>
      </c>
      <c r="B50" s="101" t="s">
        <v>392</v>
      </c>
      <c r="C50" s="20">
        <v>44341.434062499997</v>
      </c>
      <c r="D50" s="101" t="s">
        <v>25</v>
      </c>
      <c r="E50" s="101" t="s">
        <v>17</v>
      </c>
      <c r="F50" s="101">
        <v>0</v>
      </c>
      <c r="G50" s="101">
        <v>6.1079999999999997</v>
      </c>
      <c r="H50" s="12">
        <v>2317</v>
      </c>
      <c r="I50" s="101">
        <v>0</v>
      </c>
      <c r="J50" s="101" t="s">
        <v>18</v>
      </c>
      <c r="K50" s="101" t="s">
        <v>18</v>
      </c>
      <c r="L50" s="101" t="s">
        <v>18</v>
      </c>
      <c r="M50" s="101" t="s">
        <v>18</v>
      </c>
      <c r="O50" s="101">
        <v>39</v>
      </c>
      <c r="P50" s="101" t="s">
        <v>392</v>
      </c>
      <c r="Q50" s="20">
        <v>44341.434062499997</v>
      </c>
      <c r="R50" s="101" t="s">
        <v>25</v>
      </c>
      <c r="S50" s="101" t="s">
        <v>17</v>
      </c>
      <c r="T50" s="101">
        <v>0</v>
      </c>
      <c r="U50" s="101" t="s">
        <v>18</v>
      </c>
      <c r="V50" s="12" t="s">
        <v>18</v>
      </c>
      <c r="W50" s="101" t="s">
        <v>18</v>
      </c>
      <c r="X50" s="101" t="s">
        <v>18</v>
      </c>
      <c r="Y50" s="101" t="s">
        <v>18</v>
      </c>
      <c r="Z50" s="101" t="s">
        <v>18</v>
      </c>
      <c r="AA50" s="101" t="s">
        <v>18</v>
      </c>
      <c r="AC50" s="101">
        <v>39</v>
      </c>
      <c r="AD50" s="101" t="s">
        <v>392</v>
      </c>
      <c r="AE50" s="20">
        <v>44341.434062499997</v>
      </c>
      <c r="AF50" s="101" t="s">
        <v>25</v>
      </c>
      <c r="AG50" s="101" t="s">
        <v>17</v>
      </c>
      <c r="AH50" s="101">
        <v>0</v>
      </c>
      <c r="AI50" s="101">
        <v>12.234</v>
      </c>
      <c r="AJ50" s="12">
        <v>2361</v>
      </c>
      <c r="AK50" s="101">
        <v>0.48099999999999998</v>
      </c>
      <c r="AL50" s="101" t="s">
        <v>18</v>
      </c>
      <c r="AM50" s="101" t="s">
        <v>18</v>
      </c>
      <c r="AN50" s="101" t="s">
        <v>18</v>
      </c>
      <c r="AO50" s="101" t="s">
        <v>18</v>
      </c>
      <c r="AQ50" s="101">
        <v>1</v>
      </c>
      <c r="AS50" s="7">
        <v>24</v>
      </c>
      <c r="AT50" s="23">
        <f t="shared" si="0"/>
        <v>1.831787062450001</v>
      </c>
      <c r="AU50" s="103">
        <f t="shared" si="1"/>
        <v>447.47456154053998</v>
      </c>
      <c r="AW50" s="60">
        <f t="shared" si="2"/>
        <v>2.0105653912499992</v>
      </c>
      <c r="AX50" s="61">
        <f t="shared" si="3"/>
        <v>472.20949987082997</v>
      </c>
      <c r="AZ50" s="23">
        <f t="shared" si="4"/>
        <v>1.831787062450001</v>
      </c>
      <c r="BA50" s="103">
        <f t="shared" si="5"/>
        <v>447.47456154053998</v>
      </c>
      <c r="BC50" s="104">
        <f t="shared" si="6"/>
        <v>0.90950475169999989</v>
      </c>
      <c r="BD50" s="105">
        <f t="shared" si="7"/>
        <v>384.17644332807998</v>
      </c>
    </row>
    <row r="51" spans="1:56" s="101" customFormat="1" ht="14.4" x14ac:dyDescent="0.3">
      <c r="A51" s="101">
        <v>39</v>
      </c>
      <c r="B51" s="101" t="s">
        <v>393</v>
      </c>
      <c r="C51" s="20">
        <v>44342.415543981479</v>
      </c>
      <c r="D51" s="101" t="s">
        <v>25</v>
      </c>
      <c r="E51" s="101" t="s">
        <v>17</v>
      </c>
      <c r="F51" s="101">
        <v>0</v>
      </c>
      <c r="G51" s="101">
        <v>6.1070000000000002</v>
      </c>
      <c r="H51" s="12">
        <v>2401</v>
      </c>
      <c r="I51" s="101">
        <v>0</v>
      </c>
      <c r="J51" s="101" t="s">
        <v>18</v>
      </c>
      <c r="K51" s="101" t="s">
        <v>18</v>
      </c>
      <c r="L51" s="101" t="s">
        <v>18</v>
      </c>
      <c r="M51" s="101" t="s">
        <v>18</v>
      </c>
      <c r="O51" s="101">
        <v>39</v>
      </c>
      <c r="P51" s="101" t="s">
        <v>393</v>
      </c>
      <c r="Q51" s="20">
        <v>44342.415543981479</v>
      </c>
      <c r="R51" s="101" t="s">
        <v>25</v>
      </c>
      <c r="S51" s="101" t="s">
        <v>17</v>
      </c>
      <c r="T51" s="101">
        <v>0</v>
      </c>
      <c r="U51" s="101" t="s">
        <v>18</v>
      </c>
      <c r="V51" s="12" t="s">
        <v>18</v>
      </c>
      <c r="W51" s="101" t="s">
        <v>18</v>
      </c>
      <c r="X51" s="101" t="s">
        <v>18</v>
      </c>
      <c r="Y51" s="101" t="s">
        <v>18</v>
      </c>
      <c r="Z51" s="101" t="s">
        <v>18</v>
      </c>
      <c r="AA51" s="101" t="s">
        <v>18</v>
      </c>
      <c r="AC51" s="101">
        <v>39</v>
      </c>
      <c r="AD51" s="101" t="s">
        <v>393</v>
      </c>
      <c r="AE51" s="20">
        <v>44342.415543981479</v>
      </c>
      <c r="AF51" s="101" t="s">
        <v>25</v>
      </c>
      <c r="AG51" s="101" t="s">
        <v>17</v>
      </c>
      <c r="AH51" s="101">
        <v>0</v>
      </c>
      <c r="AI51" s="101">
        <v>12.215999999999999</v>
      </c>
      <c r="AJ51" s="12">
        <v>2108</v>
      </c>
      <c r="AK51" s="101">
        <v>0.43</v>
      </c>
      <c r="AL51" s="101" t="s">
        <v>18</v>
      </c>
      <c r="AM51" s="101" t="s">
        <v>18</v>
      </c>
      <c r="AN51" s="101" t="s">
        <v>18</v>
      </c>
      <c r="AO51" s="101" t="s">
        <v>18</v>
      </c>
      <c r="AQ51" s="101">
        <v>1</v>
      </c>
      <c r="AS51" s="7">
        <v>25</v>
      </c>
      <c r="AT51" s="23">
        <f t="shared" si="0"/>
        <v>2.129952782050001</v>
      </c>
      <c r="AU51" s="103">
        <f t="shared" si="1"/>
        <v>399.11934602335998</v>
      </c>
      <c r="AW51" s="60">
        <f t="shared" si="2"/>
        <v>2.2462070212499992</v>
      </c>
      <c r="AX51" s="61">
        <f t="shared" si="3"/>
        <v>425.37427121072005</v>
      </c>
      <c r="AZ51" s="23">
        <f t="shared" si="4"/>
        <v>2.129952782050001</v>
      </c>
      <c r="BA51" s="103">
        <f t="shared" si="5"/>
        <v>399.11934602335998</v>
      </c>
      <c r="BC51" s="104">
        <f t="shared" si="6"/>
        <v>1.0372204853</v>
      </c>
      <c r="BD51" s="105">
        <f t="shared" si="7"/>
        <v>331.91019769472001</v>
      </c>
    </row>
    <row r="52" spans="1:56" s="101" customFormat="1" ht="14.4" x14ac:dyDescent="0.3">
      <c r="A52" s="101">
        <v>39</v>
      </c>
      <c r="B52" s="101" t="s">
        <v>394</v>
      </c>
      <c r="C52" s="20">
        <v>44348.458194444444</v>
      </c>
      <c r="D52" s="101" t="s">
        <v>25</v>
      </c>
      <c r="E52" s="101" t="s">
        <v>17</v>
      </c>
      <c r="F52" s="101">
        <v>0</v>
      </c>
      <c r="G52" s="101">
        <v>6.0659999999999998</v>
      </c>
      <c r="H52" s="12">
        <v>2321</v>
      </c>
      <c r="I52" s="101">
        <v>0</v>
      </c>
      <c r="J52" s="101" t="s">
        <v>18</v>
      </c>
      <c r="K52" s="101" t="s">
        <v>18</v>
      </c>
      <c r="L52" s="101" t="s">
        <v>18</v>
      </c>
      <c r="M52" s="101" t="s">
        <v>18</v>
      </c>
      <c r="O52" s="101">
        <v>39</v>
      </c>
      <c r="P52" s="101" t="s">
        <v>394</v>
      </c>
      <c r="Q52" s="20">
        <v>44348.458194444444</v>
      </c>
      <c r="R52" s="101" t="s">
        <v>25</v>
      </c>
      <c r="S52" s="101" t="s">
        <v>17</v>
      </c>
      <c r="T52" s="101">
        <v>0</v>
      </c>
      <c r="U52" s="101" t="s">
        <v>18</v>
      </c>
      <c r="V52" s="101" t="s">
        <v>18</v>
      </c>
      <c r="W52" s="101" t="s">
        <v>18</v>
      </c>
      <c r="X52" s="101" t="s">
        <v>18</v>
      </c>
      <c r="Y52" s="101" t="s">
        <v>18</v>
      </c>
      <c r="Z52" s="101" t="s">
        <v>18</v>
      </c>
      <c r="AA52" s="101" t="s">
        <v>18</v>
      </c>
      <c r="AC52" s="101">
        <v>39</v>
      </c>
      <c r="AD52" s="101" t="s">
        <v>394</v>
      </c>
      <c r="AE52" s="20">
        <v>44348.458194444444</v>
      </c>
      <c r="AF52" s="101" t="s">
        <v>25</v>
      </c>
      <c r="AG52" s="101" t="s">
        <v>17</v>
      </c>
      <c r="AH52" s="101">
        <v>0</v>
      </c>
      <c r="AI52" s="101">
        <v>12.206</v>
      </c>
      <c r="AJ52" s="12">
        <v>1557</v>
      </c>
      <c r="AK52" s="101">
        <v>0.32</v>
      </c>
      <c r="AL52" s="101" t="s">
        <v>18</v>
      </c>
      <c r="AM52" s="101" t="s">
        <v>18</v>
      </c>
      <c r="AN52" s="101" t="s">
        <v>18</v>
      </c>
      <c r="AO52" s="101" t="s">
        <v>18</v>
      </c>
      <c r="AQ52" s="101">
        <v>1</v>
      </c>
      <c r="AS52" s="7">
        <v>26</v>
      </c>
      <c r="AT52" s="23">
        <f t="shared" si="0"/>
        <v>1.8460039740499994</v>
      </c>
      <c r="AU52" s="103">
        <f t="shared" si="1"/>
        <v>293.80098171125996</v>
      </c>
      <c r="AW52" s="60">
        <f t="shared" si="2"/>
        <v>2.0217796212499994</v>
      </c>
      <c r="AX52" s="61">
        <f t="shared" si="3"/>
        <v>323.34562989027</v>
      </c>
      <c r="AZ52" s="23">
        <f t="shared" si="4"/>
        <v>1.8460039740499994</v>
      </c>
      <c r="BA52" s="103">
        <f t="shared" si="5"/>
        <v>293.80098171125996</v>
      </c>
      <c r="BC52" s="104">
        <f t="shared" si="6"/>
        <v>0.91553995729999982</v>
      </c>
      <c r="BD52" s="105">
        <f t="shared" si="7"/>
        <v>218.07003316552004</v>
      </c>
    </row>
    <row r="53" spans="1:56" s="101" customFormat="1" ht="14.4" x14ac:dyDescent="0.3">
      <c r="A53" s="101">
        <v>39</v>
      </c>
      <c r="B53" s="101" t="s">
        <v>395</v>
      </c>
      <c r="C53" s="20">
        <v>44350.430763888886</v>
      </c>
      <c r="D53" s="101" t="s">
        <v>25</v>
      </c>
      <c r="E53" s="101" t="s">
        <v>17</v>
      </c>
      <c r="F53" s="101">
        <v>0</v>
      </c>
      <c r="G53" s="101">
        <v>6.0490000000000004</v>
      </c>
      <c r="H53" s="12">
        <v>1105</v>
      </c>
      <c r="I53" s="101">
        <v>-2E-3</v>
      </c>
      <c r="J53" s="101" t="s">
        <v>18</v>
      </c>
      <c r="K53" s="101" t="s">
        <v>18</v>
      </c>
      <c r="L53" s="101" t="s">
        <v>18</v>
      </c>
      <c r="M53" s="101" t="s">
        <v>18</v>
      </c>
      <c r="O53" s="101">
        <v>39</v>
      </c>
      <c r="P53" s="101" t="s">
        <v>395</v>
      </c>
      <c r="Q53" s="20">
        <v>44350.430763888886</v>
      </c>
      <c r="R53" s="101" t="s">
        <v>25</v>
      </c>
      <c r="S53" s="101" t="s">
        <v>17</v>
      </c>
      <c r="T53" s="101">
        <v>0</v>
      </c>
      <c r="U53" s="101" t="s">
        <v>18</v>
      </c>
      <c r="V53" s="101" t="s">
        <v>18</v>
      </c>
      <c r="W53" s="101" t="s">
        <v>18</v>
      </c>
      <c r="X53" s="101" t="s">
        <v>18</v>
      </c>
      <c r="Y53" s="101" t="s">
        <v>18</v>
      </c>
      <c r="Z53" s="101" t="s">
        <v>18</v>
      </c>
      <c r="AA53" s="101" t="s">
        <v>18</v>
      </c>
      <c r="AC53" s="101">
        <v>39</v>
      </c>
      <c r="AD53" s="101" t="s">
        <v>395</v>
      </c>
      <c r="AE53" s="20">
        <v>44350.430763888886</v>
      </c>
      <c r="AF53" s="101" t="s">
        <v>25</v>
      </c>
      <c r="AG53" s="101" t="s">
        <v>17</v>
      </c>
      <c r="AH53" s="101">
        <v>0</v>
      </c>
      <c r="AI53" s="101">
        <v>12.218999999999999</v>
      </c>
      <c r="AJ53" s="12">
        <v>1757</v>
      </c>
      <c r="AK53" s="101">
        <v>0.36</v>
      </c>
      <c r="AL53" s="101" t="s">
        <v>18</v>
      </c>
      <c r="AM53" s="101" t="s">
        <v>18</v>
      </c>
      <c r="AN53" s="101" t="s">
        <v>18</v>
      </c>
      <c r="AO53" s="101" t="s">
        <v>18</v>
      </c>
      <c r="AQ53" s="101">
        <v>1</v>
      </c>
      <c r="AS53" s="7">
        <v>27</v>
      </c>
      <c r="AT53" s="23">
        <f t="shared" si="0"/>
        <v>-2.5613433987500001</v>
      </c>
      <c r="AU53" s="103">
        <f t="shared" si="1"/>
        <v>332.03020458326</v>
      </c>
      <c r="AW53" s="60">
        <f t="shared" si="2"/>
        <v>-1.3560282187500006</v>
      </c>
      <c r="AX53" s="61">
        <f t="shared" si="3"/>
        <v>360.38402593427003</v>
      </c>
      <c r="AZ53" s="23">
        <f t="shared" si="4"/>
        <v>-2.5613433987500001</v>
      </c>
      <c r="BA53" s="103">
        <f t="shared" si="5"/>
        <v>332.03020458326</v>
      </c>
      <c r="BC53" s="104">
        <f t="shared" si="6"/>
        <v>-0.70502056749999986</v>
      </c>
      <c r="BD53" s="105">
        <f t="shared" si="7"/>
        <v>259.39311850951998</v>
      </c>
    </row>
    <row r="54" spans="1:56" s="101" customFormat="1" ht="14.4" x14ac:dyDescent="0.3">
      <c r="A54" s="101">
        <v>39</v>
      </c>
      <c r="B54" s="101" t="s">
        <v>396</v>
      </c>
      <c r="C54" s="20">
        <v>44361.486192129632</v>
      </c>
      <c r="D54" s="101" t="s">
        <v>25</v>
      </c>
      <c r="E54" s="101" t="s">
        <v>17</v>
      </c>
      <c r="F54" s="101">
        <v>0</v>
      </c>
      <c r="G54" s="101">
        <v>6.0469999999999997</v>
      </c>
      <c r="H54" s="12">
        <v>942</v>
      </c>
      <c r="I54" s="101">
        <v>-3.0000000000000001E-3</v>
      </c>
      <c r="J54" s="101" t="s">
        <v>18</v>
      </c>
      <c r="K54" s="101" t="s">
        <v>18</v>
      </c>
      <c r="L54" s="101" t="s">
        <v>18</v>
      </c>
      <c r="M54" s="101" t="s">
        <v>18</v>
      </c>
      <c r="O54" s="101">
        <v>39</v>
      </c>
      <c r="P54" s="101" t="s">
        <v>396</v>
      </c>
      <c r="Q54" s="20">
        <v>44361.486192129632</v>
      </c>
      <c r="R54" s="101" t="s">
        <v>25</v>
      </c>
      <c r="S54" s="101" t="s">
        <v>17</v>
      </c>
      <c r="T54" s="101">
        <v>0</v>
      </c>
      <c r="U54" s="101" t="s">
        <v>18</v>
      </c>
      <c r="V54" s="101" t="s">
        <v>18</v>
      </c>
      <c r="W54" s="101" t="s">
        <v>18</v>
      </c>
      <c r="X54" s="101" t="s">
        <v>18</v>
      </c>
      <c r="Y54" s="101" t="s">
        <v>18</v>
      </c>
      <c r="Z54" s="101" t="s">
        <v>18</v>
      </c>
      <c r="AA54" s="101" t="s">
        <v>18</v>
      </c>
      <c r="AC54" s="101">
        <v>39</v>
      </c>
      <c r="AD54" s="101" t="s">
        <v>396</v>
      </c>
      <c r="AE54" s="20">
        <v>44361.486192129632</v>
      </c>
      <c r="AF54" s="101" t="s">
        <v>25</v>
      </c>
      <c r="AG54" s="101" t="s">
        <v>17</v>
      </c>
      <c r="AH54" s="101">
        <v>0</v>
      </c>
      <c r="AI54" s="101">
        <v>12.215</v>
      </c>
      <c r="AJ54" s="12">
        <v>2445</v>
      </c>
      <c r="AK54" s="101">
        <v>0.497</v>
      </c>
      <c r="AL54" s="101" t="s">
        <v>18</v>
      </c>
      <c r="AM54" s="101" t="s">
        <v>18</v>
      </c>
      <c r="AN54" s="101" t="s">
        <v>18</v>
      </c>
      <c r="AO54" s="101" t="s">
        <v>18</v>
      </c>
      <c r="AQ54" s="101">
        <v>1</v>
      </c>
      <c r="AS54" s="7">
        <v>28</v>
      </c>
      <c r="AT54" s="23">
        <f t="shared" si="0"/>
        <v>-3.1651567437999999</v>
      </c>
      <c r="AU54" s="103">
        <f t="shared" si="1"/>
        <v>463.52879731350004</v>
      </c>
      <c r="AW54" s="60">
        <f t="shared" si="2"/>
        <v>-1.8040335150000004</v>
      </c>
      <c r="AX54" s="61">
        <f t="shared" si="3"/>
        <v>487.75775937074997</v>
      </c>
      <c r="AZ54" s="23">
        <f t="shared" si="4"/>
        <v>-3.1651567437999999</v>
      </c>
      <c r="BA54" s="103">
        <f t="shared" si="5"/>
        <v>463.52879731350004</v>
      </c>
      <c r="BC54" s="104">
        <f t="shared" si="6"/>
        <v>-0.8895902108</v>
      </c>
      <c r="BD54" s="105">
        <f t="shared" si="7"/>
        <v>401.52894080199997</v>
      </c>
    </row>
    <row r="55" spans="1:56" s="101" customFormat="1" ht="14.4" x14ac:dyDescent="0.3">
      <c r="A55" s="101">
        <v>39</v>
      </c>
      <c r="B55" s="101" t="s">
        <v>397</v>
      </c>
      <c r="C55" s="20">
        <v>44362.380115740743</v>
      </c>
      <c r="D55" s="101" t="s">
        <v>25</v>
      </c>
      <c r="E55" s="101" t="s">
        <v>17</v>
      </c>
      <c r="F55" s="101">
        <v>0</v>
      </c>
      <c r="G55" s="101">
        <v>6.0860000000000003</v>
      </c>
      <c r="H55" s="12">
        <v>1131</v>
      </c>
      <c r="I55" s="101">
        <v>-2E-3</v>
      </c>
      <c r="J55" s="101" t="s">
        <v>18</v>
      </c>
      <c r="K55" s="101" t="s">
        <v>18</v>
      </c>
      <c r="L55" s="101" t="s">
        <v>18</v>
      </c>
      <c r="M55" s="101" t="s">
        <v>18</v>
      </c>
      <c r="O55" s="101">
        <v>39</v>
      </c>
      <c r="P55" s="101" t="s">
        <v>397</v>
      </c>
      <c r="Q55" s="20">
        <v>44362.380115740743</v>
      </c>
      <c r="R55" s="101" t="s">
        <v>25</v>
      </c>
      <c r="S55" s="101" t="s">
        <v>17</v>
      </c>
      <c r="T55" s="101">
        <v>0</v>
      </c>
      <c r="U55" s="101" t="s">
        <v>18</v>
      </c>
      <c r="V55" s="101" t="s">
        <v>18</v>
      </c>
      <c r="W55" s="101" t="s">
        <v>18</v>
      </c>
      <c r="X55" s="101" t="s">
        <v>18</v>
      </c>
      <c r="Y55" s="101" t="s">
        <v>18</v>
      </c>
      <c r="Z55" s="101" t="s">
        <v>18</v>
      </c>
      <c r="AA55" s="101" t="s">
        <v>18</v>
      </c>
      <c r="AC55" s="101">
        <v>39</v>
      </c>
      <c r="AD55" s="101" t="s">
        <v>397</v>
      </c>
      <c r="AE55" s="20">
        <v>44362.380115740743</v>
      </c>
      <c r="AF55" s="101" t="s">
        <v>25</v>
      </c>
      <c r="AG55" s="101" t="s">
        <v>17</v>
      </c>
      <c r="AH55" s="101">
        <v>0</v>
      </c>
      <c r="AI55" s="101">
        <v>12.237</v>
      </c>
      <c r="AJ55" s="12">
        <v>1884</v>
      </c>
      <c r="AK55" s="101">
        <v>0.38500000000000001</v>
      </c>
      <c r="AL55" s="101" t="s">
        <v>18</v>
      </c>
      <c r="AM55" s="101" t="s">
        <v>18</v>
      </c>
      <c r="AN55" s="101" t="s">
        <v>18</v>
      </c>
      <c r="AO55" s="101" t="s">
        <v>18</v>
      </c>
      <c r="AQ55" s="101">
        <v>1</v>
      </c>
      <c r="AS55" s="7">
        <v>29</v>
      </c>
      <c r="AT55" s="23">
        <f t="shared" si="0"/>
        <v>-2.4653143799499997</v>
      </c>
      <c r="AU55" s="103">
        <f t="shared" si="1"/>
        <v>356.30508584543998</v>
      </c>
      <c r="AW55" s="60">
        <f t="shared" si="2"/>
        <v>-1.2844628287500006</v>
      </c>
      <c r="AX55" s="61">
        <f t="shared" si="3"/>
        <v>383.90080064687999</v>
      </c>
      <c r="AZ55" s="23">
        <f t="shared" si="4"/>
        <v>-2.4653143799499997</v>
      </c>
      <c r="BA55" s="103">
        <f t="shared" si="5"/>
        <v>356.30508584543998</v>
      </c>
      <c r="BC55" s="104">
        <f t="shared" si="6"/>
        <v>-0.67486600670000008</v>
      </c>
      <c r="BD55" s="105">
        <f t="shared" si="7"/>
        <v>285.63221788288001</v>
      </c>
    </row>
    <row r="56" spans="1:56" s="101" customFormat="1" ht="14.4" x14ac:dyDescent="0.3">
      <c r="A56" s="101">
        <v>39</v>
      </c>
      <c r="B56" s="101" t="s">
        <v>398</v>
      </c>
      <c r="C56" s="20">
        <v>44370.476168981484</v>
      </c>
      <c r="D56" s="101" t="s">
        <v>25</v>
      </c>
      <c r="E56" s="101" t="s">
        <v>17</v>
      </c>
      <c r="F56" s="101">
        <v>0</v>
      </c>
      <c r="G56" s="101">
        <v>6.077</v>
      </c>
      <c r="H56" s="12">
        <v>1011</v>
      </c>
      <c r="I56" s="101">
        <v>-3.0000000000000001E-3</v>
      </c>
      <c r="J56" s="101" t="s">
        <v>18</v>
      </c>
      <c r="K56" s="101" t="s">
        <v>18</v>
      </c>
      <c r="L56" s="101" t="s">
        <v>18</v>
      </c>
      <c r="M56" s="101" t="s">
        <v>18</v>
      </c>
      <c r="O56" s="101">
        <v>39</v>
      </c>
      <c r="P56" s="101" t="s">
        <v>398</v>
      </c>
      <c r="Q56" s="20">
        <v>44370.476168981484</v>
      </c>
      <c r="R56" s="101" t="s">
        <v>25</v>
      </c>
      <c r="S56" s="101" t="s">
        <v>17</v>
      </c>
      <c r="T56" s="101">
        <v>0</v>
      </c>
      <c r="U56" s="101" t="s">
        <v>18</v>
      </c>
      <c r="V56" s="101" t="s">
        <v>18</v>
      </c>
      <c r="W56" s="101" t="s">
        <v>18</v>
      </c>
      <c r="X56" s="101" t="s">
        <v>18</v>
      </c>
      <c r="Y56" s="101" t="s">
        <v>18</v>
      </c>
      <c r="Z56" s="101" t="s">
        <v>18</v>
      </c>
      <c r="AA56" s="101" t="s">
        <v>18</v>
      </c>
      <c r="AC56" s="101">
        <v>39</v>
      </c>
      <c r="AD56" s="101" t="s">
        <v>398</v>
      </c>
      <c r="AE56" s="20">
        <v>44370.476168981484</v>
      </c>
      <c r="AF56" s="101" t="s">
        <v>25</v>
      </c>
      <c r="AG56" s="101" t="s">
        <v>17</v>
      </c>
      <c r="AH56" s="101">
        <v>0</v>
      </c>
      <c r="AI56" s="101">
        <v>12.234</v>
      </c>
      <c r="AJ56" s="12">
        <v>1845</v>
      </c>
      <c r="AK56" s="101">
        <v>0.378</v>
      </c>
      <c r="AL56" s="101" t="s">
        <v>18</v>
      </c>
      <c r="AM56" s="101" t="s">
        <v>18</v>
      </c>
      <c r="AN56" s="101" t="s">
        <v>18</v>
      </c>
      <c r="AO56" s="101" t="s">
        <v>18</v>
      </c>
      <c r="AQ56" s="101">
        <v>1</v>
      </c>
      <c r="AS56" s="7">
        <v>30</v>
      </c>
      <c r="AT56" s="23">
        <f t="shared" si="0"/>
        <v>-2.9091789119499998</v>
      </c>
      <c r="AU56" s="103">
        <f t="shared" si="1"/>
        <v>348.85065055350003</v>
      </c>
      <c r="AW56" s="60">
        <f t="shared" si="2"/>
        <v>-1.6145249287500008</v>
      </c>
      <c r="AX56" s="61">
        <f t="shared" si="3"/>
        <v>376.67932935075004</v>
      </c>
      <c r="AZ56" s="23">
        <f t="shared" si="4"/>
        <v>-2.9091789119499998</v>
      </c>
      <c r="BA56" s="103">
        <f t="shared" si="5"/>
        <v>348.85065055350003</v>
      </c>
      <c r="BC56" s="104">
        <f t="shared" si="6"/>
        <v>-0.81240191869999989</v>
      </c>
      <c r="BD56" s="105">
        <f t="shared" si="7"/>
        <v>277.57462928199999</v>
      </c>
    </row>
    <row r="57" spans="1:56" s="101" customFormat="1" ht="14.4" x14ac:dyDescent="0.3">
      <c r="A57" s="101">
        <v>39</v>
      </c>
      <c r="B57" s="101" t="s">
        <v>399</v>
      </c>
      <c r="C57" s="20">
        <v>44375.432523148149</v>
      </c>
      <c r="D57" s="101" t="s">
        <v>25</v>
      </c>
      <c r="E57" s="101" t="s">
        <v>17</v>
      </c>
      <c r="F57" s="101">
        <v>0</v>
      </c>
      <c r="G57" s="101">
        <v>6.0410000000000004</v>
      </c>
      <c r="H57" s="12">
        <v>1372</v>
      </c>
      <c r="I57" s="101">
        <v>-2E-3</v>
      </c>
      <c r="J57" s="101" t="s">
        <v>18</v>
      </c>
      <c r="K57" s="101" t="s">
        <v>18</v>
      </c>
      <c r="L57" s="101" t="s">
        <v>18</v>
      </c>
      <c r="M57" s="101" t="s">
        <v>18</v>
      </c>
      <c r="O57" s="101">
        <v>39</v>
      </c>
      <c r="P57" s="101" t="s">
        <v>399</v>
      </c>
      <c r="Q57" s="20">
        <v>44375.432523148149</v>
      </c>
      <c r="R57" s="101" t="s">
        <v>25</v>
      </c>
      <c r="S57" s="101" t="s">
        <v>17</v>
      </c>
      <c r="T57" s="101">
        <v>0</v>
      </c>
      <c r="U57" s="101" t="s">
        <v>18</v>
      </c>
      <c r="V57" s="101" t="s">
        <v>18</v>
      </c>
      <c r="W57" s="101" t="s">
        <v>18</v>
      </c>
      <c r="X57" s="101" t="s">
        <v>18</v>
      </c>
      <c r="Y57" s="101" t="s">
        <v>18</v>
      </c>
      <c r="Z57" s="101" t="s">
        <v>18</v>
      </c>
      <c r="AA57" s="101" t="s">
        <v>18</v>
      </c>
      <c r="AC57" s="101">
        <v>39</v>
      </c>
      <c r="AD57" s="101" t="s">
        <v>399</v>
      </c>
      <c r="AE57" s="20">
        <v>44375.432523148149</v>
      </c>
      <c r="AF57" s="101" t="s">
        <v>25</v>
      </c>
      <c r="AG57" s="101" t="s">
        <v>17</v>
      </c>
      <c r="AH57" s="101">
        <v>0</v>
      </c>
      <c r="AI57" s="101">
        <v>12.183</v>
      </c>
      <c r="AJ57" s="12">
        <v>1848</v>
      </c>
      <c r="AK57" s="101">
        <v>0.378</v>
      </c>
      <c r="AL57" s="101" t="s">
        <v>18</v>
      </c>
      <c r="AM57" s="101" t="s">
        <v>18</v>
      </c>
      <c r="AN57" s="101" t="s">
        <v>18</v>
      </c>
      <c r="AO57" s="101" t="s">
        <v>18</v>
      </c>
      <c r="AQ57" s="101">
        <v>1</v>
      </c>
      <c r="AS57" s="7">
        <v>31</v>
      </c>
      <c r="AT57" s="23">
        <f t="shared" si="0"/>
        <v>-1.5789281528000005</v>
      </c>
      <c r="AU57" s="103">
        <f t="shared" si="1"/>
        <v>349.42407040896001</v>
      </c>
      <c r="AW57" s="60">
        <f t="shared" si="2"/>
        <v>-0.61973934000000064</v>
      </c>
      <c r="AX57" s="61">
        <f t="shared" si="3"/>
        <v>377.23483392192003</v>
      </c>
      <c r="AZ57" s="23">
        <f t="shared" si="4"/>
        <v>-1.5789281528000005</v>
      </c>
      <c r="BA57" s="103">
        <f t="shared" si="5"/>
        <v>349.42407040896001</v>
      </c>
      <c r="BC57" s="104">
        <f t="shared" si="6"/>
        <v>-0.38600680480000005</v>
      </c>
      <c r="BD57" s="105">
        <f t="shared" si="7"/>
        <v>278.19444654592002</v>
      </c>
    </row>
    <row r="58" spans="1:56" s="101" customFormat="1" ht="14.4" x14ac:dyDescent="0.3">
      <c r="A58" s="101">
        <v>39</v>
      </c>
      <c r="B58" s="101" t="s">
        <v>400</v>
      </c>
      <c r="C58" s="20">
        <v>44376.579953703702</v>
      </c>
      <c r="D58" s="101" t="s">
        <v>25</v>
      </c>
      <c r="E58" s="101" t="s">
        <v>17</v>
      </c>
      <c r="F58" s="101">
        <v>0</v>
      </c>
      <c r="G58" s="101">
        <v>6.0590000000000002</v>
      </c>
      <c r="H58" s="12">
        <v>1210</v>
      </c>
      <c r="I58" s="101">
        <v>-2E-3</v>
      </c>
      <c r="J58" s="101" t="s">
        <v>18</v>
      </c>
      <c r="K58" s="101" t="s">
        <v>18</v>
      </c>
      <c r="L58" s="101" t="s">
        <v>18</v>
      </c>
      <c r="M58" s="101" t="s">
        <v>18</v>
      </c>
      <c r="O58" s="101">
        <v>39</v>
      </c>
      <c r="P58" s="101" t="s">
        <v>400</v>
      </c>
      <c r="Q58" s="20">
        <v>44376.579953703702</v>
      </c>
      <c r="R58" s="101" t="s">
        <v>25</v>
      </c>
      <c r="S58" s="101" t="s">
        <v>17</v>
      </c>
      <c r="T58" s="101">
        <v>0</v>
      </c>
      <c r="U58" s="101" t="s">
        <v>18</v>
      </c>
      <c r="V58" s="101" t="s">
        <v>18</v>
      </c>
      <c r="W58" s="101" t="s">
        <v>18</v>
      </c>
      <c r="X58" s="101" t="s">
        <v>18</v>
      </c>
      <c r="Y58" s="101" t="s">
        <v>18</v>
      </c>
      <c r="Z58" s="101" t="s">
        <v>18</v>
      </c>
      <c r="AA58" s="101" t="s">
        <v>18</v>
      </c>
      <c r="AC58" s="101">
        <v>39</v>
      </c>
      <c r="AD58" s="101" t="s">
        <v>400</v>
      </c>
      <c r="AE58" s="20">
        <v>44376.579953703702</v>
      </c>
      <c r="AF58" s="101" t="s">
        <v>25</v>
      </c>
      <c r="AG58" s="101" t="s">
        <v>17</v>
      </c>
      <c r="AH58" s="101">
        <v>0</v>
      </c>
      <c r="AI58" s="101">
        <v>12.209</v>
      </c>
      <c r="AJ58" s="12">
        <v>2451</v>
      </c>
      <c r="AK58" s="101">
        <v>0.499</v>
      </c>
      <c r="AL58" s="101" t="s">
        <v>18</v>
      </c>
      <c r="AM58" s="101" t="s">
        <v>18</v>
      </c>
      <c r="AN58" s="101" t="s">
        <v>18</v>
      </c>
      <c r="AO58" s="101" t="s">
        <v>18</v>
      </c>
      <c r="AQ58" s="101">
        <v>1</v>
      </c>
      <c r="AS58" s="7">
        <v>32</v>
      </c>
      <c r="AT58" s="23">
        <f t="shared" si="0"/>
        <v>-2.174014595</v>
      </c>
      <c r="AU58" s="103">
        <f t="shared" si="1"/>
        <v>464.67551965974002</v>
      </c>
      <c r="AW58" s="60">
        <f t="shared" si="2"/>
        <v>-1.0668378750000005</v>
      </c>
      <c r="AX58" s="61">
        <f t="shared" si="3"/>
        <v>488.86831543923</v>
      </c>
      <c r="AZ58" s="23">
        <f t="shared" si="4"/>
        <v>-2.174014595</v>
      </c>
      <c r="BA58" s="103">
        <f t="shared" si="5"/>
        <v>464.67551965974002</v>
      </c>
      <c r="BC58" s="104">
        <f t="shared" si="6"/>
        <v>-0.58203726999999983</v>
      </c>
      <c r="BD58" s="105">
        <f t="shared" si="7"/>
        <v>402.76839112647997</v>
      </c>
    </row>
    <row r="59" spans="1:56" s="101" customFormat="1" ht="14.4" x14ac:dyDescent="0.3">
      <c r="A59" s="101">
        <v>39</v>
      </c>
      <c r="B59" s="101" t="s">
        <v>401</v>
      </c>
      <c r="C59" s="20">
        <v>44386.441377314812</v>
      </c>
      <c r="D59" s="101" t="s">
        <v>25</v>
      </c>
      <c r="E59" s="101" t="s">
        <v>17</v>
      </c>
      <c r="F59" s="101">
        <v>0</v>
      </c>
      <c r="G59" s="101">
        <v>6.0419999999999998</v>
      </c>
      <c r="H59" s="12">
        <v>1340</v>
      </c>
      <c r="I59" s="101">
        <v>-2E-3</v>
      </c>
      <c r="J59" s="101" t="s">
        <v>18</v>
      </c>
      <c r="K59" s="101" t="s">
        <v>18</v>
      </c>
      <c r="L59" s="101" t="s">
        <v>18</v>
      </c>
      <c r="M59" s="101" t="s">
        <v>18</v>
      </c>
      <c r="O59" s="101">
        <v>39</v>
      </c>
      <c r="P59" s="101" t="s">
        <v>401</v>
      </c>
      <c r="Q59" s="20">
        <v>44386.441377314812</v>
      </c>
      <c r="R59" s="101" t="s">
        <v>25</v>
      </c>
      <c r="S59" s="101" t="s">
        <v>17</v>
      </c>
      <c r="T59" s="101">
        <v>0</v>
      </c>
      <c r="U59" s="101" t="s">
        <v>18</v>
      </c>
      <c r="V59" s="12" t="s">
        <v>18</v>
      </c>
      <c r="W59" s="101" t="s">
        <v>18</v>
      </c>
      <c r="X59" s="101" t="s">
        <v>18</v>
      </c>
      <c r="Y59" s="101" t="s">
        <v>18</v>
      </c>
      <c r="Z59" s="101" t="s">
        <v>18</v>
      </c>
      <c r="AA59" s="101" t="s">
        <v>18</v>
      </c>
      <c r="AC59" s="101">
        <v>39</v>
      </c>
      <c r="AD59" s="101" t="s">
        <v>401</v>
      </c>
      <c r="AE59" s="20">
        <v>44386.441377314812</v>
      </c>
      <c r="AF59" s="101" t="s">
        <v>25</v>
      </c>
      <c r="AG59" s="101" t="s">
        <v>17</v>
      </c>
      <c r="AH59" s="101">
        <v>0</v>
      </c>
      <c r="AI59" s="101">
        <v>12.209</v>
      </c>
      <c r="AJ59" s="12">
        <v>3527</v>
      </c>
      <c r="AK59" s="101">
        <v>0.71399999999999997</v>
      </c>
      <c r="AL59" s="101" t="s">
        <v>18</v>
      </c>
      <c r="AM59" s="101" t="s">
        <v>18</v>
      </c>
      <c r="AN59" s="101" t="s">
        <v>18</v>
      </c>
      <c r="AO59" s="101" t="s">
        <v>18</v>
      </c>
      <c r="AQ59" s="101">
        <v>1</v>
      </c>
      <c r="AS59" s="7">
        <v>33</v>
      </c>
      <c r="AT59" s="23">
        <f t="shared" si="0"/>
        <v>-1.6962350199999996</v>
      </c>
      <c r="AU59" s="103">
        <f t="shared" si="1"/>
        <v>670.30213000646006</v>
      </c>
      <c r="AW59" s="60">
        <f t="shared" ref="AW59:AW100" si="8">IF(H59&lt;15000,((0.00000002125*H59^2)+(0.002705*H59)+(-4.371)),(IF(H59&lt;700000,((-0.0000000008162*H59^2)+(0.003141*H59)+(0.4702)), ((0.000000003285*V59^2)+(0.1899*V59)+(559.5)))))</f>
        <v>-0.7081435000000007</v>
      </c>
      <c r="AX59" s="61">
        <f t="shared" ref="AX59:AX100" si="9">((-0.00000006277*AJ59^2)+(0.1854*AJ59)+(34.83))</f>
        <v>687.95495821067004</v>
      </c>
      <c r="AZ59" s="23">
        <f t="shared" ref="AZ59:AZ100" si="10">IF(H59&lt;10000,((-0.00000005795*H59^2)+(0.003823*H59)+(-6.715)),(IF(H59&lt;700000,((-0.0000000001209*H59^2)+(0.002635*H59)+(-0.4111)), ((-0.00000002007*V59^2)+(0.2564*V59)+(286.1)))))</f>
        <v>-1.6962350199999996</v>
      </c>
      <c r="BA59" s="103">
        <f t="shared" ref="BA59:BA100" si="11">(-0.00000001626*AJ59^2)+(0.1912*AJ59)+(-3.858)</f>
        <v>670.30213000646006</v>
      </c>
      <c r="BC59" s="104">
        <f t="shared" ref="BC59:BC100" si="12">IF(H59&lt;10000,((0.0000001453*H59^2)+(0.0008349*H59)+(-1.805)),(IF(H59&lt;700000,((-0.00000000008054*H59^2)+(0.002348*H59)+(-2.47)), ((-0.00000001938*V59^2)+(0.2471*V59)+(226.8)))))</f>
        <v>-0.42533332000000001</v>
      </c>
      <c r="BD59" s="105">
        <f t="shared" ref="BD59:BD100" si="13">(-0.00000002552*AJ59^2)+(0.2067*AJ59)+(-103.7)</f>
        <v>625.01343811591994</v>
      </c>
    </row>
    <row r="60" spans="1:56" s="101" customFormat="1" ht="14.4" x14ac:dyDescent="0.3">
      <c r="A60" s="101">
        <v>39</v>
      </c>
      <c r="B60" s="101" t="s">
        <v>402</v>
      </c>
      <c r="C60" s="20">
        <v>44389.426828703705</v>
      </c>
      <c r="D60" s="101" t="s">
        <v>25</v>
      </c>
      <c r="E60" s="101" t="s">
        <v>17</v>
      </c>
      <c r="F60" s="101">
        <v>0</v>
      </c>
      <c r="G60" s="101">
        <v>6.0510000000000002</v>
      </c>
      <c r="H60" s="12">
        <v>1261</v>
      </c>
      <c r="I60" s="101">
        <v>-2E-3</v>
      </c>
      <c r="J60" s="101" t="s">
        <v>18</v>
      </c>
      <c r="K60" s="101" t="s">
        <v>18</v>
      </c>
      <c r="L60" s="101" t="s">
        <v>18</v>
      </c>
      <c r="M60" s="101" t="s">
        <v>18</v>
      </c>
      <c r="O60" s="101">
        <v>39</v>
      </c>
      <c r="P60" s="101" t="s">
        <v>402</v>
      </c>
      <c r="Q60" s="20">
        <v>44389.426828703705</v>
      </c>
      <c r="R60" s="101" t="s">
        <v>25</v>
      </c>
      <c r="S60" s="101" t="s">
        <v>17</v>
      </c>
      <c r="T60" s="101">
        <v>0</v>
      </c>
      <c r="U60" s="101" t="s">
        <v>18</v>
      </c>
      <c r="V60" s="12" t="s">
        <v>18</v>
      </c>
      <c r="W60" s="101" t="s">
        <v>18</v>
      </c>
      <c r="X60" s="101" t="s">
        <v>18</v>
      </c>
      <c r="Y60" s="101" t="s">
        <v>18</v>
      </c>
      <c r="Z60" s="101" t="s">
        <v>18</v>
      </c>
      <c r="AA60" s="101" t="s">
        <v>18</v>
      </c>
      <c r="AC60" s="101">
        <v>39</v>
      </c>
      <c r="AD60" s="101" t="s">
        <v>402</v>
      </c>
      <c r="AE60" s="20">
        <v>44389.426828703705</v>
      </c>
      <c r="AF60" s="101" t="s">
        <v>25</v>
      </c>
      <c r="AG60" s="101" t="s">
        <v>17</v>
      </c>
      <c r="AH60" s="101">
        <v>0</v>
      </c>
      <c r="AI60" s="101">
        <v>12.21</v>
      </c>
      <c r="AJ60" s="12">
        <v>2494</v>
      </c>
      <c r="AK60" s="101">
        <v>0.50700000000000001</v>
      </c>
      <c r="AL60" s="101" t="s">
        <v>18</v>
      </c>
      <c r="AM60" s="101" t="s">
        <v>18</v>
      </c>
      <c r="AN60" s="101" t="s">
        <v>18</v>
      </c>
      <c r="AO60" s="101" t="s">
        <v>18</v>
      </c>
      <c r="AQ60" s="101">
        <v>1</v>
      </c>
      <c r="AS60" s="7">
        <v>34</v>
      </c>
      <c r="AT60" s="23">
        <f t="shared" si="0"/>
        <v>-1.9863445119500005</v>
      </c>
      <c r="AU60" s="103">
        <f t="shared" si="1"/>
        <v>472.89366221464002</v>
      </c>
      <c r="AW60" s="60">
        <f t="shared" si="8"/>
        <v>-0.92620492875000071</v>
      </c>
      <c r="AX60" s="61">
        <f t="shared" si="9"/>
        <v>496.82716834028002</v>
      </c>
      <c r="AZ60" s="23">
        <f t="shared" si="10"/>
        <v>-1.9863445119500005</v>
      </c>
      <c r="BA60" s="103">
        <f t="shared" si="11"/>
        <v>472.89366221464002</v>
      </c>
      <c r="BC60" s="104">
        <f t="shared" si="12"/>
        <v>-0.52114651869999995</v>
      </c>
      <c r="BD60" s="105">
        <f t="shared" si="13"/>
        <v>411.65106468128005</v>
      </c>
    </row>
    <row r="61" spans="1:56" s="101" customFormat="1" ht="14.4" x14ac:dyDescent="0.3">
      <c r="A61" s="101">
        <v>39</v>
      </c>
      <c r="B61" s="101" t="s">
        <v>403</v>
      </c>
      <c r="C61" s="20">
        <v>44391.56659722222</v>
      </c>
      <c r="D61" s="101" t="s">
        <v>25</v>
      </c>
      <c r="E61" s="101" t="s">
        <v>17</v>
      </c>
      <c r="F61" s="101">
        <v>0</v>
      </c>
      <c r="G61" s="101">
        <v>6.0510000000000002</v>
      </c>
      <c r="H61" s="12">
        <v>1660</v>
      </c>
      <c r="I61" s="101">
        <v>-1E-3</v>
      </c>
      <c r="J61" s="101" t="s">
        <v>18</v>
      </c>
      <c r="K61" s="101" t="s">
        <v>18</v>
      </c>
      <c r="L61" s="101" t="s">
        <v>18</v>
      </c>
      <c r="M61" s="101" t="s">
        <v>18</v>
      </c>
      <c r="O61" s="101">
        <v>39</v>
      </c>
      <c r="P61" s="101" t="s">
        <v>403</v>
      </c>
      <c r="Q61" s="20">
        <v>44391.56659722222</v>
      </c>
      <c r="R61" s="101" t="s">
        <v>25</v>
      </c>
      <c r="S61" s="101" t="s">
        <v>17</v>
      </c>
      <c r="T61" s="101">
        <v>0</v>
      </c>
      <c r="U61" s="101" t="s">
        <v>18</v>
      </c>
      <c r="V61" s="12" t="s">
        <v>18</v>
      </c>
      <c r="W61" s="101" t="s">
        <v>18</v>
      </c>
      <c r="X61" s="101" t="s">
        <v>18</v>
      </c>
      <c r="Y61" s="101" t="s">
        <v>18</v>
      </c>
      <c r="Z61" s="101" t="s">
        <v>18</v>
      </c>
      <c r="AA61" s="101" t="s">
        <v>18</v>
      </c>
      <c r="AC61" s="101">
        <v>39</v>
      </c>
      <c r="AD61" s="101" t="s">
        <v>403</v>
      </c>
      <c r="AE61" s="20">
        <v>44391.56659722222</v>
      </c>
      <c r="AF61" s="101" t="s">
        <v>25</v>
      </c>
      <c r="AG61" s="101" t="s">
        <v>17</v>
      </c>
      <c r="AH61" s="101">
        <v>0</v>
      </c>
      <c r="AI61" s="101">
        <v>12.212</v>
      </c>
      <c r="AJ61" s="12">
        <v>3719</v>
      </c>
      <c r="AK61" s="101">
        <v>0.752</v>
      </c>
      <c r="AL61" s="101" t="s">
        <v>18</v>
      </c>
      <c r="AM61" s="101" t="s">
        <v>18</v>
      </c>
      <c r="AN61" s="101" t="s">
        <v>18</v>
      </c>
      <c r="AO61" s="101" t="s">
        <v>18</v>
      </c>
      <c r="AQ61" s="101">
        <v>1</v>
      </c>
      <c r="AS61" s="7">
        <v>35</v>
      </c>
      <c r="AT61" s="23">
        <f t="shared" si="0"/>
        <v>-0.52850701999999927</v>
      </c>
      <c r="AU61" s="103">
        <f t="shared" si="1"/>
        <v>706.98990857414003</v>
      </c>
      <c r="AW61" s="60">
        <f t="shared" si="8"/>
        <v>0.17785649999999897</v>
      </c>
      <c r="AX61" s="61">
        <f t="shared" si="9"/>
        <v>723.46443057803003</v>
      </c>
      <c r="AZ61" s="23">
        <f t="shared" si="10"/>
        <v>-0.52850701999999927</v>
      </c>
      <c r="BA61" s="103">
        <f t="shared" si="11"/>
        <v>706.98990857414003</v>
      </c>
      <c r="BC61" s="104">
        <f t="shared" si="12"/>
        <v>-1.8677319999999886E-2</v>
      </c>
      <c r="BD61" s="105">
        <f t="shared" si="13"/>
        <v>664.66433387528002</v>
      </c>
    </row>
    <row r="62" spans="1:56" s="101" customFormat="1" ht="14.4" x14ac:dyDescent="0.3">
      <c r="A62" s="101">
        <v>39</v>
      </c>
      <c r="B62" s="101" t="s">
        <v>404</v>
      </c>
      <c r="C62" s="20">
        <v>44392.571597222224</v>
      </c>
      <c r="D62" s="101" t="s">
        <v>25</v>
      </c>
      <c r="E62" s="101" t="s">
        <v>17</v>
      </c>
      <c r="F62" s="101">
        <v>0</v>
      </c>
      <c r="G62" s="101">
        <v>6.0709999999999997</v>
      </c>
      <c r="H62" s="12">
        <v>1690</v>
      </c>
      <c r="I62" s="101">
        <v>-1E-3</v>
      </c>
      <c r="J62" s="101" t="s">
        <v>18</v>
      </c>
      <c r="K62" s="101" t="s">
        <v>18</v>
      </c>
      <c r="L62" s="101" t="s">
        <v>18</v>
      </c>
      <c r="M62" s="101" t="s">
        <v>18</v>
      </c>
      <c r="O62" s="101">
        <v>39</v>
      </c>
      <c r="P62" s="101" t="s">
        <v>404</v>
      </c>
      <c r="Q62" s="20">
        <v>44392.571597222224</v>
      </c>
      <c r="R62" s="101" t="s">
        <v>25</v>
      </c>
      <c r="S62" s="101" t="s">
        <v>17</v>
      </c>
      <c r="T62" s="101">
        <v>0</v>
      </c>
      <c r="U62" s="101" t="s">
        <v>18</v>
      </c>
      <c r="V62" s="101" t="s">
        <v>18</v>
      </c>
      <c r="W62" s="101" t="s">
        <v>18</v>
      </c>
      <c r="X62" s="101" t="s">
        <v>18</v>
      </c>
      <c r="Y62" s="101" t="s">
        <v>18</v>
      </c>
      <c r="Z62" s="101" t="s">
        <v>18</v>
      </c>
      <c r="AA62" s="101" t="s">
        <v>18</v>
      </c>
      <c r="AC62" s="101">
        <v>39</v>
      </c>
      <c r="AD62" s="101" t="s">
        <v>404</v>
      </c>
      <c r="AE62" s="20">
        <v>44392.571597222224</v>
      </c>
      <c r="AF62" s="101" t="s">
        <v>25</v>
      </c>
      <c r="AG62" s="101" t="s">
        <v>17</v>
      </c>
      <c r="AH62" s="101">
        <v>0</v>
      </c>
      <c r="AI62" s="101">
        <v>12.212</v>
      </c>
      <c r="AJ62" s="12">
        <v>2454</v>
      </c>
      <c r="AK62" s="101">
        <v>0.499</v>
      </c>
      <c r="AL62" s="101" t="s">
        <v>18</v>
      </c>
      <c r="AM62" s="101" t="s">
        <v>18</v>
      </c>
      <c r="AN62" s="101" t="s">
        <v>18</v>
      </c>
      <c r="AO62" s="101" t="s">
        <v>18</v>
      </c>
      <c r="AQ62" s="101">
        <v>1</v>
      </c>
      <c r="AS62" s="7">
        <v>36</v>
      </c>
      <c r="AT62" s="23">
        <f t="shared" si="0"/>
        <v>-0.41964099499999996</v>
      </c>
      <c r="AU62" s="103">
        <f t="shared" si="1"/>
        <v>465.24888039384001</v>
      </c>
      <c r="AW62" s="60">
        <f t="shared" si="8"/>
        <v>0.26114212499999923</v>
      </c>
      <c r="AX62" s="61">
        <f t="shared" si="9"/>
        <v>489.42359177868002</v>
      </c>
      <c r="AZ62" s="23">
        <f t="shared" si="10"/>
        <v>-0.41964099499999996</v>
      </c>
      <c r="BA62" s="103">
        <f t="shared" si="11"/>
        <v>465.24888039384001</v>
      </c>
      <c r="BC62" s="104">
        <f t="shared" si="12"/>
        <v>2.0972330000000206E-2</v>
      </c>
      <c r="BD62" s="105">
        <f t="shared" si="13"/>
        <v>403.38811559968002</v>
      </c>
    </row>
    <row r="63" spans="1:56" s="101" customFormat="1" ht="14.4" x14ac:dyDescent="0.3">
      <c r="A63" s="101">
        <v>39</v>
      </c>
      <c r="B63" s="101" t="s">
        <v>405</v>
      </c>
      <c r="C63" s="20">
        <v>44393.482928240737</v>
      </c>
      <c r="D63" s="101" t="s">
        <v>25</v>
      </c>
      <c r="E63" s="101" t="s">
        <v>17</v>
      </c>
      <c r="F63" s="101">
        <v>0</v>
      </c>
      <c r="G63" s="101">
        <v>6.0590000000000002</v>
      </c>
      <c r="H63" s="12">
        <v>1592</v>
      </c>
      <c r="I63" s="101">
        <v>-1E-3</v>
      </c>
      <c r="J63" s="101" t="s">
        <v>18</v>
      </c>
      <c r="K63" s="101" t="s">
        <v>18</v>
      </c>
      <c r="L63" s="101" t="s">
        <v>18</v>
      </c>
      <c r="M63" s="101" t="s">
        <v>18</v>
      </c>
      <c r="O63" s="101">
        <v>39</v>
      </c>
      <c r="P63" s="101" t="s">
        <v>405</v>
      </c>
      <c r="Q63" s="20">
        <v>44393.482928240737</v>
      </c>
      <c r="R63" s="101" t="s">
        <v>25</v>
      </c>
      <c r="S63" s="101" t="s">
        <v>17</v>
      </c>
      <c r="T63" s="101">
        <v>0</v>
      </c>
      <c r="U63" s="101" t="s">
        <v>18</v>
      </c>
      <c r="V63" s="12" t="s">
        <v>18</v>
      </c>
      <c r="W63" s="101" t="s">
        <v>18</v>
      </c>
      <c r="X63" s="101" t="s">
        <v>18</v>
      </c>
      <c r="Y63" s="101" t="s">
        <v>18</v>
      </c>
      <c r="Z63" s="101" t="s">
        <v>18</v>
      </c>
      <c r="AA63" s="101" t="s">
        <v>18</v>
      </c>
      <c r="AC63" s="101">
        <v>39</v>
      </c>
      <c r="AD63" s="101" t="s">
        <v>405</v>
      </c>
      <c r="AE63" s="20">
        <v>44393.482928240737</v>
      </c>
      <c r="AF63" s="101" t="s">
        <v>25</v>
      </c>
      <c r="AG63" s="101" t="s">
        <v>17</v>
      </c>
      <c r="AH63" s="101">
        <v>0</v>
      </c>
      <c r="AI63" s="101">
        <v>12.227</v>
      </c>
      <c r="AJ63" s="12">
        <v>2378</v>
      </c>
      <c r="AK63" s="101">
        <v>0.48399999999999999</v>
      </c>
      <c r="AL63" s="101" t="s">
        <v>18</v>
      </c>
      <c r="AM63" s="101" t="s">
        <v>18</v>
      </c>
      <c r="AN63" s="101" t="s">
        <v>18</v>
      </c>
      <c r="AO63" s="101" t="s">
        <v>18</v>
      </c>
      <c r="AQ63" s="101">
        <v>1</v>
      </c>
      <c r="AS63" s="7">
        <v>37</v>
      </c>
      <c r="AT63" s="23">
        <f t="shared" si="0"/>
        <v>-0.77565618879999931</v>
      </c>
      <c r="AU63" s="103">
        <f t="shared" si="1"/>
        <v>450.72365158616003</v>
      </c>
      <c r="AW63" s="60">
        <f t="shared" si="8"/>
        <v>-1.0782640000000399E-2</v>
      </c>
      <c r="AX63" s="61">
        <f t="shared" si="9"/>
        <v>475.35624293132003</v>
      </c>
      <c r="AZ63" s="23">
        <f t="shared" si="10"/>
        <v>-0.77565618879999931</v>
      </c>
      <c r="BA63" s="103">
        <f t="shared" si="11"/>
        <v>450.72365158616003</v>
      </c>
      <c r="BC63" s="104">
        <f t="shared" si="12"/>
        <v>-0.10758158080000002</v>
      </c>
      <c r="BD63" s="105">
        <f t="shared" si="13"/>
        <v>387.68828736032003</v>
      </c>
    </row>
    <row r="64" spans="1:56" s="101" customFormat="1" ht="14.4" x14ac:dyDescent="0.3">
      <c r="A64" s="101">
        <v>39</v>
      </c>
      <c r="B64" s="101" t="s">
        <v>406</v>
      </c>
      <c r="C64" s="20">
        <v>44399.430960648147</v>
      </c>
      <c r="D64" s="101" t="s">
        <v>25</v>
      </c>
      <c r="E64" s="101" t="s">
        <v>17</v>
      </c>
      <c r="F64" s="101">
        <v>0</v>
      </c>
      <c r="G64" s="101">
        <v>6.0549999999999997</v>
      </c>
      <c r="H64" s="12">
        <v>1440</v>
      </c>
      <c r="I64" s="101">
        <v>-2E-3</v>
      </c>
      <c r="J64" s="101" t="s">
        <v>18</v>
      </c>
      <c r="K64" s="101" t="s">
        <v>18</v>
      </c>
      <c r="L64" s="101" t="s">
        <v>18</v>
      </c>
      <c r="M64" s="101" t="s">
        <v>18</v>
      </c>
      <c r="O64" s="101">
        <v>39</v>
      </c>
      <c r="P64" s="101" t="s">
        <v>406</v>
      </c>
      <c r="Q64" s="20">
        <v>44399.430960648147</v>
      </c>
      <c r="R64" s="101" t="s">
        <v>25</v>
      </c>
      <c r="S64" s="101" t="s">
        <v>17</v>
      </c>
      <c r="T64" s="101">
        <v>0</v>
      </c>
      <c r="U64" s="101" t="s">
        <v>18</v>
      </c>
      <c r="V64" s="101" t="s">
        <v>18</v>
      </c>
      <c r="W64" s="101" t="s">
        <v>18</v>
      </c>
      <c r="X64" s="101" t="s">
        <v>18</v>
      </c>
      <c r="Y64" s="101" t="s">
        <v>18</v>
      </c>
      <c r="Z64" s="101" t="s">
        <v>18</v>
      </c>
      <c r="AA64" s="101" t="s">
        <v>18</v>
      </c>
      <c r="AC64" s="101">
        <v>39</v>
      </c>
      <c r="AD64" s="101" t="s">
        <v>406</v>
      </c>
      <c r="AE64" s="20">
        <v>44399.430960648147</v>
      </c>
      <c r="AF64" s="101" t="s">
        <v>25</v>
      </c>
      <c r="AG64" s="101" t="s">
        <v>17</v>
      </c>
      <c r="AH64" s="101">
        <v>0</v>
      </c>
      <c r="AI64" s="101">
        <v>12.218999999999999</v>
      </c>
      <c r="AJ64" s="12">
        <v>2819</v>
      </c>
      <c r="AK64" s="101">
        <v>0.57199999999999995</v>
      </c>
      <c r="AL64" s="101" t="s">
        <v>18</v>
      </c>
      <c r="AM64" s="101" t="s">
        <v>18</v>
      </c>
      <c r="AN64" s="101" t="s">
        <v>18</v>
      </c>
      <c r="AO64" s="101" t="s">
        <v>18</v>
      </c>
      <c r="AQ64" s="101">
        <v>1</v>
      </c>
      <c r="AS64" s="7">
        <v>38</v>
      </c>
      <c r="AT64" s="23">
        <f t="shared" si="0"/>
        <v>-1.3300451200000003</v>
      </c>
      <c r="AU64" s="103">
        <f t="shared" si="1"/>
        <v>535.00558566614006</v>
      </c>
      <c r="AW64" s="60">
        <f t="shared" si="8"/>
        <v>-0.43173600000000034</v>
      </c>
      <c r="AX64" s="61">
        <f t="shared" si="9"/>
        <v>556.9737818120301</v>
      </c>
      <c r="AZ64" s="23">
        <f t="shared" si="10"/>
        <v>-1.3300451200000003</v>
      </c>
      <c r="BA64" s="103">
        <f t="shared" si="11"/>
        <v>535.00558566614006</v>
      </c>
      <c r="BC64" s="104">
        <f t="shared" si="12"/>
        <v>-0.30144991999999982</v>
      </c>
      <c r="BD64" s="105">
        <f t="shared" si="13"/>
        <v>478.7844986592799</v>
      </c>
    </row>
    <row r="65" spans="1:56" s="101" customFormat="1" ht="14.4" x14ac:dyDescent="0.3">
      <c r="A65" s="101">
        <v>39</v>
      </c>
      <c r="B65" s="101" t="s">
        <v>407</v>
      </c>
      <c r="C65" s="20">
        <v>44404.454675925925</v>
      </c>
      <c r="D65" s="101" t="s">
        <v>25</v>
      </c>
      <c r="E65" s="101" t="s">
        <v>17</v>
      </c>
      <c r="F65" s="101">
        <v>0</v>
      </c>
      <c r="G65" s="101">
        <v>6.0670000000000002</v>
      </c>
      <c r="H65" s="12">
        <v>1602</v>
      </c>
      <c r="I65" s="101">
        <v>-1E-3</v>
      </c>
      <c r="J65" s="101" t="s">
        <v>18</v>
      </c>
      <c r="K65" s="101" t="s">
        <v>18</v>
      </c>
      <c r="L65" s="101" t="s">
        <v>18</v>
      </c>
      <c r="M65" s="101" t="s">
        <v>18</v>
      </c>
      <c r="O65" s="101">
        <v>39</v>
      </c>
      <c r="P65" s="101" t="s">
        <v>407</v>
      </c>
      <c r="Q65" s="20">
        <v>44404.454675925925</v>
      </c>
      <c r="R65" s="101" t="s">
        <v>25</v>
      </c>
      <c r="S65" s="101" t="s">
        <v>17</v>
      </c>
      <c r="T65" s="101">
        <v>0</v>
      </c>
      <c r="U65" s="101" t="s">
        <v>18</v>
      </c>
      <c r="V65" s="12" t="s">
        <v>18</v>
      </c>
      <c r="W65" s="101" t="s">
        <v>18</v>
      </c>
      <c r="X65" s="101" t="s">
        <v>18</v>
      </c>
      <c r="Y65" s="101" t="s">
        <v>18</v>
      </c>
      <c r="Z65" s="101" t="s">
        <v>18</v>
      </c>
      <c r="AA65" s="101" t="s">
        <v>18</v>
      </c>
      <c r="AC65" s="101">
        <v>39</v>
      </c>
      <c r="AD65" s="101" t="s">
        <v>407</v>
      </c>
      <c r="AE65" s="20">
        <v>44404.454675925925</v>
      </c>
      <c r="AF65" s="101" t="s">
        <v>25</v>
      </c>
      <c r="AG65" s="101" t="s">
        <v>17</v>
      </c>
      <c r="AH65" s="101">
        <v>0</v>
      </c>
      <c r="AI65" s="101">
        <v>12.237</v>
      </c>
      <c r="AJ65" s="12">
        <v>2658</v>
      </c>
      <c r="AK65" s="101">
        <v>0.54</v>
      </c>
      <c r="AL65" s="101" t="s">
        <v>18</v>
      </c>
      <c r="AM65" s="101" t="s">
        <v>18</v>
      </c>
      <c r="AN65" s="101" t="s">
        <v>18</v>
      </c>
      <c r="AO65" s="101" t="s">
        <v>18</v>
      </c>
      <c r="AQ65" s="101">
        <v>1</v>
      </c>
      <c r="AS65" s="7">
        <v>39</v>
      </c>
      <c r="AT65" s="23">
        <f t="shared" si="0"/>
        <v>-0.73927711179999989</v>
      </c>
      <c r="AU65" s="103">
        <f t="shared" si="1"/>
        <v>504.23672368536</v>
      </c>
      <c r="AW65" s="60">
        <f t="shared" si="8"/>
        <v>1.6946084999998945E-2</v>
      </c>
      <c r="AX65" s="61">
        <f t="shared" si="9"/>
        <v>527.17973220971999</v>
      </c>
      <c r="AZ65" s="23">
        <f t="shared" si="10"/>
        <v>-0.73927711179999989</v>
      </c>
      <c r="BA65" s="103">
        <f t="shared" si="11"/>
        <v>504.23672368536</v>
      </c>
      <c r="BC65" s="104">
        <f t="shared" si="12"/>
        <v>-9.4591698800000179E-2</v>
      </c>
      <c r="BD65" s="105">
        <f t="shared" si="13"/>
        <v>445.52830211871998</v>
      </c>
    </row>
    <row r="66" spans="1:56" s="101" customFormat="1" ht="14.4" x14ac:dyDescent="0.3">
      <c r="A66" s="101">
        <v>39</v>
      </c>
      <c r="B66" s="101" t="s">
        <v>408</v>
      </c>
      <c r="C66" s="20">
        <v>44411.536504629628</v>
      </c>
      <c r="D66" s="101" t="s">
        <v>25</v>
      </c>
      <c r="E66" s="101" t="s">
        <v>17</v>
      </c>
      <c r="F66" s="101">
        <v>0</v>
      </c>
      <c r="G66" s="101">
        <v>6.0590000000000002</v>
      </c>
      <c r="H66" s="12">
        <v>1892</v>
      </c>
      <c r="I66" s="101">
        <v>-1E-3</v>
      </c>
      <c r="J66" s="101" t="s">
        <v>18</v>
      </c>
      <c r="K66" s="101" t="s">
        <v>18</v>
      </c>
      <c r="L66" s="101" t="s">
        <v>18</v>
      </c>
      <c r="M66" s="101" t="s">
        <v>18</v>
      </c>
      <c r="O66" s="101">
        <v>39</v>
      </c>
      <c r="P66" s="101" t="s">
        <v>408</v>
      </c>
      <c r="Q66" s="20">
        <v>44411.536504629628</v>
      </c>
      <c r="R66" s="101" t="s">
        <v>25</v>
      </c>
      <c r="S66" s="101" t="s">
        <v>17</v>
      </c>
      <c r="T66" s="101">
        <v>0</v>
      </c>
      <c r="U66" s="101" t="s">
        <v>18</v>
      </c>
      <c r="V66" s="12" t="s">
        <v>18</v>
      </c>
      <c r="W66" s="101" t="s">
        <v>18</v>
      </c>
      <c r="X66" s="101" t="s">
        <v>18</v>
      </c>
      <c r="Y66" s="101" t="s">
        <v>18</v>
      </c>
      <c r="Z66" s="101" t="s">
        <v>18</v>
      </c>
      <c r="AA66" s="101" t="s">
        <v>18</v>
      </c>
      <c r="AC66" s="101">
        <v>39</v>
      </c>
      <c r="AD66" s="101" t="s">
        <v>408</v>
      </c>
      <c r="AE66" s="20">
        <v>44411.536504629628</v>
      </c>
      <c r="AF66" s="101" t="s">
        <v>25</v>
      </c>
      <c r="AG66" s="101" t="s">
        <v>17</v>
      </c>
      <c r="AH66" s="101">
        <v>0</v>
      </c>
      <c r="AI66" s="101">
        <v>12.231999999999999</v>
      </c>
      <c r="AJ66" s="12">
        <v>1987</v>
      </c>
      <c r="AK66" s="101">
        <v>0.40600000000000003</v>
      </c>
      <c r="AL66" s="101" t="s">
        <v>18</v>
      </c>
      <c r="AM66" s="101" t="s">
        <v>18</v>
      </c>
      <c r="AN66" s="101" t="s">
        <v>18</v>
      </c>
      <c r="AO66" s="101" t="s">
        <v>18</v>
      </c>
      <c r="AQ66" s="101">
        <v>1</v>
      </c>
      <c r="AS66" s="7">
        <v>40</v>
      </c>
      <c r="AT66" s="23">
        <f t="shared" si="0"/>
        <v>0.31067447120000047</v>
      </c>
      <c r="AU66" s="103">
        <f t="shared" si="1"/>
        <v>375.99220277206001</v>
      </c>
      <c r="AW66" s="60">
        <f t="shared" si="8"/>
        <v>0.82292786000000007</v>
      </c>
      <c r="AX66" s="61">
        <f t="shared" si="9"/>
        <v>402.97197343187003</v>
      </c>
      <c r="AZ66" s="23">
        <f t="shared" si="10"/>
        <v>0.31067447120000047</v>
      </c>
      <c r="BA66" s="103">
        <f t="shared" si="11"/>
        <v>375.99220277206001</v>
      </c>
      <c r="BC66" s="104">
        <f t="shared" si="12"/>
        <v>0.29475597919999985</v>
      </c>
      <c r="BD66" s="105">
        <f t="shared" si="13"/>
        <v>306.91214272712</v>
      </c>
    </row>
    <row r="67" spans="1:56" s="101" customFormat="1" ht="14.4" x14ac:dyDescent="0.3">
      <c r="A67" s="101">
        <v>60</v>
      </c>
      <c r="B67" s="101" t="s">
        <v>409</v>
      </c>
      <c r="C67" s="20">
        <v>44412.443009259259</v>
      </c>
      <c r="D67" s="101" t="s">
        <v>25</v>
      </c>
      <c r="E67" s="101" t="s">
        <v>17</v>
      </c>
      <c r="F67" s="101">
        <v>0</v>
      </c>
      <c r="G67" s="101">
        <v>6.0570000000000004</v>
      </c>
      <c r="H67" s="12">
        <v>1865</v>
      </c>
      <c r="I67" s="101">
        <v>-1E-3</v>
      </c>
      <c r="J67" s="101" t="s">
        <v>18</v>
      </c>
      <c r="K67" s="101" t="s">
        <v>18</v>
      </c>
      <c r="L67" s="101" t="s">
        <v>18</v>
      </c>
      <c r="M67" s="101" t="s">
        <v>18</v>
      </c>
      <c r="O67" s="101">
        <v>60</v>
      </c>
      <c r="P67" s="101" t="s">
        <v>409</v>
      </c>
      <c r="Q67" s="20">
        <v>44412.443009259259</v>
      </c>
      <c r="R67" s="101" t="s">
        <v>25</v>
      </c>
      <c r="S67" s="101" t="s">
        <v>17</v>
      </c>
      <c r="T67" s="101">
        <v>0</v>
      </c>
      <c r="U67" s="101" t="s">
        <v>18</v>
      </c>
      <c r="V67" s="12" t="s">
        <v>18</v>
      </c>
      <c r="W67" s="101" t="s">
        <v>18</v>
      </c>
      <c r="X67" s="101" t="s">
        <v>18</v>
      </c>
      <c r="Y67" s="101" t="s">
        <v>18</v>
      </c>
      <c r="Z67" s="101" t="s">
        <v>18</v>
      </c>
      <c r="AA67" s="101" t="s">
        <v>18</v>
      </c>
      <c r="AC67" s="101">
        <v>60</v>
      </c>
      <c r="AD67" s="101" t="s">
        <v>409</v>
      </c>
      <c r="AE67" s="20">
        <v>44412.443009259259</v>
      </c>
      <c r="AF67" s="101" t="s">
        <v>25</v>
      </c>
      <c r="AG67" s="101" t="s">
        <v>17</v>
      </c>
      <c r="AH67" s="101">
        <v>0</v>
      </c>
      <c r="AI67" s="101">
        <v>12.22</v>
      </c>
      <c r="AJ67" s="12">
        <v>2522</v>
      </c>
      <c r="AK67" s="101">
        <v>0.51300000000000001</v>
      </c>
      <c r="AL67" s="101" t="s">
        <v>18</v>
      </c>
      <c r="AM67" s="101" t="s">
        <v>18</v>
      </c>
      <c r="AN67" s="101" t="s">
        <v>18</v>
      </c>
      <c r="AO67" s="101" t="s">
        <v>18</v>
      </c>
      <c r="AQ67" s="101">
        <v>1</v>
      </c>
      <c r="AS67" s="7">
        <v>41</v>
      </c>
      <c r="AT67" s="23">
        <f t="shared" si="0"/>
        <v>0.21333186125000037</v>
      </c>
      <c r="AU67" s="103">
        <f t="shared" si="1"/>
        <v>478.24497853016004</v>
      </c>
      <c r="AW67" s="60">
        <f t="shared" si="8"/>
        <v>0.74773728124999916</v>
      </c>
      <c r="AX67" s="61">
        <f t="shared" si="9"/>
        <v>502.00955241931996</v>
      </c>
      <c r="AZ67" s="23">
        <f t="shared" si="10"/>
        <v>0.21333186125000037</v>
      </c>
      <c r="BA67" s="103">
        <f t="shared" si="11"/>
        <v>478.24497853016004</v>
      </c>
      <c r="BC67" s="104">
        <f t="shared" si="12"/>
        <v>0.25747459250000015</v>
      </c>
      <c r="BD67" s="105">
        <f t="shared" si="13"/>
        <v>417.43508044832009</v>
      </c>
    </row>
    <row r="68" spans="1:56" s="101" customFormat="1" ht="14.4" x14ac:dyDescent="0.3">
      <c r="A68" s="101">
        <v>105</v>
      </c>
      <c r="B68" s="101" t="s">
        <v>410</v>
      </c>
      <c r="C68" s="20">
        <v>44413.430879629632</v>
      </c>
      <c r="D68" s="101" t="s">
        <v>25</v>
      </c>
      <c r="E68" s="101" t="s">
        <v>17</v>
      </c>
      <c r="F68" s="101">
        <v>0</v>
      </c>
      <c r="G68" s="101">
        <v>6.07</v>
      </c>
      <c r="H68" s="12">
        <v>1981</v>
      </c>
      <c r="I68" s="101">
        <v>-1E-3</v>
      </c>
      <c r="J68" s="101" t="s">
        <v>18</v>
      </c>
      <c r="K68" s="101" t="s">
        <v>18</v>
      </c>
      <c r="L68" s="101" t="s">
        <v>18</v>
      </c>
      <c r="M68" s="101" t="s">
        <v>18</v>
      </c>
      <c r="O68" s="101">
        <v>105</v>
      </c>
      <c r="P68" s="101" t="s">
        <v>410</v>
      </c>
      <c r="Q68" s="20">
        <v>44413.430879629632</v>
      </c>
      <c r="R68" s="101" t="s">
        <v>25</v>
      </c>
      <c r="S68" s="101" t="s">
        <v>17</v>
      </c>
      <c r="T68" s="101">
        <v>0</v>
      </c>
      <c r="U68" s="101" t="s">
        <v>18</v>
      </c>
      <c r="V68" s="101" t="s">
        <v>18</v>
      </c>
      <c r="W68" s="101" t="s">
        <v>18</v>
      </c>
      <c r="X68" s="101" t="s">
        <v>18</v>
      </c>
      <c r="Y68" s="101" t="s">
        <v>18</v>
      </c>
      <c r="Z68" s="101" t="s">
        <v>18</v>
      </c>
      <c r="AA68" s="101" t="s">
        <v>18</v>
      </c>
      <c r="AC68" s="101">
        <v>105</v>
      </c>
      <c r="AD68" s="101" t="s">
        <v>410</v>
      </c>
      <c r="AE68" s="20">
        <v>44413.430879629632</v>
      </c>
      <c r="AF68" s="101" t="s">
        <v>25</v>
      </c>
      <c r="AG68" s="101" t="s">
        <v>17</v>
      </c>
      <c r="AH68" s="101">
        <v>0</v>
      </c>
      <c r="AI68" s="101">
        <v>12.244</v>
      </c>
      <c r="AJ68" s="12">
        <v>3867</v>
      </c>
      <c r="AK68" s="101">
        <v>0.78200000000000003</v>
      </c>
      <c r="AL68" s="101" t="s">
        <v>18</v>
      </c>
      <c r="AM68" s="101" t="s">
        <v>18</v>
      </c>
      <c r="AN68" s="101" t="s">
        <v>18</v>
      </c>
      <c r="AO68" s="101" t="s">
        <v>18</v>
      </c>
      <c r="AQ68" s="101">
        <v>1</v>
      </c>
      <c r="AS68" s="7">
        <v>42</v>
      </c>
      <c r="AT68" s="23">
        <f t="shared" si="0"/>
        <v>0.63094628004999986</v>
      </c>
      <c r="AU68" s="103">
        <f t="shared" si="1"/>
        <v>735.26925301686003</v>
      </c>
      <c r="AW68" s="60">
        <f t="shared" si="8"/>
        <v>1.0709976712499998</v>
      </c>
      <c r="AX68" s="61">
        <f t="shared" si="9"/>
        <v>750.83315694147007</v>
      </c>
      <c r="AZ68" s="23">
        <f t="shared" si="10"/>
        <v>0.63094628004999986</v>
      </c>
      <c r="BA68" s="103">
        <f t="shared" si="11"/>
        <v>735.26925301686003</v>
      </c>
      <c r="BC68" s="104">
        <f t="shared" si="12"/>
        <v>0.41914655329999984</v>
      </c>
      <c r="BD68" s="105">
        <f t="shared" si="13"/>
        <v>695.22728185671997</v>
      </c>
    </row>
    <row r="69" spans="1:56" s="101" customFormat="1" ht="14.4" x14ac:dyDescent="0.3">
      <c r="A69" s="101">
        <v>147</v>
      </c>
      <c r="B69" s="101" t="s">
        <v>411</v>
      </c>
      <c r="C69" s="20">
        <v>44414.417905092596</v>
      </c>
      <c r="D69" s="101" t="s">
        <v>25</v>
      </c>
      <c r="E69" s="101" t="s">
        <v>17</v>
      </c>
      <c r="F69" s="101">
        <v>0</v>
      </c>
      <c r="G69" s="101">
        <v>6.0730000000000004</v>
      </c>
      <c r="H69" s="12">
        <v>2052</v>
      </c>
      <c r="I69" s="101">
        <v>-1E-3</v>
      </c>
      <c r="J69" s="101" t="s">
        <v>18</v>
      </c>
      <c r="K69" s="101" t="s">
        <v>18</v>
      </c>
      <c r="L69" s="101" t="s">
        <v>18</v>
      </c>
      <c r="M69" s="101" t="s">
        <v>18</v>
      </c>
      <c r="O69" s="101">
        <v>147</v>
      </c>
      <c r="P69" s="101" t="s">
        <v>411</v>
      </c>
      <c r="Q69" s="20">
        <v>44414.417905092596</v>
      </c>
      <c r="R69" s="101" t="s">
        <v>25</v>
      </c>
      <c r="S69" s="101" t="s">
        <v>17</v>
      </c>
      <c r="T69" s="101">
        <v>0</v>
      </c>
      <c r="U69" s="101" t="s">
        <v>18</v>
      </c>
      <c r="V69" s="101" t="s">
        <v>18</v>
      </c>
      <c r="W69" s="101" t="s">
        <v>18</v>
      </c>
      <c r="X69" s="101" t="s">
        <v>18</v>
      </c>
      <c r="Y69" s="101" t="s">
        <v>18</v>
      </c>
      <c r="Z69" s="101" t="s">
        <v>18</v>
      </c>
      <c r="AA69" s="101" t="s">
        <v>18</v>
      </c>
      <c r="AC69" s="101">
        <v>147</v>
      </c>
      <c r="AD69" s="101" t="s">
        <v>411</v>
      </c>
      <c r="AE69" s="20">
        <v>44414.417905092596</v>
      </c>
      <c r="AF69" s="101" t="s">
        <v>25</v>
      </c>
      <c r="AG69" s="101" t="s">
        <v>17</v>
      </c>
      <c r="AH69" s="101">
        <v>0</v>
      </c>
      <c r="AI69" s="101">
        <v>12.247</v>
      </c>
      <c r="AJ69" s="12">
        <v>1963</v>
      </c>
      <c r="AK69" s="101">
        <v>0.40100000000000002</v>
      </c>
      <c r="AL69" s="101" t="s">
        <v>18</v>
      </c>
      <c r="AM69" s="101" t="s">
        <v>18</v>
      </c>
      <c r="AN69" s="101" t="s">
        <v>18</v>
      </c>
      <c r="AO69" s="101" t="s">
        <v>18</v>
      </c>
      <c r="AQ69" s="101">
        <v>1</v>
      </c>
      <c r="AS69" s="7">
        <v>43</v>
      </c>
      <c r="AT69" s="23">
        <f t="shared" si="0"/>
        <v>0.88578570319999983</v>
      </c>
      <c r="AU69" s="103">
        <f t="shared" si="1"/>
        <v>371.40494422006003</v>
      </c>
      <c r="AW69" s="60">
        <f t="shared" si="8"/>
        <v>1.2691374599999996</v>
      </c>
      <c r="AX69" s="61">
        <f t="shared" si="9"/>
        <v>398.52832402786999</v>
      </c>
      <c r="AZ69" s="23">
        <f t="shared" si="10"/>
        <v>0.88578570319999983</v>
      </c>
      <c r="BA69" s="103">
        <f t="shared" si="11"/>
        <v>371.40494422006003</v>
      </c>
      <c r="BC69" s="104">
        <f t="shared" si="12"/>
        <v>0.52003009119999999</v>
      </c>
      <c r="BD69" s="105">
        <f t="shared" si="13"/>
        <v>301.95376202312002</v>
      </c>
    </row>
    <row r="70" spans="1:56" s="101" customFormat="1" ht="14.4" x14ac:dyDescent="0.3">
      <c r="A70" s="101">
        <v>39</v>
      </c>
      <c r="B70" s="101" t="s">
        <v>412</v>
      </c>
      <c r="C70" s="20">
        <v>44418.445983796293</v>
      </c>
      <c r="D70" s="101" t="s">
        <v>25</v>
      </c>
      <c r="E70" s="101" t="s">
        <v>17</v>
      </c>
      <c r="F70" s="101">
        <v>0</v>
      </c>
      <c r="G70" s="101">
        <v>6.0679999999999996</v>
      </c>
      <c r="H70" s="12">
        <v>2390</v>
      </c>
      <c r="I70" s="101">
        <v>0</v>
      </c>
      <c r="J70" s="101" t="s">
        <v>18</v>
      </c>
      <c r="K70" s="101" t="s">
        <v>18</v>
      </c>
      <c r="L70" s="101" t="s">
        <v>18</v>
      </c>
      <c r="M70" s="101" t="s">
        <v>18</v>
      </c>
      <c r="O70" s="101">
        <v>39</v>
      </c>
      <c r="P70" s="101" t="s">
        <v>412</v>
      </c>
      <c r="Q70" s="20">
        <v>44418.445983796293</v>
      </c>
      <c r="R70" s="101" t="s">
        <v>25</v>
      </c>
      <c r="S70" s="101" t="s">
        <v>17</v>
      </c>
      <c r="T70" s="101">
        <v>0</v>
      </c>
      <c r="U70" s="101" t="s">
        <v>18</v>
      </c>
      <c r="V70" s="12" t="s">
        <v>18</v>
      </c>
      <c r="W70" s="101" t="s">
        <v>18</v>
      </c>
      <c r="X70" s="101" t="s">
        <v>18</v>
      </c>
      <c r="Y70" s="101" t="s">
        <v>18</v>
      </c>
      <c r="Z70" s="101" t="s">
        <v>18</v>
      </c>
      <c r="AA70" s="101" t="s">
        <v>18</v>
      </c>
      <c r="AC70" s="101">
        <v>39</v>
      </c>
      <c r="AD70" s="101" t="s">
        <v>412</v>
      </c>
      <c r="AE70" s="20">
        <v>44418.445983796293</v>
      </c>
      <c r="AF70" s="101" t="s">
        <v>25</v>
      </c>
      <c r="AG70" s="101" t="s">
        <v>17</v>
      </c>
      <c r="AH70" s="101">
        <v>0</v>
      </c>
      <c r="AI70" s="101">
        <v>12.198</v>
      </c>
      <c r="AJ70" s="12">
        <v>2343</v>
      </c>
      <c r="AK70" s="101">
        <v>0.47699999999999998</v>
      </c>
      <c r="AL70" s="101" t="s">
        <v>18</v>
      </c>
      <c r="AM70" s="101" t="s">
        <v>18</v>
      </c>
      <c r="AN70" s="101" t="s">
        <v>18</v>
      </c>
      <c r="AO70" s="101" t="s">
        <v>18</v>
      </c>
      <c r="AQ70" s="101">
        <v>1</v>
      </c>
      <c r="AS70" s="7">
        <v>44</v>
      </c>
      <c r="AT70" s="23">
        <f t="shared" si="0"/>
        <v>2.0909538049999998</v>
      </c>
      <c r="AU70" s="103">
        <f t="shared" si="1"/>
        <v>444.03433830725999</v>
      </c>
      <c r="AW70" s="60">
        <f t="shared" si="8"/>
        <v>2.2153321249999998</v>
      </c>
      <c r="AX70" s="61">
        <f t="shared" si="9"/>
        <v>468.87761473226999</v>
      </c>
      <c r="AZ70" s="23">
        <f t="shared" si="10"/>
        <v>2.0909538049999998</v>
      </c>
      <c r="BA70" s="103">
        <f t="shared" si="11"/>
        <v>444.03433830725999</v>
      </c>
      <c r="BC70" s="104">
        <f t="shared" si="12"/>
        <v>1.02037913</v>
      </c>
      <c r="BD70" s="105">
        <f t="shared" si="13"/>
        <v>380.45800415752001</v>
      </c>
    </row>
    <row r="71" spans="1:56" s="101" customFormat="1" ht="14.4" x14ac:dyDescent="0.3">
      <c r="A71" s="101">
        <v>65</v>
      </c>
      <c r="B71" s="101" t="s">
        <v>413</v>
      </c>
      <c r="C71" s="20">
        <v>44425.484016203707</v>
      </c>
      <c r="D71" s="101" t="s">
        <v>25</v>
      </c>
      <c r="E71" s="101" t="s">
        <v>17</v>
      </c>
      <c r="F71" s="101">
        <v>0</v>
      </c>
      <c r="G71" s="101">
        <v>6.0609999999999999</v>
      </c>
      <c r="H71" s="12">
        <v>1958</v>
      </c>
      <c r="I71" s="101">
        <v>-1E-3</v>
      </c>
      <c r="J71" s="101" t="s">
        <v>18</v>
      </c>
      <c r="K71" s="101" t="s">
        <v>18</v>
      </c>
      <c r="L71" s="101" t="s">
        <v>18</v>
      </c>
      <c r="M71" s="101" t="s">
        <v>18</v>
      </c>
      <c r="O71" s="101">
        <v>65</v>
      </c>
      <c r="P71" s="101" t="s">
        <v>413</v>
      </c>
      <c r="Q71" s="20">
        <v>44425.484016203707</v>
      </c>
      <c r="R71" s="101" t="s">
        <v>25</v>
      </c>
      <c r="S71" s="101" t="s">
        <v>17</v>
      </c>
      <c r="T71" s="101">
        <v>0</v>
      </c>
      <c r="U71" s="101" t="s">
        <v>18</v>
      </c>
      <c r="V71" s="12" t="s">
        <v>18</v>
      </c>
      <c r="W71" s="101" t="s">
        <v>18</v>
      </c>
      <c r="X71" s="101" t="s">
        <v>18</v>
      </c>
      <c r="Y71" s="101" t="s">
        <v>18</v>
      </c>
      <c r="Z71" s="101" t="s">
        <v>18</v>
      </c>
      <c r="AA71" s="101" t="s">
        <v>18</v>
      </c>
      <c r="AC71" s="101">
        <v>65</v>
      </c>
      <c r="AD71" s="101" t="s">
        <v>413</v>
      </c>
      <c r="AE71" s="20">
        <v>44425.484016203707</v>
      </c>
      <c r="AF71" s="101" t="s">
        <v>25</v>
      </c>
      <c r="AG71" s="101" t="s">
        <v>17</v>
      </c>
      <c r="AH71" s="101">
        <v>0</v>
      </c>
      <c r="AI71" s="101">
        <v>12.205</v>
      </c>
      <c r="AJ71" s="12">
        <v>2365</v>
      </c>
      <c r="AK71" s="101">
        <v>0.48199999999999998</v>
      </c>
      <c r="AL71" s="101" t="s">
        <v>18</v>
      </c>
      <c r="AM71" s="101" t="s">
        <v>18</v>
      </c>
      <c r="AN71" s="101" t="s">
        <v>18</v>
      </c>
      <c r="AO71" s="101" t="s">
        <v>18</v>
      </c>
      <c r="AQ71" s="101">
        <v>1</v>
      </c>
      <c r="AS71" s="7">
        <v>45</v>
      </c>
      <c r="AT71" s="23">
        <f t="shared" si="0"/>
        <v>0.5482673762000001</v>
      </c>
      <c r="AU71" s="103">
        <f t="shared" si="1"/>
        <v>448.23905416150006</v>
      </c>
      <c r="AW71" s="60">
        <f t="shared" si="8"/>
        <v>1.0068574849999994</v>
      </c>
      <c r="AX71" s="61">
        <f t="shared" si="9"/>
        <v>472.94991326675</v>
      </c>
      <c r="AZ71" s="23">
        <f t="shared" si="10"/>
        <v>0.5482673762000001</v>
      </c>
      <c r="BA71" s="103">
        <f t="shared" si="11"/>
        <v>448.23905416150006</v>
      </c>
      <c r="BC71" s="104">
        <f t="shared" si="12"/>
        <v>0.38678010920000028</v>
      </c>
      <c r="BD71" s="105">
        <f t="shared" si="13"/>
        <v>385.00276089800002</v>
      </c>
    </row>
    <row r="72" spans="1:56" s="101" customFormat="1" ht="14.4" x14ac:dyDescent="0.3">
      <c r="A72" s="101">
        <v>39</v>
      </c>
      <c r="B72" s="101" t="s">
        <v>414</v>
      </c>
      <c r="C72" s="20">
        <v>44432.654768518521</v>
      </c>
      <c r="D72" s="101" t="s">
        <v>25</v>
      </c>
      <c r="E72" s="101" t="s">
        <v>17</v>
      </c>
      <c r="F72" s="101">
        <v>0</v>
      </c>
      <c r="G72" s="101">
        <v>6.0789999999999997</v>
      </c>
      <c r="H72" s="12">
        <v>2239</v>
      </c>
      <c r="I72" s="101">
        <v>0</v>
      </c>
      <c r="J72" s="101" t="s">
        <v>18</v>
      </c>
      <c r="K72" s="101" t="s">
        <v>18</v>
      </c>
      <c r="L72" s="101" t="s">
        <v>18</v>
      </c>
      <c r="M72" s="101" t="s">
        <v>18</v>
      </c>
      <c r="O72" s="101">
        <v>39</v>
      </c>
      <c r="P72" s="101" t="s">
        <v>414</v>
      </c>
      <c r="Q72" s="20">
        <v>44432.654768518521</v>
      </c>
      <c r="R72" s="101" t="s">
        <v>25</v>
      </c>
      <c r="S72" s="101" t="s">
        <v>17</v>
      </c>
      <c r="T72" s="101">
        <v>0</v>
      </c>
      <c r="U72" s="101" t="s">
        <v>18</v>
      </c>
      <c r="V72" s="12" t="s">
        <v>18</v>
      </c>
      <c r="W72" s="101" t="s">
        <v>18</v>
      </c>
      <c r="X72" s="101" t="s">
        <v>18</v>
      </c>
      <c r="Y72" s="101" t="s">
        <v>18</v>
      </c>
      <c r="Z72" s="101" t="s">
        <v>18</v>
      </c>
      <c r="AA72" s="101" t="s">
        <v>18</v>
      </c>
      <c r="AC72" s="101">
        <v>39</v>
      </c>
      <c r="AD72" s="101" t="s">
        <v>414</v>
      </c>
      <c r="AE72" s="20">
        <v>44432.654768518521</v>
      </c>
      <c r="AF72" s="101" t="s">
        <v>25</v>
      </c>
      <c r="AG72" s="101" t="s">
        <v>17</v>
      </c>
      <c r="AH72" s="101">
        <v>0</v>
      </c>
      <c r="AI72" s="101">
        <v>12.224</v>
      </c>
      <c r="AJ72" s="12">
        <v>2437</v>
      </c>
      <c r="AK72" s="101">
        <v>0.496</v>
      </c>
      <c r="AL72" s="101" t="s">
        <v>18</v>
      </c>
      <c r="AM72" s="101" t="s">
        <v>18</v>
      </c>
      <c r="AN72" s="101" t="s">
        <v>18</v>
      </c>
      <c r="AO72" s="101" t="s">
        <v>18</v>
      </c>
      <c r="AQ72" s="101">
        <v>1</v>
      </c>
      <c r="AR72" s="101" t="s">
        <v>415</v>
      </c>
      <c r="AS72" s="7">
        <v>46</v>
      </c>
      <c r="AT72" s="23">
        <f t="shared" si="0"/>
        <v>1.55418663805</v>
      </c>
      <c r="AU72" s="103">
        <f t="shared" si="1"/>
        <v>461.99983236406001</v>
      </c>
      <c r="AW72" s="60">
        <f t="shared" si="8"/>
        <v>1.7920238212499999</v>
      </c>
      <c r="AX72" s="61">
        <f t="shared" si="9"/>
        <v>486.27701091587005</v>
      </c>
      <c r="AZ72" s="23">
        <f t="shared" si="10"/>
        <v>1.55418663805</v>
      </c>
      <c r="BA72" s="103">
        <f t="shared" si="11"/>
        <v>461.99983236406001</v>
      </c>
      <c r="BC72" s="104">
        <f t="shared" si="12"/>
        <v>0.79274758130000023</v>
      </c>
      <c r="BD72" s="105">
        <f t="shared" si="13"/>
        <v>399.87633751111997</v>
      </c>
    </row>
    <row r="73" spans="1:56" s="101" customFormat="1" ht="14.4" x14ac:dyDescent="0.3">
      <c r="A73" s="101">
        <v>39</v>
      </c>
      <c r="B73" s="101" t="s">
        <v>416</v>
      </c>
      <c r="C73" s="20">
        <v>44440.508067129631</v>
      </c>
      <c r="D73" s="101" t="s">
        <v>25</v>
      </c>
      <c r="E73" s="101" t="s">
        <v>17</v>
      </c>
      <c r="F73" s="101">
        <v>0</v>
      </c>
      <c r="G73" s="101">
        <v>6.0629999999999997</v>
      </c>
      <c r="H73" s="12">
        <v>2537</v>
      </c>
      <c r="I73" s="101">
        <v>0</v>
      </c>
      <c r="J73" s="101" t="s">
        <v>18</v>
      </c>
      <c r="K73" s="101" t="s">
        <v>18</v>
      </c>
      <c r="L73" s="101" t="s">
        <v>18</v>
      </c>
      <c r="M73" s="101" t="s">
        <v>18</v>
      </c>
      <c r="O73" s="101">
        <v>39</v>
      </c>
      <c r="P73" s="101" t="s">
        <v>416</v>
      </c>
      <c r="Q73" s="20">
        <v>44440.508067129631</v>
      </c>
      <c r="R73" s="101" t="s">
        <v>25</v>
      </c>
      <c r="S73" s="101" t="s">
        <v>17</v>
      </c>
      <c r="T73" s="101">
        <v>0</v>
      </c>
      <c r="U73" s="101" t="s">
        <v>18</v>
      </c>
      <c r="V73" s="12" t="s">
        <v>18</v>
      </c>
      <c r="W73" s="101" t="s">
        <v>18</v>
      </c>
      <c r="X73" s="101" t="s">
        <v>18</v>
      </c>
      <c r="Y73" s="101" t="s">
        <v>18</v>
      </c>
      <c r="Z73" s="101" t="s">
        <v>18</v>
      </c>
      <c r="AA73" s="101" t="s">
        <v>18</v>
      </c>
      <c r="AC73" s="101">
        <v>39</v>
      </c>
      <c r="AD73" s="101" t="s">
        <v>416</v>
      </c>
      <c r="AE73" s="20">
        <v>44440.508067129631</v>
      </c>
      <c r="AF73" s="101" t="s">
        <v>25</v>
      </c>
      <c r="AG73" s="101" t="s">
        <v>17</v>
      </c>
      <c r="AH73" s="101">
        <v>0</v>
      </c>
      <c r="AI73" s="101">
        <v>12.218</v>
      </c>
      <c r="AJ73" s="12">
        <v>3832</v>
      </c>
      <c r="AK73" s="101">
        <v>0.77500000000000002</v>
      </c>
      <c r="AL73" s="101" t="s">
        <v>18</v>
      </c>
      <c r="AM73" s="101" t="s">
        <v>18</v>
      </c>
      <c r="AN73" s="101" t="s">
        <v>18</v>
      </c>
      <c r="AO73" s="101" t="s">
        <v>18</v>
      </c>
      <c r="AQ73" s="101">
        <v>1</v>
      </c>
      <c r="AS73" s="7">
        <v>47</v>
      </c>
      <c r="AT73" s="23">
        <f t="shared" si="0"/>
        <v>2.6109634164499997</v>
      </c>
      <c r="AU73" s="103">
        <f t="shared" si="1"/>
        <v>728.58163451776011</v>
      </c>
      <c r="AW73" s="60">
        <f t="shared" si="8"/>
        <v>2.6283578412499997</v>
      </c>
      <c r="AX73" s="61">
        <f t="shared" si="9"/>
        <v>744.36107125952003</v>
      </c>
      <c r="AZ73" s="23">
        <f t="shared" si="10"/>
        <v>2.6109634164499997</v>
      </c>
      <c r="BA73" s="103">
        <f t="shared" si="11"/>
        <v>728.58163451776011</v>
      </c>
      <c r="BC73" s="104">
        <f t="shared" si="12"/>
        <v>1.2483457157</v>
      </c>
      <c r="BD73" s="105">
        <f t="shared" si="13"/>
        <v>687.99965860351995</v>
      </c>
    </row>
    <row r="74" spans="1:56" s="101" customFormat="1" ht="14.4" x14ac:dyDescent="0.3">
      <c r="A74" s="101">
        <v>39</v>
      </c>
      <c r="B74" s="101" t="s">
        <v>417</v>
      </c>
      <c r="C74" s="20">
        <v>44446.524814814817</v>
      </c>
      <c r="D74" s="101" t="s">
        <v>25</v>
      </c>
      <c r="E74" s="101" t="s">
        <v>17</v>
      </c>
      <c r="F74" s="101">
        <v>0</v>
      </c>
      <c r="G74" s="101">
        <v>6.0709999999999997</v>
      </c>
      <c r="H74" s="12">
        <v>2728</v>
      </c>
      <c r="I74" s="101">
        <v>1E-3</v>
      </c>
      <c r="J74" s="101" t="s">
        <v>18</v>
      </c>
      <c r="K74" s="101" t="s">
        <v>18</v>
      </c>
      <c r="L74" s="101" t="s">
        <v>18</v>
      </c>
      <c r="M74" s="101" t="s">
        <v>18</v>
      </c>
      <c r="O74" s="101">
        <v>39</v>
      </c>
      <c r="P74" s="101" t="s">
        <v>417</v>
      </c>
      <c r="Q74" s="20">
        <v>44446.524814814817</v>
      </c>
      <c r="R74" s="101" t="s">
        <v>25</v>
      </c>
      <c r="S74" s="101" t="s">
        <v>17</v>
      </c>
      <c r="T74" s="101">
        <v>0</v>
      </c>
      <c r="U74" s="101" t="s">
        <v>18</v>
      </c>
      <c r="V74" s="12" t="s">
        <v>18</v>
      </c>
      <c r="W74" s="101" t="s">
        <v>18</v>
      </c>
      <c r="X74" s="101" t="s">
        <v>18</v>
      </c>
      <c r="Y74" s="101" t="s">
        <v>18</v>
      </c>
      <c r="Z74" s="101" t="s">
        <v>18</v>
      </c>
      <c r="AA74" s="101" t="s">
        <v>18</v>
      </c>
      <c r="AC74" s="101">
        <v>39</v>
      </c>
      <c r="AD74" s="101" t="s">
        <v>417</v>
      </c>
      <c r="AE74" s="20">
        <v>44446.524814814817</v>
      </c>
      <c r="AF74" s="101" t="s">
        <v>25</v>
      </c>
      <c r="AG74" s="101" t="s">
        <v>17</v>
      </c>
      <c r="AH74" s="101">
        <v>0</v>
      </c>
      <c r="AI74" s="101">
        <v>12.22</v>
      </c>
      <c r="AJ74" s="12">
        <v>2662</v>
      </c>
      <c r="AK74" s="101">
        <v>0.54100000000000004</v>
      </c>
      <c r="AL74" s="101" t="s">
        <v>18</v>
      </c>
      <c r="AM74" s="101" t="s">
        <v>18</v>
      </c>
      <c r="AN74" s="101" t="s">
        <v>18</v>
      </c>
      <c r="AO74" s="101" t="s">
        <v>18</v>
      </c>
      <c r="AQ74" s="101">
        <v>1</v>
      </c>
      <c r="AS74" s="7">
        <v>48</v>
      </c>
      <c r="AT74" s="23">
        <f t="shared" si="0"/>
        <v>3.2828810272000002</v>
      </c>
      <c r="AU74" s="103">
        <f t="shared" si="1"/>
        <v>505.00117767256</v>
      </c>
      <c r="AW74" s="60">
        <f t="shared" si="8"/>
        <v>3.1663821599999995</v>
      </c>
      <c r="AX74" s="61">
        <f t="shared" si="9"/>
        <v>527.91999646412</v>
      </c>
      <c r="AZ74" s="23">
        <f t="shared" si="10"/>
        <v>3.2828810272000002</v>
      </c>
      <c r="BA74" s="103">
        <f t="shared" si="11"/>
        <v>505.00117767256</v>
      </c>
      <c r="BC74" s="104">
        <f t="shared" si="12"/>
        <v>1.5539274751999999</v>
      </c>
      <c r="BD74" s="105">
        <f t="shared" si="13"/>
        <v>446.35455905312</v>
      </c>
    </row>
    <row r="75" spans="1:56" s="101" customFormat="1" ht="14.4" x14ac:dyDescent="0.3">
      <c r="A75" s="101">
        <v>39</v>
      </c>
      <c r="B75" s="101" t="s">
        <v>418</v>
      </c>
      <c r="C75" s="20">
        <v>44454.42224537037</v>
      </c>
      <c r="D75" s="101" t="s">
        <v>25</v>
      </c>
      <c r="E75" s="101" t="s">
        <v>17</v>
      </c>
      <c r="F75" s="101">
        <v>0</v>
      </c>
      <c r="G75" s="101">
        <v>6.0659999999999998</v>
      </c>
      <c r="H75" s="12">
        <v>2772</v>
      </c>
      <c r="I75" s="101">
        <v>1E-3</v>
      </c>
      <c r="J75" s="101" t="s">
        <v>18</v>
      </c>
      <c r="K75" s="101" t="s">
        <v>18</v>
      </c>
      <c r="L75" s="101" t="s">
        <v>18</v>
      </c>
      <c r="M75" s="101" t="s">
        <v>18</v>
      </c>
      <c r="O75" s="101">
        <v>39</v>
      </c>
      <c r="P75" s="101" t="s">
        <v>418</v>
      </c>
      <c r="Q75" s="20">
        <v>44454.42224537037</v>
      </c>
      <c r="R75" s="101" t="s">
        <v>25</v>
      </c>
      <c r="S75" s="101" t="s">
        <v>17</v>
      </c>
      <c r="T75" s="101">
        <v>0</v>
      </c>
      <c r="U75" s="101" t="s">
        <v>18</v>
      </c>
      <c r="V75" s="12" t="s">
        <v>18</v>
      </c>
      <c r="W75" s="101" t="s">
        <v>18</v>
      </c>
      <c r="X75" s="101" t="s">
        <v>18</v>
      </c>
      <c r="Y75" s="101" t="s">
        <v>18</v>
      </c>
      <c r="Z75" s="101" t="s">
        <v>18</v>
      </c>
      <c r="AA75" s="101" t="s">
        <v>18</v>
      </c>
      <c r="AC75" s="101">
        <v>39</v>
      </c>
      <c r="AD75" s="101" t="s">
        <v>418</v>
      </c>
      <c r="AE75" s="20">
        <v>44454.42224537037</v>
      </c>
      <c r="AF75" s="101" t="s">
        <v>25</v>
      </c>
      <c r="AG75" s="101" t="s">
        <v>17</v>
      </c>
      <c r="AH75" s="101">
        <v>0</v>
      </c>
      <c r="AI75" s="101">
        <v>12.202999999999999</v>
      </c>
      <c r="AJ75" s="12">
        <v>2672</v>
      </c>
      <c r="AK75" s="101">
        <v>0.54300000000000004</v>
      </c>
      <c r="AL75" s="101" t="s">
        <v>18</v>
      </c>
      <c r="AM75" s="101" t="s">
        <v>18</v>
      </c>
      <c r="AN75" s="101" t="s">
        <v>18</v>
      </c>
      <c r="AO75" s="101" t="s">
        <v>18</v>
      </c>
      <c r="AQ75" s="101">
        <v>1</v>
      </c>
      <c r="AS75" s="7">
        <v>49</v>
      </c>
      <c r="AT75" s="23">
        <f t="shared" si="0"/>
        <v>3.4370691271999991</v>
      </c>
      <c r="AU75" s="103">
        <f t="shared" si="1"/>
        <v>506.91231036416002</v>
      </c>
      <c r="AW75" s="60">
        <f t="shared" si="8"/>
        <v>3.2905446600000001</v>
      </c>
      <c r="AX75" s="61">
        <f t="shared" si="9"/>
        <v>529.77064831231996</v>
      </c>
      <c r="AZ75" s="23">
        <f t="shared" si="10"/>
        <v>3.4370691271999991</v>
      </c>
      <c r="BA75" s="103">
        <f t="shared" si="11"/>
        <v>506.91231036416002</v>
      </c>
      <c r="BC75" s="104">
        <f t="shared" si="12"/>
        <v>1.6258256752</v>
      </c>
      <c r="BD75" s="105">
        <f t="shared" si="13"/>
        <v>448.42019781632001</v>
      </c>
    </row>
    <row r="76" spans="1:56" s="101" customFormat="1" ht="14.4" x14ac:dyDescent="0.3">
      <c r="A76" s="101">
        <v>39</v>
      </c>
      <c r="B76" s="101" t="s">
        <v>419</v>
      </c>
      <c r="C76" s="20">
        <v>44461.441782407404</v>
      </c>
      <c r="D76" s="101" t="s">
        <v>25</v>
      </c>
      <c r="E76" s="101" t="s">
        <v>17</v>
      </c>
      <c r="F76" s="101">
        <v>0</v>
      </c>
      <c r="G76" s="101">
        <v>6.07</v>
      </c>
      <c r="H76" s="12">
        <v>2852</v>
      </c>
      <c r="I76" s="101">
        <v>1E-3</v>
      </c>
      <c r="J76" s="101" t="s">
        <v>18</v>
      </c>
      <c r="K76" s="101" t="s">
        <v>18</v>
      </c>
      <c r="L76" s="101" t="s">
        <v>18</v>
      </c>
      <c r="M76" s="101" t="s">
        <v>18</v>
      </c>
      <c r="O76" s="101">
        <v>39</v>
      </c>
      <c r="P76" s="101" t="s">
        <v>419</v>
      </c>
      <c r="Q76" s="20">
        <v>44461.441782407404</v>
      </c>
      <c r="R76" s="101" t="s">
        <v>25</v>
      </c>
      <c r="S76" s="101" t="s">
        <v>17</v>
      </c>
      <c r="T76" s="101">
        <v>0</v>
      </c>
      <c r="U76" s="101" t="s">
        <v>18</v>
      </c>
      <c r="V76" s="12" t="s">
        <v>18</v>
      </c>
      <c r="W76" s="101" t="s">
        <v>18</v>
      </c>
      <c r="X76" s="101" t="s">
        <v>18</v>
      </c>
      <c r="Y76" s="101" t="s">
        <v>18</v>
      </c>
      <c r="Z76" s="101" t="s">
        <v>18</v>
      </c>
      <c r="AA76" s="101" t="s">
        <v>18</v>
      </c>
      <c r="AC76" s="101">
        <v>39</v>
      </c>
      <c r="AD76" s="101" t="s">
        <v>419</v>
      </c>
      <c r="AE76" s="20">
        <v>44461.441782407404</v>
      </c>
      <c r="AF76" s="101" t="s">
        <v>25</v>
      </c>
      <c r="AG76" s="101" t="s">
        <v>17</v>
      </c>
      <c r="AH76" s="101">
        <v>0</v>
      </c>
      <c r="AI76" s="101">
        <v>12.202999999999999</v>
      </c>
      <c r="AJ76" s="12">
        <v>2856</v>
      </c>
      <c r="AK76" s="101">
        <v>0.57999999999999996</v>
      </c>
      <c r="AL76" s="101" t="s">
        <v>18</v>
      </c>
      <c r="AM76" s="101" t="s">
        <v>18</v>
      </c>
      <c r="AN76" s="101" t="s">
        <v>18</v>
      </c>
      <c r="AO76" s="101" t="s">
        <v>18</v>
      </c>
      <c r="AQ76" s="101">
        <v>1</v>
      </c>
      <c r="AS76" s="7">
        <v>50</v>
      </c>
      <c r="AT76" s="23">
        <f t="shared" si="0"/>
        <v>3.7168362631999994</v>
      </c>
      <c r="AU76" s="103">
        <f t="shared" si="1"/>
        <v>542.07657147264013</v>
      </c>
      <c r="AW76" s="60">
        <f t="shared" si="8"/>
        <v>3.5165054599999985</v>
      </c>
      <c r="AX76" s="61">
        <f t="shared" si="9"/>
        <v>563.82040168128015</v>
      </c>
      <c r="AZ76" s="23">
        <f t="shared" si="10"/>
        <v>3.7168362631999994</v>
      </c>
      <c r="BA76" s="103">
        <f t="shared" si="11"/>
        <v>542.07657147264013</v>
      </c>
      <c r="BC76" s="104">
        <f t="shared" si="12"/>
        <v>1.7579910512000001</v>
      </c>
      <c r="BD76" s="105">
        <f t="shared" si="13"/>
        <v>486.42704009727998</v>
      </c>
    </row>
    <row r="77" spans="1:56" s="101" customFormat="1" ht="14.4" x14ac:dyDescent="0.3">
      <c r="A77" s="101">
        <v>39</v>
      </c>
      <c r="B77" s="101" t="s">
        <v>420</v>
      </c>
      <c r="C77" s="20">
        <v>44467.611909722225</v>
      </c>
      <c r="D77" s="101" t="s">
        <v>25</v>
      </c>
      <c r="E77" s="101" t="s">
        <v>17</v>
      </c>
      <c r="F77" s="101">
        <v>0</v>
      </c>
      <c r="G77" s="101">
        <v>6.0730000000000004</v>
      </c>
      <c r="H77" s="12">
        <v>2699</v>
      </c>
      <c r="I77" s="101">
        <v>1E-3</v>
      </c>
      <c r="J77" s="101" t="s">
        <v>18</v>
      </c>
      <c r="K77" s="101" t="s">
        <v>18</v>
      </c>
      <c r="L77" s="101" t="s">
        <v>18</v>
      </c>
      <c r="M77" s="101" t="s">
        <v>18</v>
      </c>
      <c r="O77" s="101">
        <v>39</v>
      </c>
      <c r="P77" s="101" t="s">
        <v>420</v>
      </c>
      <c r="Q77" s="20">
        <v>44467.611909722225</v>
      </c>
      <c r="R77" s="101" t="s">
        <v>25</v>
      </c>
      <c r="S77" s="101" t="s">
        <v>17</v>
      </c>
      <c r="T77" s="101">
        <v>0</v>
      </c>
      <c r="U77" s="101" t="s">
        <v>18</v>
      </c>
      <c r="V77" s="12" t="s">
        <v>18</v>
      </c>
      <c r="W77" s="101" t="s">
        <v>18</v>
      </c>
      <c r="X77" s="101" t="s">
        <v>18</v>
      </c>
      <c r="Y77" s="101" t="s">
        <v>18</v>
      </c>
      <c r="Z77" s="101" t="s">
        <v>18</v>
      </c>
      <c r="AA77" s="101" t="s">
        <v>18</v>
      </c>
      <c r="AC77" s="101">
        <v>39</v>
      </c>
      <c r="AD77" s="101" t="s">
        <v>420</v>
      </c>
      <c r="AE77" s="20">
        <v>44467.611909722225</v>
      </c>
      <c r="AF77" s="101" t="s">
        <v>25</v>
      </c>
      <c r="AG77" s="101" t="s">
        <v>17</v>
      </c>
      <c r="AH77" s="101">
        <v>0</v>
      </c>
      <c r="AI77" s="101">
        <v>12.218</v>
      </c>
      <c r="AJ77" s="12">
        <v>2736</v>
      </c>
      <c r="AK77" s="101">
        <v>0.55600000000000005</v>
      </c>
      <c r="AL77" s="101" t="s">
        <v>18</v>
      </c>
      <c r="AM77" s="101" t="s">
        <v>18</v>
      </c>
      <c r="AN77" s="101" t="s">
        <v>18</v>
      </c>
      <c r="AO77" s="101" t="s">
        <v>18</v>
      </c>
      <c r="AQ77" s="101">
        <v>1</v>
      </c>
      <c r="AS77" s="7">
        <v>51</v>
      </c>
      <c r="AT77" s="23">
        <f t="shared" si="0"/>
        <v>3.1811343720499998</v>
      </c>
      <c r="AU77" s="103">
        <f t="shared" si="1"/>
        <v>519.14348258304005</v>
      </c>
      <c r="AW77" s="60">
        <f t="shared" si="8"/>
        <v>3.0845927712499996</v>
      </c>
      <c r="AX77" s="61">
        <f t="shared" si="9"/>
        <v>541.61452286208009</v>
      </c>
      <c r="AZ77" s="23">
        <f t="shared" si="10"/>
        <v>3.1811343720499998</v>
      </c>
      <c r="BA77" s="103">
        <f t="shared" si="11"/>
        <v>519.14348258304005</v>
      </c>
      <c r="BC77" s="104">
        <f t="shared" si="12"/>
        <v>1.5068476253000005</v>
      </c>
      <c r="BD77" s="105">
        <f t="shared" si="13"/>
        <v>461.64016503808006</v>
      </c>
    </row>
    <row r="78" spans="1:56" s="101" customFormat="1" ht="14.4" x14ac:dyDescent="0.3">
      <c r="A78" s="101">
        <v>39</v>
      </c>
      <c r="B78" s="101" t="s">
        <v>421</v>
      </c>
      <c r="C78" s="20">
        <v>44474.540543981479</v>
      </c>
      <c r="D78" s="101" t="s">
        <v>25</v>
      </c>
      <c r="E78" s="101" t="s">
        <v>17</v>
      </c>
      <c r="F78" s="101">
        <v>0</v>
      </c>
      <c r="G78" s="101">
        <v>6.0609999999999999</v>
      </c>
      <c r="H78" s="12">
        <v>2370</v>
      </c>
      <c r="I78" s="101">
        <v>0</v>
      </c>
      <c r="J78" s="101" t="s">
        <v>18</v>
      </c>
      <c r="K78" s="101" t="s">
        <v>18</v>
      </c>
      <c r="L78" s="101" t="s">
        <v>18</v>
      </c>
      <c r="M78" s="101" t="s">
        <v>18</v>
      </c>
      <c r="O78" s="101">
        <v>39</v>
      </c>
      <c r="P78" s="101" t="s">
        <v>421</v>
      </c>
      <c r="Q78" s="20">
        <v>44474.540543981479</v>
      </c>
      <c r="R78" s="101" t="s">
        <v>25</v>
      </c>
      <c r="S78" s="101" t="s">
        <v>17</v>
      </c>
      <c r="T78" s="101">
        <v>0</v>
      </c>
      <c r="U78" s="101" t="s">
        <v>18</v>
      </c>
      <c r="V78" s="12" t="s">
        <v>18</v>
      </c>
      <c r="W78" s="101" t="s">
        <v>18</v>
      </c>
      <c r="X78" s="101" t="s">
        <v>18</v>
      </c>
      <c r="Y78" s="101" t="s">
        <v>18</v>
      </c>
      <c r="Z78" s="101" t="s">
        <v>18</v>
      </c>
      <c r="AA78" s="101" t="s">
        <v>18</v>
      </c>
      <c r="AC78" s="101">
        <v>39</v>
      </c>
      <c r="AD78" s="101" t="s">
        <v>421</v>
      </c>
      <c r="AE78" s="20">
        <v>44474.540543981479</v>
      </c>
      <c r="AF78" s="101" t="s">
        <v>25</v>
      </c>
      <c r="AG78" s="101" t="s">
        <v>17</v>
      </c>
      <c r="AH78" s="101">
        <v>0</v>
      </c>
      <c r="AI78" s="101">
        <v>12.22</v>
      </c>
      <c r="AJ78" s="12">
        <v>2535</v>
      </c>
      <c r="AK78" s="101">
        <v>0.51600000000000001</v>
      </c>
      <c r="AL78" s="101" t="s">
        <v>18</v>
      </c>
      <c r="AM78" s="101" t="s">
        <v>18</v>
      </c>
      <c r="AN78" s="101" t="s">
        <v>18</v>
      </c>
      <c r="AO78" s="101" t="s">
        <v>18</v>
      </c>
      <c r="AQ78" s="101">
        <v>1</v>
      </c>
      <c r="AS78" s="7">
        <v>52</v>
      </c>
      <c r="AT78" s="23">
        <f t="shared" si="0"/>
        <v>2.020010645000001</v>
      </c>
      <c r="AU78" s="103">
        <f t="shared" si="1"/>
        <v>480.7295095815</v>
      </c>
      <c r="AW78" s="60">
        <f t="shared" si="8"/>
        <v>2.1592091249999994</v>
      </c>
      <c r="AX78" s="61">
        <f t="shared" si="9"/>
        <v>504.41562585675001</v>
      </c>
      <c r="AZ78" s="23">
        <f t="shared" si="10"/>
        <v>2.020010645000001</v>
      </c>
      <c r="BA78" s="103">
        <f t="shared" si="11"/>
        <v>480.7295095815</v>
      </c>
      <c r="BC78" s="104">
        <f t="shared" si="12"/>
        <v>0.98984857000000015</v>
      </c>
      <c r="BD78" s="105">
        <f t="shared" si="13"/>
        <v>420.12050273800008</v>
      </c>
    </row>
    <row r="79" spans="1:56" s="101" customFormat="1" ht="14.4" x14ac:dyDescent="0.3">
      <c r="A79" s="101">
        <v>39</v>
      </c>
      <c r="B79" s="101" t="s">
        <v>422</v>
      </c>
      <c r="C79" s="20">
        <v>44481.414814814816</v>
      </c>
      <c r="D79" s="101" t="s">
        <v>25</v>
      </c>
      <c r="E79" s="101" t="s">
        <v>17</v>
      </c>
      <c r="F79" s="101">
        <v>0</v>
      </c>
      <c r="G79" s="101">
        <v>6.0650000000000004</v>
      </c>
      <c r="H79" s="12">
        <v>2538</v>
      </c>
      <c r="I79" s="101">
        <v>0</v>
      </c>
      <c r="J79" s="101" t="s">
        <v>18</v>
      </c>
      <c r="K79" s="101" t="s">
        <v>18</v>
      </c>
      <c r="L79" s="101" t="s">
        <v>18</v>
      </c>
      <c r="M79" s="101" t="s">
        <v>18</v>
      </c>
      <c r="O79" s="101">
        <v>39</v>
      </c>
      <c r="P79" s="101" t="s">
        <v>422</v>
      </c>
      <c r="Q79" s="20">
        <v>44481.414814814816</v>
      </c>
      <c r="R79" s="101" t="s">
        <v>25</v>
      </c>
      <c r="S79" s="101" t="s">
        <v>17</v>
      </c>
      <c r="T79" s="101">
        <v>0</v>
      </c>
      <c r="U79" s="101" t="s">
        <v>18</v>
      </c>
      <c r="V79" s="101" t="s">
        <v>18</v>
      </c>
      <c r="W79" s="101" t="s">
        <v>18</v>
      </c>
      <c r="X79" s="101" t="s">
        <v>18</v>
      </c>
      <c r="Y79" s="101" t="s">
        <v>18</v>
      </c>
      <c r="Z79" s="101" t="s">
        <v>18</v>
      </c>
      <c r="AA79" s="101" t="s">
        <v>18</v>
      </c>
      <c r="AC79" s="101">
        <v>39</v>
      </c>
      <c r="AD79" s="101" t="s">
        <v>422</v>
      </c>
      <c r="AE79" s="20">
        <v>44481.414814814816</v>
      </c>
      <c r="AF79" s="101" t="s">
        <v>25</v>
      </c>
      <c r="AG79" s="101" t="s">
        <v>17</v>
      </c>
      <c r="AH79" s="101">
        <v>0</v>
      </c>
      <c r="AI79" s="101">
        <v>12.207000000000001</v>
      </c>
      <c r="AJ79" s="12">
        <v>3150</v>
      </c>
      <c r="AK79" s="101">
        <v>0.63800000000000001</v>
      </c>
      <c r="AL79" s="101" t="s">
        <v>18</v>
      </c>
      <c r="AM79" s="101" t="s">
        <v>18</v>
      </c>
      <c r="AN79" s="101" t="s">
        <v>18</v>
      </c>
      <c r="AO79" s="101" t="s">
        <v>18</v>
      </c>
      <c r="AQ79" s="101">
        <v>1</v>
      </c>
      <c r="AS79" s="7">
        <v>53</v>
      </c>
      <c r="AT79" s="23">
        <f t="shared" si="0"/>
        <v>2.6144923202000001</v>
      </c>
      <c r="AU79" s="103">
        <f t="shared" si="1"/>
        <v>598.26066015000004</v>
      </c>
      <c r="AW79" s="60">
        <f t="shared" si="8"/>
        <v>2.6311706849999998</v>
      </c>
      <c r="AX79" s="61">
        <f t="shared" si="9"/>
        <v>618.21716467500005</v>
      </c>
      <c r="AZ79" s="23">
        <f t="shared" si="10"/>
        <v>2.6144923202000001</v>
      </c>
      <c r="BA79" s="103">
        <f t="shared" si="11"/>
        <v>598.26066015000004</v>
      </c>
      <c r="BC79" s="104">
        <f t="shared" si="12"/>
        <v>1.2499180132000001</v>
      </c>
      <c r="BD79" s="105">
        <f t="shared" si="13"/>
        <v>547.15177779999999</v>
      </c>
    </row>
    <row r="80" spans="1:56" s="101" customFormat="1" ht="14.4" x14ac:dyDescent="0.3">
      <c r="A80" s="101">
        <v>39</v>
      </c>
      <c r="B80" s="101" t="s">
        <v>423</v>
      </c>
      <c r="C80" s="20">
        <v>44482.6172337963</v>
      </c>
      <c r="D80" s="101" t="s">
        <v>25</v>
      </c>
      <c r="E80" s="101" t="s">
        <v>17</v>
      </c>
      <c r="F80" s="101">
        <v>0</v>
      </c>
      <c r="G80" s="101">
        <v>6.0620000000000003</v>
      </c>
      <c r="H80" s="12">
        <v>2752</v>
      </c>
      <c r="I80" s="101">
        <v>1E-3</v>
      </c>
      <c r="J80" s="101" t="s">
        <v>18</v>
      </c>
      <c r="K80" s="101" t="s">
        <v>18</v>
      </c>
      <c r="L80" s="101" t="s">
        <v>18</v>
      </c>
      <c r="M80" s="101" t="s">
        <v>18</v>
      </c>
      <c r="O80" s="101">
        <v>39</v>
      </c>
      <c r="P80" s="101" t="s">
        <v>423</v>
      </c>
      <c r="Q80" s="20">
        <v>44482.6172337963</v>
      </c>
      <c r="R80" s="101" t="s">
        <v>25</v>
      </c>
      <c r="S80" s="101" t="s">
        <v>17</v>
      </c>
      <c r="T80" s="101">
        <v>0</v>
      </c>
      <c r="U80" s="101" t="s">
        <v>18</v>
      </c>
      <c r="V80" s="12" t="s">
        <v>18</v>
      </c>
      <c r="W80" s="101" t="s">
        <v>18</v>
      </c>
      <c r="X80" s="101" t="s">
        <v>18</v>
      </c>
      <c r="Y80" s="101" t="s">
        <v>18</v>
      </c>
      <c r="Z80" s="101" t="s">
        <v>18</v>
      </c>
      <c r="AA80" s="101" t="s">
        <v>18</v>
      </c>
      <c r="AC80" s="101">
        <v>39</v>
      </c>
      <c r="AD80" s="101" t="s">
        <v>423</v>
      </c>
      <c r="AE80" s="20">
        <v>44482.6172337963</v>
      </c>
      <c r="AF80" s="101" t="s">
        <v>25</v>
      </c>
      <c r="AG80" s="101" t="s">
        <v>17</v>
      </c>
      <c r="AH80" s="101">
        <v>0</v>
      </c>
      <c r="AI80" s="101">
        <v>12.201000000000001</v>
      </c>
      <c r="AJ80" s="12">
        <v>2609</v>
      </c>
      <c r="AK80" s="101">
        <v>0.53</v>
      </c>
      <c r="AL80" s="101" t="s">
        <v>18</v>
      </c>
      <c r="AM80" s="101" t="s">
        <v>18</v>
      </c>
      <c r="AN80" s="101" t="s">
        <v>18</v>
      </c>
      <c r="AO80" s="101" t="s">
        <v>18</v>
      </c>
      <c r="AQ80" s="101">
        <v>1</v>
      </c>
      <c r="AS80" s="7">
        <v>54</v>
      </c>
      <c r="AT80" s="23">
        <f t="shared" si="0"/>
        <v>3.3670114432000009</v>
      </c>
      <c r="AU80" s="103">
        <f t="shared" si="1"/>
        <v>494.87212011494</v>
      </c>
      <c r="AW80" s="60">
        <f t="shared" si="8"/>
        <v>3.2340969599999996</v>
      </c>
      <c r="AX80" s="61">
        <f t="shared" si="9"/>
        <v>518.11133207963007</v>
      </c>
      <c r="AZ80" s="23">
        <f t="shared" si="10"/>
        <v>3.3670114432000009</v>
      </c>
      <c r="BA80" s="103">
        <f t="shared" si="11"/>
        <v>494.87212011494</v>
      </c>
      <c r="BC80" s="104">
        <f t="shared" si="12"/>
        <v>1.5930749312000001</v>
      </c>
      <c r="BD80" s="105">
        <f t="shared" si="13"/>
        <v>435.40658839688007</v>
      </c>
    </row>
    <row r="81" spans="1:56" s="101" customFormat="1" ht="14.4" x14ac:dyDescent="0.3">
      <c r="A81" s="101">
        <v>39</v>
      </c>
      <c r="B81" s="101" t="s">
        <v>424</v>
      </c>
      <c r="C81" s="20">
        <v>44488.440300925926</v>
      </c>
      <c r="D81" s="101" t="s">
        <v>25</v>
      </c>
      <c r="E81" s="101" t="s">
        <v>17</v>
      </c>
      <c r="F81" s="101">
        <v>0</v>
      </c>
      <c r="G81" s="101">
        <v>6.0810000000000004</v>
      </c>
      <c r="H81" s="12">
        <v>2331</v>
      </c>
      <c r="I81" s="101">
        <v>0</v>
      </c>
      <c r="J81" s="101" t="s">
        <v>18</v>
      </c>
      <c r="K81" s="101" t="s">
        <v>18</v>
      </c>
      <c r="L81" s="101" t="s">
        <v>18</v>
      </c>
      <c r="M81" s="101" t="s">
        <v>18</v>
      </c>
      <c r="O81" s="101">
        <v>39</v>
      </c>
      <c r="P81" s="101" t="s">
        <v>424</v>
      </c>
      <c r="Q81" s="20">
        <v>44488.440300925926</v>
      </c>
      <c r="R81" s="101" t="s">
        <v>25</v>
      </c>
      <c r="S81" s="101" t="s">
        <v>17</v>
      </c>
      <c r="T81" s="101">
        <v>0</v>
      </c>
      <c r="U81" s="101" t="s">
        <v>18</v>
      </c>
      <c r="V81" s="12" t="s">
        <v>18</v>
      </c>
      <c r="W81" s="101" t="s">
        <v>18</v>
      </c>
      <c r="X81" s="101" t="s">
        <v>18</v>
      </c>
      <c r="Y81" s="101" t="s">
        <v>18</v>
      </c>
      <c r="Z81" s="101" t="s">
        <v>18</v>
      </c>
      <c r="AA81" s="101" t="s">
        <v>18</v>
      </c>
      <c r="AC81" s="101">
        <v>39</v>
      </c>
      <c r="AD81" s="101" t="s">
        <v>424</v>
      </c>
      <c r="AE81" s="20">
        <v>44488.440300925926</v>
      </c>
      <c r="AF81" s="101" t="s">
        <v>25</v>
      </c>
      <c r="AG81" s="101" t="s">
        <v>17</v>
      </c>
      <c r="AH81" s="101">
        <v>0</v>
      </c>
      <c r="AI81" s="101">
        <v>12.246</v>
      </c>
      <c r="AJ81" s="12">
        <v>3300</v>
      </c>
      <c r="AK81" s="101">
        <v>0.66800000000000004</v>
      </c>
      <c r="AL81" s="101" t="s">
        <v>18</v>
      </c>
      <c r="AM81" s="101" t="s">
        <v>18</v>
      </c>
      <c r="AN81" s="101" t="s">
        <v>18</v>
      </c>
      <c r="AO81" s="101" t="s">
        <v>18</v>
      </c>
      <c r="AQ81" s="101">
        <v>1</v>
      </c>
      <c r="AS81" s="7">
        <v>55</v>
      </c>
      <c r="AT81" s="23">
        <f t="shared" si="0"/>
        <v>1.8815381400499991</v>
      </c>
      <c r="AU81" s="103">
        <f t="shared" si="1"/>
        <v>626.92492860000004</v>
      </c>
      <c r="AW81" s="60">
        <f t="shared" si="8"/>
        <v>2.0498181712499992</v>
      </c>
      <c r="AX81" s="61">
        <f t="shared" si="9"/>
        <v>645.96643470000004</v>
      </c>
      <c r="AZ81" s="23">
        <f t="shared" si="10"/>
        <v>1.8815381400499991</v>
      </c>
      <c r="BA81" s="103">
        <f t="shared" si="11"/>
        <v>626.92492860000004</v>
      </c>
      <c r="BC81" s="104">
        <f t="shared" si="12"/>
        <v>0.93064831330000009</v>
      </c>
      <c r="BD81" s="105">
        <f t="shared" si="13"/>
        <v>578.1320872</v>
      </c>
    </row>
    <row r="82" spans="1:56" s="101" customFormat="1" ht="14.4" x14ac:dyDescent="0.3">
      <c r="A82" s="101">
        <v>39</v>
      </c>
      <c r="B82" s="101" t="s">
        <v>425</v>
      </c>
      <c r="C82" s="20">
        <v>44495.502974537034</v>
      </c>
      <c r="D82" s="101" t="s">
        <v>25</v>
      </c>
      <c r="E82" s="101" t="s">
        <v>17</v>
      </c>
      <c r="F82" s="101">
        <v>0</v>
      </c>
      <c r="G82" s="101">
        <v>6.0650000000000004</v>
      </c>
      <c r="H82" s="12">
        <v>2268</v>
      </c>
      <c r="I82" s="101">
        <v>0</v>
      </c>
      <c r="J82" s="101" t="s">
        <v>18</v>
      </c>
      <c r="K82" s="101" t="s">
        <v>18</v>
      </c>
      <c r="L82" s="101" t="s">
        <v>18</v>
      </c>
      <c r="M82" s="101" t="s">
        <v>18</v>
      </c>
      <c r="O82" s="101">
        <v>39</v>
      </c>
      <c r="P82" s="101" t="s">
        <v>425</v>
      </c>
      <c r="Q82" s="20">
        <v>44495.502974537034</v>
      </c>
      <c r="R82" s="101" t="s">
        <v>25</v>
      </c>
      <c r="S82" s="101" t="s">
        <v>17</v>
      </c>
      <c r="T82" s="101">
        <v>0</v>
      </c>
      <c r="U82" s="101" t="s">
        <v>18</v>
      </c>
      <c r="V82" s="12" t="s">
        <v>18</v>
      </c>
      <c r="W82" s="101" t="s">
        <v>18</v>
      </c>
      <c r="X82" s="101" t="s">
        <v>18</v>
      </c>
      <c r="Y82" s="101" t="s">
        <v>18</v>
      </c>
      <c r="Z82" s="101" t="s">
        <v>18</v>
      </c>
      <c r="AA82" s="101" t="s">
        <v>18</v>
      </c>
      <c r="AC82" s="101">
        <v>39</v>
      </c>
      <c r="AD82" s="101" t="s">
        <v>425</v>
      </c>
      <c r="AE82" s="20">
        <v>44495.502974537034</v>
      </c>
      <c r="AF82" s="101" t="s">
        <v>25</v>
      </c>
      <c r="AG82" s="101" t="s">
        <v>17</v>
      </c>
      <c r="AH82" s="101">
        <v>0</v>
      </c>
      <c r="AI82" s="101">
        <v>12.242000000000001</v>
      </c>
      <c r="AJ82" s="12">
        <v>2352</v>
      </c>
      <c r="AK82" s="101">
        <v>0.47899999999999998</v>
      </c>
      <c r="AL82" s="101" t="s">
        <v>18</v>
      </c>
      <c r="AM82" s="101" t="s">
        <v>18</v>
      </c>
      <c r="AN82" s="101" t="s">
        <v>18</v>
      </c>
      <c r="AO82" s="101" t="s">
        <v>18</v>
      </c>
      <c r="AQ82" s="101">
        <v>1</v>
      </c>
      <c r="AS82" s="7">
        <v>56</v>
      </c>
      <c r="AT82" s="23">
        <f t="shared" si="0"/>
        <v>1.6574793992000014</v>
      </c>
      <c r="AU82" s="103">
        <f t="shared" si="1"/>
        <v>445.75445124096001</v>
      </c>
      <c r="AW82" s="60">
        <f t="shared" si="8"/>
        <v>1.8732462600000002</v>
      </c>
      <c r="AX82" s="61">
        <f t="shared" si="9"/>
        <v>470.54356238592004</v>
      </c>
      <c r="AZ82" s="23">
        <f t="shared" si="10"/>
        <v>1.6574793992000014</v>
      </c>
      <c r="BA82" s="103">
        <f t="shared" si="11"/>
        <v>445.75445124096001</v>
      </c>
      <c r="BC82" s="104">
        <f t="shared" si="12"/>
        <v>0.83595082720000025</v>
      </c>
      <c r="BD82" s="105">
        <f t="shared" si="13"/>
        <v>382.31722580991999</v>
      </c>
    </row>
    <row r="83" spans="1:56" s="101" customFormat="1" ht="14.4" x14ac:dyDescent="0.3">
      <c r="A83" s="101">
        <v>39</v>
      </c>
      <c r="B83" s="101" t="s">
        <v>426</v>
      </c>
      <c r="C83" s="20">
        <v>44496.452384259261</v>
      </c>
      <c r="D83" s="101" t="s">
        <v>25</v>
      </c>
      <c r="E83" s="101" t="s">
        <v>17</v>
      </c>
      <c r="F83" s="101">
        <v>0</v>
      </c>
      <c r="G83" s="101">
        <v>6.0880000000000001</v>
      </c>
      <c r="H83" s="12">
        <v>2432</v>
      </c>
      <c r="I83" s="101">
        <v>0</v>
      </c>
      <c r="J83" s="101" t="s">
        <v>18</v>
      </c>
      <c r="K83" s="101" t="s">
        <v>18</v>
      </c>
      <c r="L83" s="101" t="s">
        <v>18</v>
      </c>
      <c r="M83" s="101" t="s">
        <v>18</v>
      </c>
      <c r="O83" s="101">
        <v>39</v>
      </c>
      <c r="P83" s="101" t="s">
        <v>426</v>
      </c>
      <c r="Q83" s="20">
        <v>44496.452384259261</v>
      </c>
      <c r="R83" s="101" t="s">
        <v>25</v>
      </c>
      <c r="S83" s="101" t="s">
        <v>17</v>
      </c>
      <c r="T83" s="101">
        <v>0</v>
      </c>
      <c r="U83" s="101" t="s">
        <v>18</v>
      </c>
      <c r="V83" s="12" t="s">
        <v>18</v>
      </c>
      <c r="W83" s="101" t="s">
        <v>18</v>
      </c>
      <c r="X83" s="101" t="s">
        <v>18</v>
      </c>
      <c r="Y83" s="101" t="s">
        <v>18</v>
      </c>
      <c r="Z83" s="101" t="s">
        <v>18</v>
      </c>
      <c r="AA83" s="101" t="s">
        <v>18</v>
      </c>
      <c r="AC83" s="101">
        <v>39</v>
      </c>
      <c r="AD83" s="101" t="s">
        <v>426</v>
      </c>
      <c r="AE83" s="20">
        <v>44496.452384259261</v>
      </c>
      <c r="AF83" s="101" t="s">
        <v>25</v>
      </c>
      <c r="AG83" s="101" t="s">
        <v>17</v>
      </c>
      <c r="AH83" s="101">
        <v>0</v>
      </c>
      <c r="AI83" s="101">
        <v>12.278</v>
      </c>
      <c r="AJ83" s="12">
        <v>2567</v>
      </c>
      <c r="AK83" s="101">
        <v>0.52200000000000002</v>
      </c>
      <c r="AL83" s="101" t="s">
        <v>18</v>
      </c>
      <c r="AM83" s="101" t="s">
        <v>18</v>
      </c>
      <c r="AN83" s="101" t="s">
        <v>18</v>
      </c>
      <c r="AO83" s="101" t="s">
        <v>18</v>
      </c>
      <c r="AQ83" s="101">
        <v>1</v>
      </c>
      <c r="AS83" s="7">
        <v>57</v>
      </c>
      <c r="AT83" s="23">
        <f t="shared" si="0"/>
        <v>2.2397835392000012</v>
      </c>
      <c r="AU83" s="103">
        <f t="shared" si="1"/>
        <v>486.84525490886</v>
      </c>
      <c r="AW83" s="60">
        <f t="shared" si="8"/>
        <v>2.3332457599999987</v>
      </c>
      <c r="AX83" s="61">
        <f t="shared" si="9"/>
        <v>510.33817777547</v>
      </c>
      <c r="AZ83" s="23">
        <f t="shared" si="10"/>
        <v>2.2397835392000012</v>
      </c>
      <c r="BA83" s="103">
        <f t="shared" si="11"/>
        <v>486.84525490886</v>
      </c>
      <c r="BC83" s="104">
        <f t="shared" si="12"/>
        <v>1.0848716671999996</v>
      </c>
      <c r="BD83" s="105">
        <f t="shared" si="13"/>
        <v>426.73073624071998</v>
      </c>
    </row>
    <row r="84" spans="1:56" s="101" customFormat="1" ht="14.4" x14ac:dyDescent="0.3">
      <c r="A84" s="101">
        <v>39</v>
      </c>
      <c r="B84" s="101" t="s">
        <v>427</v>
      </c>
      <c r="C84" s="20">
        <v>44504.43577546296</v>
      </c>
      <c r="D84" s="101" t="s">
        <v>25</v>
      </c>
      <c r="E84" s="101" t="s">
        <v>17</v>
      </c>
      <c r="F84" s="101">
        <v>0</v>
      </c>
      <c r="G84" s="101">
        <v>6.0919999999999996</v>
      </c>
      <c r="H84" s="12">
        <v>2058</v>
      </c>
      <c r="I84" s="101">
        <v>-1E-3</v>
      </c>
      <c r="J84" s="101" t="s">
        <v>18</v>
      </c>
      <c r="K84" s="101" t="s">
        <v>18</v>
      </c>
      <c r="L84" s="101" t="s">
        <v>18</v>
      </c>
      <c r="M84" s="101" t="s">
        <v>18</v>
      </c>
      <c r="O84" s="101">
        <v>39</v>
      </c>
      <c r="P84" s="101" t="s">
        <v>427</v>
      </c>
      <c r="Q84" s="20">
        <v>44504.43577546296</v>
      </c>
      <c r="R84" s="101" t="s">
        <v>25</v>
      </c>
      <c r="S84" s="101" t="s">
        <v>17</v>
      </c>
      <c r="T84" s="101">
        <v>0</v>
      </c>
      <c r="U84" s="101" t="s">
        <v>18</v>
      </c>
      <c r="V84" s="12" t="s">
        <v>18</v>
      </c>
      <c r="W84" s="101" t="s">
        <v>18</v>
      </c>
      <c r="X84" s="101" t="s">
        <v>18</v>
      </c>
      <c r="Y84" s="101" t="s">
        <v>18</v>
      </c>
      <c r="Z84" s="101" t="s">
        <v>18</v>
      </c>
      <c r="AA84" s="101" t="s">
        <v>18</v>
      </c>
      <c r="AC84" s="101">
        <v>39</v>
      </c>
      <c r="AD84" s="101" t="s">
        <v>427</v>
      </c>
      <c r="AE84" s="20">
        <v>44504.43577546296</v>
      </c>
      <c r="AF84" s="101" t="s">
        <v>25</v>
      </c>
      <c r="AG84" s="101" t="s">
        <v>17</v>
      </c>
      <c r="AH84" s="101">
        <v>0</v>
      </c>
      <c r="AI84" s="101">
        <v>12.29</v>
      </c>
      <c r="AJ84" s="12">
        <v>2359</v>
      </c>
      <c r="AK84" s="101">
        <v>0.48</v>
      </c>
      <c r="AL84" s="101" t="s">
        <v>18</v>
      </c>
      <c r="AM84" s="101" t="s">
        <v>18</v>
      </c>
      <c r="AN84" s="101" t="s">
        <v>18</v>
      </c>
      <c r="AO84" s="101" t="s">
        <v>18</v>
      </c>
      <c r="AQ84" s="101">
        <v>1</v>
      </c>
      <c r="AS84" s="7">
        <v>58</v>
      </c>
      <c r="AT84" s="23">
        <f t="shared" si="0"/>
        <v>0.90729465620000038</v>
      </c>
      <c r="AU84" s="103">
        <f t="shared" si="1"/>
        <v>447.09231503494004</v>
      </c>
      <c r="AW84" s="60">
        <f t="shared" si="8"/>
        <v>1.2858914849999996</v>
      </c>
      <c r="AX84" s="61">
        <f t="shared" si="9"/>
        <v>471.83929241963</v>
      </c>
      <c r="AZ84" s="23">
        <f t="shared" si="10"/>
        <v>0.90729465620000038</v>
      </c>
      <c r="BA84" s="103">
        <f t="shared" si="11"/>
        <v>447.09231503494004</v>
      </c>
      <c r="BC84" s="104">
        <f t="shared" si="12"/>
        <v>0.52862258920000005</v>
      </c>
      <c r="BD84" s="105">
        <f t="shared" si="13"/>
        <v>383.76328423688</v>
      </c>
    </row>
    <row r="85" spans="1:56" s="101" customFormat="1" ht="14.4" x14ac:dyDescent="0.3">
      <c r="A85" s="101">
        <v>39</v>
      </c>
      <c r="B85" s="101" t="s">
        <v>428</v>
      </c>
      <c r="C85" s="20">
        <v>44505.465243055558</v>
      </c>
      <c r="D85" s="101" t="s">
        <v>25</v>
      </c>
      <c r="E85" s="101" t="s">
        <v>17</v>
      </c>
      <c r="F85" s="101">
        <v>0</v>
      </c>
      <c r="G85" s="101">
        <v>6.1189999999999998</v>
      </c>
      <c r="H85" s="12">
        <v>1922</v>
      </c>
      <c r="I85" s="101">
        <v>-1E-3</v>
      </c>
      <c r="J85" s="101" t="s">
        <v>18</v>
      </c>
      <c r="K85" s="101" t="s">
        <v>18</v>
      </c>
      <c r="L85" s="101" t="s">
        <v>18</v>
      </c>
      <c r="M85" s="101" t="s">
        <v>18</v>
      </c>
      <c r="O85" s="101">
        <v>39</v>
      </c>
      <c r="P85" s="101" t="s">
        <v>428</v>
      </c>
      <c r="Q85" s="20">
        <v>44505.465243055558</v>
      </c>
      <c r="R85" s="101" t="s">
        <v>25</v>
      </c>
      <c r="S85" s="101" t="s">
        <v>17</v>
      </c>
      <c r="T85" s="101">
        <v>0</v>
      </c>
      <c r="U85" s="101" t="s">
        <v>18</v>
      </c>
      <c r="V85" s="12" t="s">
        <v>18</v>
      </c>
      <c r="W85" s="101" t="s">
        <v>18</v>
      </c>
      <c r="X85" s="101" t="s">
        <v>18</v>
      </c>
      <c r="Y85" s="101" t="s">
        <v>18</v>
      </c>
      <c r="Z85" s="101" t="s">
        <v>18</v>
      </c>
      <c r="AA85" s="101" t="s">
        <v>18</v>
      </c>
      <c r="AC85" s="101">
        <v>39</v>
      </c>
      <c r="AD85" s="101" t="s">
        <v>428</v>
      </c>
      <c r="AE85" s="20">
        <v>44505.465243055558</v>
      </c>
      <c r="AF85" s="101" t="s">
        <v>25</v>
      </c>
      <c r="AG85" s="101" t="s">
        <v>17</v>
      </c>
      <c r="AH85" s="101">
        <v>0</v>
      </c>
      <c r="AI85" s="101">
        <v>12.298</v>
      </c>
      <c r="AJ85" s="12">
        <v>1523</v>
      </c>
      <c r="AK85" s="101">
        <v>0.313</v>
      </c>
      <c r="AL85" s="101" t="s">
        <v>18</v>
      </c>
      <c r="AM85" s="101" t="s">
        <v>18</v>
      </c>
      <c r="AN85" s="101" t="s">
        <v>18</v>
      </c>
      <c r="AO85" s="101" t="s">
        <v>18</v>
      </c>
      <c r="AQ85" s="101">
        <v>1</v>
      </c>
      <c r="AS85" s="7">
        <v>59</v>
      </c>
      <c r="AT85" s="23">
        <f t="shared" si="0"/>
        <v>0.41873383220000004</v>
      </c>
      <c r="AU85" s="103">
        <f t="shared" si="1"/>
        <v>287.30188445845999</v>
      </c>
      <c r="AW85" s="60">
        <f t="shared" si="8"/>
        <v>0.90650928499999939</v>
      </c>
      <c r="AX85" s="61">
        <f t="shared" si="9"/>
        <v>317.04860316467</v>
      </c>
      <c r="AZ85" s="23">
        <f t="shared" si="10"/>
        <v>0.41873383220000004</v>
      </c>
      <c r="BA85" s="103">
        <f t="shared" si="11"/>
        <v>287.30188445845999</v>
      </c>
      <c r="BC85" s="104">
        <f t="shared" si="12"/>
        <v>0.33642820520000005</v>
      </c>
      <c r="BD85" s="105">
        <f t="shared" si="13"/>
        <v>211.04490561992003</v>
      </c>
    </row>
    <row r="86" spans="1:56" s="101" customFormat="1" ht="14.4" x14ac:dyDescent="0.3">
      <c r="A86" s="101">
        <v>39</v>
      </c>
      <c r="B86" s="101" t="s">
        <v>429</v>
      </c>
      <c r="C86" s="20">
        <v>44508.392534722225</v>
      </c>
      <c r="D86" s="101" t="s">
        <v>25</v>
      </c>
      <c r="E86" s="101" t="s">
        <v>17</v>
      </c>
      <c r="F86" s="101">
        <v>0</v>
      </c>
      <c r="G86" s="101">
        <v>6.0979999999999999</v>
      </c>
      <c r="H86" s="12">
        <v>1822</v>
      </c>
      <c r="I86" s="101">
        <v>-1E-3</v>
      </c>
      <c r="J86" s="101" t="s">
        <v>18</v>
      </c>
      <c r="K86" s="101" t="s">
        <v>18</v>
      </c>
      <c r="L86" s="101" t="s">
        <v>18</v>
      </c>
      <c r="M86" s="101" t="s">
        <v>18</v>
      </c>
      <c r="O86" s="101">
        <v>39</v>
      </c>
      <c r="P86" s="101" t="s">
        <v>429</v>
      </c>
      <c r="Q86" s="20">
        <v>44508.392534722225</v>
      </c>
      <c r="R86" s="101" t="s">
        <v>25</v>
      </c>
      <c r="S86" s="101" t="s">
        <v>17</v>
      </c>
      <c r="T86" s="101">
        <v>0</v>
      </c>
      <c r="U86" s="101" t="s">
        <v>18</v>
      </c>
      <c r="V86" s="12" t="s">
        <v>18</v>
      </c>
      <c r="W86" s="101" t="s">
        <v>18</v>
      </c>
      <c r="X86" s="101" t="s">
        <v>18</v>
      </c>
      <c r="Y86" s="101" t="s">
        <v>18</v>
      </c>
      <c r="Z86" s="101" t="s">
        <v>18</v>
      </c>
      <c r="AA86" s="101" t="s">
        <v>18</v>
      </c>
      <c r="AC86" s="101">
        <v>39</v>
      </c>
      <c r="AD86" s="101" t="s">
        <v>429</v>
      </c>
      <c r="AE86" s="20">
        <v>44508.392534722225</v>
      </c>
      <c r="AF86" s="101" t="s">
        <v>25</v>
      </c>
      <c r="AG86" s="101" t="s">
        <v>17</v>
      </c>
      <c r="AH86" s="101">
        <v>0</v>
      </c>
      <c r="AI86" s="101">
        <v>12.315</v>
      </c>
      <c r="AJ86" s="12">
        <v>2290</v>
      </c>
      <c r="AK86" s="101">
        <v>0.46700000000000003</v>
      </c>
      <c r="AL86" s="101" t="s">
        <v>18</v>
      </c>
      <c r="AM86" s="101" t="s">
        <v>18</v>
      </c>
      <c r="AN86" s="101" t="s">
        <v>18</v>
      </c>
      <c r="AO86" s="101" t="s">
        <v>18</v>
      </c>
      <c r="AQ86" s="101">
        <v>1</v>
      </c>
      <c r="AS86" s="7">
        <v>60</v>
      </c>
      <c r="AT86" s="23">
        <f t="shared" si="0"/>
        <v>5.8130312200000311E-2</v>
      </c>
      <c r="AU86" s="103">
        <f t="shared" si="1"/>
        <v>433.90473093399999</v>
      </c>
      <c r="AW86" s="60">
        <f t="shared" si="8"/>
        <v>0.62805328500000002</v>
      </c>
      <c r="AX86" s="61">
        <f t="shared" si="9"/>
        <v>459.066827843</v>
      </c>
      <c r="AZ86" s="23">
        <f t="shared" si="10"/>
        <v>5.8130312200000311E-2</v>
      </c>
      <c r="BA86" s="103">
        <f t="shared" si="11"/>
        <v>433.90473093399999</v>
      </c>
      <c r="BC86" s="104">
        <f t="shared" si="12"/>
        <v>0.19853788520000015</v>
      </c>
      <c r="BD86" s="105">
        <f t="shared" si="13"/>
        <v>369.50917056799994</v>
      </c>
    </row>
    <row r="87" spans="1:56" s="101" customFormat="1" ht="14.4" x14ac:dyDescent="0.3">
      <c r="A87" s="101">
        <v>39</v>
      </c>
      <c r="B87" s="101" t="s">
        <v>430</v>
      </c>
      <c r="C87" s="20">
        <v>44509.558634259258</v>
      </c>
      <c r="D87" s="101" t="s">
        <v>25</v>
      </c>
      <c r="E87" s="101" t="s">
        <v>17</v>
      </c>
      <c r="F87" s="101">
        <v>0</v>
      </c>
      <c r="G87" s="101">
        <v>6.0869999999999997</v>
      </c>
      <c r="H87" s="12">
        <v>1765</v>
      </c>
      <c r="I87" s="101">
        <v>-1E-3</v>
      </c>
      <c r="J87" s="101" t="s">
        <v>18</v>
      </c>
      <c r="K87" s="101" t="s">
        <v>18</v>
      </c>
      <c r="L87" s="101" t="s">
        <v>18</v>
      </c>
      <c r="M87" s="101" t="s">
        <v>18</v>
      </c>
      <c r="O87" s="101">
        <v>39</v>
      </c>
      <c r="P87" s="101" t="s">
        <v>430</v>
      </c>
      <c r="Q87" s="20">
        <v>44509.558634259258</v>
      </c>
      <c r="R87" s="101" t="s">
        <v>25</v>
      </c>
      <c r="S87" s="101" t="s">
        <v>17</v>
      </c>
      <c r="T87" s="101">
        <v>0</v>
      </c>
      <c r="U87" s="101" t="s">
        <v>18</v>
      </c>
      <c r="V87" s="12" t="s">
        <v>18</v>
      </c>
      <c r="W87" s="101" t="s">
        <v>18</v>
      </c>
      <c r="X87" s="101" t="s">
        <v>18</v>
      </c>
      <c r="Y87" s="101" t="s">
        <v>18</v>
      </c>
      <c r="Z87" s="101" t="s">
        <v>18</v>
      </c>
      <c r="AA87" s="101" t="s">
        <v>18</v>
      </c>
      <c r="AC87" s="101">
        <v>39</v>
      </c>
      <c r="AD87" s="101" t="s">
        <v>430</v>
      </c>
      <c r="AE87" s="20">
        <v>44509.558634259258</v>
      </c>
      <c r="AF87" s="101" t="s">
        <v>25</v>
      </c>
      <c r="AG87" s="101" t="s">
        <v>17</v>
      </c>
      <c r="AH87" s="101">
        <v>0</v>
      </c>
      <c r="AI87" s="101">
        <v>12.276999999999999</v>
      </c>
      <c r="AJ87" s="12">
        <v>2100</v>
      </c>
      <c r="AK87" s="101">
        <v>0.42899999999999999</v>
      </c>
      <c r="AL87" s="101" t="s">
        <v>18</v>
      </c>
      <c r="AM87" s="101" t="s">
        <v>18</v>
      </c>
      <c r="AN87" s="101" t="s">
        <v>18</v>
      </c>
      <c r="AO87" s="101" t="s">
        <v>18</v>
      </c>
      <c r="AQ87" s="101">
        <v>1</v>
      </c>
      <c r="AS87" s="7">
        <v>61</v>
      </c>
      <c r="AT87" s="23">
        <f t="shared" si="0"/>
        <v>-0.14793228874999897</v>
      </c>
      <c r="AU87" s="103">
        <f t="shared" si="1"/>
        <v>397.59029340000001</v>
      </c>
      <c r="AW87" s="60">
        <f t="shared" si="8"/>
        <v>0.46952353125000013</v>
      </c>
      <c r="AX87" s="61">
        <f t="shared" si="9"/>
        <v>423.89318430000003</v>
      </c>
      <c r="AZ87" s="23">
        <f t="shared" si="10"/>
        <v>-0.14793228874999897</v>
      </c>
      <c r="BA87" s="103">
        <f t="shared" si="11"/>
        <v>397.59029340000001</v>
      </c>
      <c r="BC87" s="104">
        <f t="shared" si="12"/>
        <v>0.12124069250000002</v>
      </c>
      <c r="BD87" s="105">
        <f t="shared" si="13"/>
        <v>330.2574568</v>
      </c>
    </row>
    <row r="88" spans="1:56" s="101" customFormat="1" ht="14.4" x14ac:dyDescent="0.3">
      <c r="A88" s="101">
        <v>59</v>
      </c>
      <c r="B88" s="101" t="s">
        <v>431</v>
      </c>
      <c r="C88" s="20">
        <v>44510.408750000002</v>
      </c>
      <c r="D88" s="101" t="s">
        <v>25</v>
      </c>
      <c r="E88" s="101" t="s">
        <v>17</v>
      </c>
      <c r="F88" s="101">
        <v>0</v>
      </c>
      <c r="G88" s="101">
        <v>6.0819999999999999</v>
      </c>
      <c r="H88" s="12">
        <v>2245</v>
      </c>
      <c r="I88" s="101">
        <v>0</v>
      </c>
      <c r="J88" s="101" t="s">
        <v>18</v>
      </c>
      <c r="K88" s="101" t="s">
        <v>18</v>
      </c>
      <c r="L88" s="101" t="s">
        <v>18</v>
      </c>
      <c r="M88" s="101" t="s">
        <v>18</v>
      </c>
      <c r="O88" s="101">
        <v>59</v>
      </c>
      <c r="P88" s="101" t="s">
        <v>431</v>
      </c>
      <c r="Q88" s="20">
        <v>44510.408750000002</v>
      </c>
      <c r="R88" s="101" t="s">
        <v>25</v>
      </c>
      <c r="S88" s="101" t="s">
        <v>17</v>
      </c>
      <c r="T88" s="101">
        <v>0</v>
      </c>
      <c r="U88" s="101" t="s">
        <v>18</v>
      </c>
      <c r="V88" s="12" t="s">
        <v>18</v>
      </c>
      <c r="W88" s="101" t="s">
        <v>18</v>
      </c>
      <c r="X88" s="101" t="s">
        <v>18</v>
      </c>
      <c r="Y88" s="101" t="s">
        <v>18</v>
      </c>
      <c r="Z88" s="101" t="s">
        <v>18</v>
      </c>
      <c r="AA88" s="101" t="s">
        <v>18</v>
      </c>
      <c r="AC88" s="101">
        <v>59</v>
      </c>
      <c r="AD88" s="101" t="s">
        <v>431</v>
      </c>
      <c r="AE88" s="20">
        <v>44510.408750000002</v>
      </c>
      <c r="AF88" s="101" t="s">
        <v>25</v>
      </c>
      <c r="AG88" s="101" t="s">
        <v>17</v>
      </c>
      <c r="AH88" s="101">
        <v>0</v>
      </c>
      <c r="AI88" s="101">
        <v>12.268000000000001</v>
      </c>
      <c r="AJ88" s="12">
        <v>1926</v>
      </c>
      <c r="AK88" s="101">
        <v>0.39400000000000002</v>
      </c>
      <c r="AL88" s="101" t="s">
        <v>18</v>
      </c>
      <c r="AM88" s="101" t="s">
        <v>18</v>
      </c>
      <c r="AN88" s="101" t="s">
        <v>18</v>
      </c>
      <c r="AO88" s="101" t="s">
        <v>18</v>
      </c>
      <c r="AQ88" s="101">
        <v>1</v>
      </c>
      <c r="AS88" s="7">
        <v>62</v>
      </c>
      <c r="AT88" s="23">
        <f t="shared" si="0"/>
        <v>1.5755655512499995</v>
      </c>
      <c r="AU88" s="103">
        <f t="shared" si="1"/>
        <v>364.33288392024002</v>
      </c>
      <c r="AW88" s="60">
        <f t="shared" si="8"/>
        <v>1.8088255312500001</v>
      </c>
      <c r="AX88" s="61">
        <f t="shared" si="9"/>
        <v>391.67755619147999</v>
      </c>
      <c r="AZ88" s="23">
        <f t="shared" si="10"/>
        <v>1.5755655512499995</v>
      </c>
      <c r="BA88" s="103">
        <f t="shared" si="11"/>
        <v>364.33288392024002</v>
      </c>
      <c r="BC88" s="104">
        <f t="shared" si="12"/>
        <v>0.80166613250000007</v>
      </c>
      <c r="BD88" s="105">
        <f t="shared" si="13"/>
        <v>294.30953417248003</v>
      </c>
    </row>
    <row r="89" spans="1:56" s="101" customFormat="1" ht="14.4" x14ac:dyDescent="0.3">
      <c r="A89" s="101">
        <v>39</v>
      </c>
      <c r="B89" s="101" t="s">
        <v>432</v>
      </c>
      <c r="C89" s="20">
        <v>44523.45416666667</v>
      </c>
      <c r="D89" s="101" t="s">
        <v>25</v>
      </c>
      <c r="E89" s="101" t="s">
        <v>17</v>
      </c>
      <c r="F89" s="101">
        <v>0</v>
      </c>
      <c r="G89" s="101">
        <v>6.1</v>
      </c>
      <c r="H89" s="12">
        <v>1741</v>
      </c>
      <c r="I89" s="101">
        <v>-1E-3</v>
      </c>
      <c r="J89" s="101" t="s">
        <v>18</v>
      </c>
      <c r="K89" s="101" t="s">
        <v>18</v>
      </c>
      <c r="L89" s="101" t="s">
        <v>18</v>
      </c>
      <c r="M89" s="101" t="s">
        <v>18</v>
      </c>
      <c r="O89" s="101">
        <v>39</v>
      </c>
      <c r="P89" s="101" t="s">
        <v>432</v>
      </c>
      <c r="Q89" s="20">
        <v>44523.45416666667</v>
      </c>
      <c r="R89" s="101" t="s">
        <v>25</v>
      </c>
      <c r="S89" s="101" t="s">
        <v>17</v>
      </c>
      <c r="T89" s="101">
        <v>0</v>
      </c>
      <c r="U89" s="101" t="s">
        <v>18</v>
      </c>
      <c r="V89" s="12" t="s">
        <v>18</v>
      </c>
      <c r="W89" s="101" t="s">
        <v>18</v>
      </c>
      <c r="X89" s="101" t="s">
        <v>18</v>
      </c>
      <c r="Y89" s="101" t="s">
        <v>18</v>
      </c>
      <c r="Z89" s="101" t="s">
        <v>18</v>
      </c>
      <c r="AA89" s="101" t="s">
        <v>18</v>
      </c>
      <c r="AC89" s="101">
        <v>39</v>
      </c>
      <c r="AD89" s="101" t="s">
        <v>432</v>
      </c>
      <c r="AE89" s="20">
        <v>44523.45416666667</v>
      </c>
      <c r="AF89" s="101" t="s">
        <v>25</v>
      </c>
      <c r="AG89" s="101" t="s">
        <v>17</v>
      </c>
      <c r="AH89" s="101">
        <v>0</v>
      </c>
      <c r="AI89" s="101">
        <v>12.297000000000001</v>
      </c>
      <c r="AJ89" s="12">
        <v>2208</v>
      </c>
      <c r="AK89" s="101">
        <v>0.45</v>
      </c>
      <c r="AL89" s="101" t="s">
        <v>18</v>
      </c>
      <c r="AM89" s="101" t="s">
        <v>18</v>
      </c>
      <c r="AN89" s="101" t="s">
        <v>18</v>
      </c>
      <c r="AO89" s="101" t="s">
        <v>18</v>
      </c>
      <c r="AQ89" s="101">
        <v>1</v>
      </c>
      <c r="AS89" s="7">
        <v>63</v>
      </c>
      <c r="AT89" s="23">
        <f t="shared" si="0"/>
        <v>-0.2348081439499996</v>
      </c>
      <c r="AU89" s="103">
        <f t="shared" si="1"/>
        <v>418.23232820736001</v>
      </c>
      <c r="AW89" s="60">
        <f t="shared" si="8"/>
        <v>0.40281547124999939</v>
      </c>
      <c r="AX89" s="61">
        <f t="shared" si="9"/>
        <v>443.88717967871997</v>
      </c>
      <c r="AZ89" s="23">
        <f t="shared" si="10"/>
        <v>-0.2348081439499996</v>
      </c>
      <c r="BA89" s="103">
        <f t="shared" si="11"/>
        <v>418.23232820736001</v>
      </c>
      <c r="BC89" s="104">
        <f t="shared" si="12"/>
        <v>8.8976969300000208E-2</v>
      </c>
      <c r="BD89" s="105">
        <f t="shared" si="13"/>
        <v>352.56918326272</v>
      </c>
    </row>
    <row r="90" spans="1:56" s="101" customFormat="1" ht="14.4" x14ac:dyDescent="0.3">
      <c r="A90" s="101">
        <v>39</v>
      </c>
      <c r="B90" s="101" t="s">
        <v>433</v>
      </c>
      <c r="C90" s="20">
        <v>44530.411874999998</v>
      </c>
      <c r="D90" s="101" t="s">
        <v>25</v>
      </c>
      <c r="E90" s="101" t="s">
        <v>17</v>
      </c>
      <c r="F90" s="101">
        <v>0</v>
      </c>
      <c r="G90" s="101">
        <v>6.11</v>
      </c>
      <c r="H90" s="12">
        <v>2012</v>
      </c>
      <c r="I90" s="101">
        <v>-1E-3</v>
      </c>
      <c r="J90" s="101" t="s">
        <v>18</v>
      </c>
      <c r="K90" s="101" t="s">
        <v>18</v>
      </c>
      <c r="L90" s="101" t="s">
        <v>18</v>
      </c>
      <c r="M90" s="101" t="s">
        <v>18</v>
      </c>
      <c r="O90" s="101">
        <v>39</v>
      </c>
      <c r="P90" s="101" t="s">
        <v>433</v>
      </c>
      <c r="Q90" s="20">
        <v>44530.411874999998</v>
      </c>
      <c r="R90" s="101" t="s">
        <v>25</v>
      </c>
      <c r="S90" s="101" t="s">
        <v>17</v>
      </c>
      <c r="T90" s="101">
        <v>0</v>
      </c>
      <c r="U90" s="101" t="s">
        <v>18</v>
      </c>
      <c r="V90" s="12" t="s">
        <v>18</v>
      </c>
      <c r="W90" s="101" t="s">
        <v>18</v>
      </c>
      <c r="X90" s="101" t="s">
        <v>18</v>
      </c>
      <c r="Y90" s="101" t="s">
        <v>18</v>
      </c>
      <c r="Z90" s="101" t="s">
        <v>18</v>
      </c>
      <c r="AA90" s="101" t="s">
        <v>18</v>
      </c>
      <c r="AC90" s="101">
        <v>39</v>
      </c>
      <c r="AD90" s="101" t="s">
        <v>433</v>
      </c>
      <c r="AE90" s="20">
        <v>44530.411874999998</v>
      </c>
      <c r="AF90" s="101" t="s">
        <v>25</v>
      </c>
      <c r="AG90" s="101" t="s">
        <v>17</v>
      </c>
      <c r="AH90" s="101">
        <v>0</v>
      </c>
      <c r="AI90" s="101">
        <v>12.298999999999999</v>
      </c>
      <c r="AJ90" s="12">
        <v>2097</v>
      </c>
      <c r="AK90" s="101">
        <v>0.42799999999999999</v>
      </c>
      <c r="AL90" s="101" t="s">
        <v>18</v>
      </c>
      <c r="AM90" s="101" t="s">
        <v>18</v>
      </c>
      <c r="AN90" s="101" t="s">
        <v>18</v>
      </c>
      <c r="AO90" s="101" t="s">
        <v>18</v>
      </c>
      <c r="AQ90" s="101">
        <v>1</v>
      </c>
      <c r="AS90" s="7">
        <v>64</v>
      </c>
      <c r="AT90" s="23">
        <f t="shared" si="0"/>
        <v>0.74228605520000013</v>
      </c>
      <c r="AU90" s="103">
        <f t="shared" si="1"/>
        <v>397.01689812966004</v>
      </c>
      <c r="AW90" s="60">
        <f t="shared" si="8"/>
        <v>1.1574830599999988</v>
      </c>
      <c r="AX90" s="61">
        <f t="shared" si="9"/>
        <v>423.33777463707003</v>
      </c>
      <c r="AZ90" s="23">
        <f t="shared" si="10"/>
        <v>0.74228605520000013</v>
      </c>
      <c r="BA90" s="103">
        <f t="shared" si="11"/>
        <v>397.01689812966004</v>
      </c>
      <c r="BC90" s="104">
        <f t="shared" si="12"/>
        <v>0.46301412320000002</v>
      </c>
      <c r="BD90" s="105">
        <f t="shared" si="13"/>
        <v>329.63767812232004</v>
      </c>
    </row>
    <row r="91" spans="1:56" s="101" customFormat="1" ht="14.4" x14ac:dyDescent="0.3">
      <c r="A91" s="101">
        <v>39</v>
      </c>
      <c r="B91" s="101" t="s">
        <v>434</v>
      </c>
      <c r="C91" s="20">
        <v>44531.490162037036</v>
      </c>
      <c r="D91" s="101" t="s">
        <v>25</v>
      </c>
      <c r="E91" s="101" t="s">
        <v>17</v>
      </c>
      <c r="F91" s="101">
        <v>0</v>
      </c>
      <c r="G91" s="101">
        <v>6.0979999999999999</v>
      </c>
      <c r="H91" s="12">
        <v>2615</v>
      </c>
      <c r="I91" s="101">
        <v>1E-3</v>
      </c>
      <c r="J91" s="101" t="s">
        <v>18</v>
      </c>
      <c r="K91" s="101" t="s">
        <v>18</v>
      </c>
      <c r="L91" s="101" t="s">
        <v>18</v>
      </c>
      <c r="M91" s="101" t="s">
        <v>18</v>
      </c>
      <c r="O91" s="101">
        <v>39</v>
      </c>
      <c r="P91" s="101" t="s">
        <v>434</v>
      </c>
      <c r="Q91" s="20">
        <v>44531.490162037036</v>
      </c>
      <c r="R91" s="101" t="s">
        <v>25</v>
      </c>
      <c r="S91" s="101" t="s">
        <v>17</v>
      </c>
      <c r="T91" s="101">
        <v>0</v>
      </c>
      <c r="U91" s="101" t="s">
        <v>18</v>
      </c>
      <c r="V91" s="101" t="s">
        <v>18</v>
      </c>
      <c r="W91" s="101" t="s">
        <v>18</v>
      </c>
      <c r="X91" s="101" t="s">
        <v>18</v>
      </c>
      <c r="Y91" s="101" t="s">
        <v>18</v>
      </c>
      <c r="Z91" s="101" t="s">
        <v>18</v>
      </c>
      <c r="AA91" s="101" t="s">
        <v>18</v>
      </c>
      <c r="AC91" s="101">
        <v>39</v>
      </c>
      <c r="AD91" s="101" t="s">
        <v>434</v>
      </c>
      <c r="AE91" s="20">
        <v>44531.490162037036</v>
      </c>
      <c r="AF91" s="101" t="s">
        <v>25</v>
      </c>
      <c r="AG91" s="101" t="s">
        <v>17</v>
      </c>
      <c r="AH91" s="101">
        <v>0</v>
      </c>
      <c r="AI91" s="101">
        <v>12.285</v>
      </c>
      <c r="AJ91" s="12">
        <v>2845</v>
      </c>
      <c r="AK91" s="101">
        <v>0.57699999999999996</v>
      </c>
      <c r="AL91" s="101" t="s">
        <v>18</v>
      </c>
      <c r="AM91" s="101" t="s">
        <v>18</v>
      </c>
      <c r="AN91" s="101" t="s">
        <v>18</v>
      </c>
      <c r="AO91" s="101" t="s">
        <v>18</v>
      </c>
      <c r="AQ91" s="101">
        <v>1</v>
      </c>
      <c r="AS91" s="7">
        <v>65</v>
      </c>
      <c r="AT91" s="23">
        <f t="shared" ref="AT91:AT100" si="14">IF(H91&lt;10000,((-0.00000005795*H91^2)+(0.003823*H91)+(-6.715)),(IF(H91&lt;700000,((-0.0000000001209*H91^2)+(0.002635*H91)+(-0.4111)), ((-0.00000002007*V91^2)+(0.2564*V91)+(286.1)))))</f>
        <v>2.8858698612500007</v>
      </c>
      <c r="AU91" s="103">
        <f t="shared" ref="AU91:AU100" si="15">(-0.00000001626*AJ91^2)+(0.1912*AJ91)+(-3.858)</f>
        <v>539.97439115350016</v>
      </c>
      <c r="AW91" s="60">
        <f t="shared" si="8"/>
        <v>2.8478872812499993</v>
      </c>
      <c r="AX91" s="61">
        <f t="shared" si="9"/>
        <v>561.78493805075016</v>
      </c>
      <c r="AZ91" s="23">
        <f t="shared" si="10"/>
        <v>2.8858698612500007</v>
      </c>
      <c r="BA91" s="103">
        <f t="shared" si="11"/>
        <v>539.97439115350016</v>
      </c>
      <c r="BC91" s="104">
        <f t="shared" si="12"/>
        <v>1.3718575924999998</v>
      </c>
      <c r="BD91" s="105">
        <f t="shared" si="13"/>
        <v>484.15494048200009</v>
      </c>
    </row>
    <row r="92" spans="1:56" s="101" customFormat="1" ht="14.4" x14ac:dyDescent="0.3">
      <c r="A92" s="101">
        <v>39</v>
      </c>
      <c r="B92" s="101" t="s">
        <v>435</v>
      </c>
      <c r="C92" s="20">
        <v>44532.550416666665</v>
      </c>
      <c r="D92" s="101" t="s">
        <v>25</v>
      </c>
      <c r="E92" s="101" t="s">
        <v>17</v>
      </c>
      <c r="F92" s="101">
        <v>0</v>
      </c>
      <c r="G92" s="101">
        <v>6.0919999999999996</v>
      </c>
      <c r="H92" s="12">
        <v>2214</v>
      </c>
      <c r="I92" s="101">
        <v>0</v>
      </c>
      <c r="J92" s="101" t="s">
        <v>18</v>
      </c>
      <c r="K92" s="101" t="s">
        <v>18</v>
      </c>
      <c r="L92" s="101" t="s">
        <v>18</v>
      </c>
      <c r="M92" s="101" t="s">
        <v>18</v>
      </c>
      <c r="O92" s="101">
        <v>39</v>
      </c>
      <c r="P92" s="101" t="s">
        <v>435</v>
      </c>
      <c r="Q92" s="20">
        <v>44532.550416666665</v>
      </c>
      <c r="R92" s="101" t="s">
        <v>25</v>
      </c>
      <c r="S92" s="101" t="s">
        <v>17</v>
      </c>
      <c r="T92" s="101">
        <v>0</v>
      </c>
      <c r="U92" s="101" t="s">
        <v>18</v>
      </c>
      <c r="V92" s="12" t="s">
        <v>18</v>
      </c>
      <c r="W92" s="101" t="s">
        <v>18</v>
      </c>
      <c r="X92" s="101" t="s">
        <v>18</v>
      </c>
      <c r="Y92" s="101" t="s">
        <v>18</v>
      </c>
      <c r="Z92" s="101" t="s">
        <v>18</v>
      </c>
      <c r="AA92" s="101" t="s">
        <v>18</v>
      </c>
      <c r="AC92" s="101">
        <v>39</v>
      </c>
      <c r="AD92" s="101" t="s">
        <v>435</v>
      </c>
      <c r="AE92" s="20">
        <v>44532.550416666665</v>
      </c>
      <c r="AF92" s="101" t="s">
        <v>25</v>
      </c>
      <c r="AG92" s="101" t="s">
        <v>17</v>
      </c>
      <c r="AH92" s="101">
        <v>0</v>
      </c>
      <c r="AI92" s="101">
        <v>12.266</v>
      </c>
      <c r="AJ92" s="12">
        <v>2516</v>
      </c>
      <c r="AK92" s="101">
        <v>0.51200000000000001</v>
      </c>
      <c r="AL92" s="101" t="s">
        <v>18</v>
      </c>
      <c r="AM92" s="101" t="s">
        <v>18</v>
      </c>
      <c r="AN92" s="101" t="s">
        <v>18</v>
      </c>
      <c r="AO92" s="101" t="s">
        <v>18</v>
      </c>
      <c r="AQ92" s="101">
        <v>1</v>
      </c>
      <c r="AS92" s="7">
        <v>66</v>
      </c>
      <c r="AT92" s="23">
        <f t="shared" si="14"/>
        <v>1.4650629217999995</v>
      </c>
      <c r="AU92" s="103">
        <f t="shared" si="15"/>
        <v>477.09827003744005</v>
      </c>
      <c r="AW92" s="60">
        <f t="shared" si="8"/>
        <v>1.7220331649999991</v>
      </c>
      <c r="AX92" s="61">
        <f t="shared" si="9"/>
        <v>500.89904983088002</v>
      </c>
      <c r="AZ92" s="23">
        <f t="shared" si="10"/>
        <v>1.4650629217999995</v>
      </c>
      <c r="BA92" s="103">
        <f t="shared" si="11"/>
        <v>477.09827003744005</v>
      </c>
      <c r="BC92" s="104">
        <f t="shared" si="12"/>
        <v>0.75569955880000017</v>
      </c>
      <c r="BD92" s="105">
        <f t="shared" si="13"/>
        <v>416.19565186687993</v>
      </c>
    </row>
    <row r="93" spans="1:56" s="101" customFormat="1" ht="14.4" x14ac:dyDescent="0.3">
      <c r="A93" s="101">
        <v>39</v>
      </c>
      <c r="B93" s="101" t="s">
        <v>436</v>
      </c>
      <c r="C93" s="20">
        <v>44537.416134259256</v>
      </c>
      <c r="D93" s="101" t="s">
        <v>25</v>
      </c>
      <c r="E93" s="101" t="s">
        <v>17</v>
      </c>
      <c r="F93" s="101">
        <v>0</v>
      </c>
      <c r="G93" s="101">
        <v>6.0919999999999996</v>
      </c>
      <c r="H93" s="12">
        <v>2123</v>
      </c>
      <c r="I93" s="101">
        <v>0</v>
      </c>
      <c r="J93" s="101" t="s">
        <v>18</v>
      </c>
      <c r="K93" s="101" t="s">
        <v>18</v>
      </c>
      <c r="L93" s="101" t="s">
        <v>18</v>
      </c>
      <c r="M93" s="101" t="s">
        <v>18</v>
      </c>
      <c r="O93" s="101">
        <v>39</v>
      </c>
      <c r="P93" s="101" t="s">
        <v>436</v>
      </c>
      <c r="Q93" s="20">
        <v>44537.416134259256</v>
      </c>
      <c r="R93" s="101" t="s">
        <v>25</v>
      </c>
      <c r="S93" s="101" t="s">
        <v>17</v>
      </c>
      <c r="T93" s="101">
        <v>0</v>
      </c>
      <c r="U93" s="101" t="s">
        <v>18</v>
      </c>
      <c r="V93" s="101" t="s">
        <v>18</v>
      </c>
      <c r="W93" s="101" t="s">
        <v>18</v>
      </c>
      <c r="X93" s="101" t="s">
        <v>18</v>
      </c>
      <c r="Y93" s="101" t="s">
        <v>18</v>
      </c>
      <c r="Z93" s="101" t="s">
        <v>18</v>
      </c>
      <c r="AA93" s="101" t="s">
        <v>18</v>
      </c>
      <c r="AC93" s="101">
        <v>39</v>
      </c>
      <c r="AD93" s="101" t="s">
        <v>436</v>
      </c>
      <c r="AE93" s="20">
        <v>44537.416134259256</v>
      </c>
      <c r="AF93" s="101" t="s">
        <v>25</v>
      </c>
      <c r="AG93" s="101" t="s">
        <v>17</v>
      </c>
      <c r="AH93" s="101">
        <v>0</v>
      </c>
      <c r="AI93" s="101">
        <v>12.286</v>
      </c>
      <c r="AJ93" s="12">
        <v>1968</v>
      </c>
      <c r="AK93" s="101">
        <v>0.40200000000000002</v>
      </c>
      <c r="AL93" s="101" t="s">
        <v>18</v>
      </c>
      <c r="AM93" s="101" t="s">
        <v>18</v>
      </c>
      <c r="AN93" s="101" t="s">
        <v>18</v>
      </c>
      <c r="AO93" s="101" t="s">
        <v>18</v>
      </c>
      <c r="AQ93" s="101">
        <v>1</v>
      </c>
      <c r="AS93" s="7">
        <v>67</v>
      </c>
      <c r="AT93" s="23">
        <f t="shared" si="14"/>
        <v>1.1400408744500004</v>
      </c>
      <c r="AU93" s="103">
        <f t="shared" si="15"/>
        <v>372.36062462976003</v>
      </c>
      <c r="AW93" s="60">
        <f t="shared" si="8"/>
        <v>1.4674914912499988</v>
      </c>
      <c r="AX93" s="61">
        <f t="shared" si="9"/>
        <v>399.45409028352003</v>
      </c>
      <c r="AZ93" s="23">
        <f t="shared" si="10"/>
        <v>1.1400408744500004</v>
      </c>
      <c r="BA93" s="103">
        <f t="shared" si="11"/>
        <v>372.36062462976003</v>
      </c>
      <c r="BC93" s="104">
        <f t="shared" si="12"/>
        <v>0.62237854369999979</v>
      </c>
      <c r="BD93" s="105">
        <f t="shared" si="13"/>
        <v>302.98676042751998</v>
      </c>
    </row>
    <row r="94" spans="1:56" s="101" customFormat="1" ht="14.4" x14ac:dyDescent="0.3">
      <c r="A94" s="101">
        <v>39</v>
      </c>
      <c r="B94" s="101" t="s">
        <v>437</v>
      </c>
      <c r="C94" s="20">
        <v>44538.434629629628</v>
      </c>
      <c r="D94" s="101" t="s">
        <v>25</v>
      </c>
      <c r="E94" s="101" t="s">
        <v>17</v>
      </c>
      <c r="F94" s="101">
        <v>0</v>
      </c>
      <c r="G94" s="101">
        <v>6.1</v>
      </c>
      <c r="H94" s="12">
        <v>1904</v>
      </c>
      <c r="I94" s="101">
        <v>-1E-3</v>
      </c>
      <c r="J94" s="101" t="s">
        <v>18</v>
      </c>
      <c r="K94" s="101" t="s">
        <v>18</v>
      </c>
      <c r="L94" s="101" t="s">
        <v>18</v>
      </c>
      <c r="M94" s="101" t="s">
        <v>18</v>
      </c>
      <c r="O94" s="101">
        <v>39</v>
      </c>
      <c r="P94" s="101" t="s">
        <v>437</v>
      </c>
      <c r="Q94" s="20">
        <v>44538.434629629628</v>
      </c>
      <c r="R94" s="101" t="s">
        <v>25</v>
      </c>
      <c r="S94" s="101" t="s">
        <v>17</v>
      </c>
      <c r="T94" s="101">
        <v>0</v>
      </c>
      <c r="U94" s="101" t="s">
        <v>18</v>
      </c>
      <c r="V94" s="101" t="s">
        <v>18</v>
      </c>
      <c r="W94" s="101" t="s">
        <v>18</v>
      </c>
      <c r="X94" s="101" t="s">
        <v>18</v>
      </c>
      <c r="Y94" s="101" t="s">
        <v>18</v>
      </c>
      <c r="Z94" s="101" t="s">
        <v>18</v>
      </c>
      <c r="AA94" s="101" t="s">
        <v>18</v>
      </c>
      <c r="AC94" s="101">
        <v>39</v>
      </c>
      <c r="AD94" s="101" t="s">
        <v>437</v>
      </c>
      <c r="AE94" s="20">
        <v>44538.434629629628</v>
      </c>
      <c r="AF94" s="101" t="s">
        <v>25</v>
      </c>
      <c r="AG94" s="101" t="s">
        <v>17</v>
      </c>
      <c r="AH94" s="101">
        <v>0</v>
      </c>
      <c r="AI94" s="101">
        <v>12.294</v>
      </c>
      <c r="AJ94" s="12">
        <v>2016</v>
      </c>
      <c r="AK94" s="101">
        <v>0.41199999999999998</v>
      </c>
      <c r="AL94" s="101" t="s">
        <v>18</v>
      </c>
      <c r="AM94" s="101" t="s">
        <v>18</v>
      </c>
      <c r="AN94" s="101" t="s">
        <v>18</v>
      </c>
      <c r="AO94" s="101" t="s">
        <v>18</v>
      </c>
      <c r="AQ94" s="101">
        <v>1</v>
      </c>
      <c r="AS94" s="7">
        <v>68</v>
      </c>
      <c r="AT94" s="23">
        <f t="shared" si="14"/>
        <v>0.35391073280000018</v>
      </c>
      <c r="AU94" s="103">
        <f t="shared" si="15"/>
        <v>381.53511519744001</v>
      </c>
      <c r="AW94" s="60">
        <f t="shared" si="8"/>
        <v>0.85635583999999909</v>
      </c>
      <c r="AX94" s="61">
        <f t="shared" si="9"/>
        <v>408.34128665088002</v>
      </c>
      <c r="AZ94" s="23">
        <f t="shared" si="10"/>
        <v>0.35391073280000018</v>
      </c>
      <c r="BA94" s="103">
        <f t="shared" si="11"/>
        <v>381.53511519744001</v>
      </c>
      <c r="BC94" s="104">
        <f t="shared" si="12"/>
        <v>0.31139348480000018</v>
      </c>
      <c r="BD94" s="105">
        <f t="shared" si="13"/>
        <v>312.90348018688002</v>
      </c>
    </row>
    <row r="95" spans="1:56" s="101" customFormat="1" ht="14.4" x14ac:dyDescent="0.3">
      <c r="A95" s="101">
        <v>81</v>
      </c>
      <c r="B95" s="101" t="s">
        <v>438</v>
      </c>
      <c r="C95" s="20">
        <v>44539.465960648151</v>
      </c>
      <c r="D95" s="101" t="s">
        <v>25</v>
      </c>
      <c r="E95" s="101" t="s">
        <v>17</v>
      </c>
      <c r="F95" s="101">
        <v>0</v>
      </c>
      <c r="G95" s="101">
        <v>6.0979999999999999</v>
      </c>
      <c r="H95" s="12">
        <v>1682</v>
      </c>
      <c r="I95" s="101">
        <v>-1E-3</v>
      </c>
      <c r="J95" s="101" t="s">
        <v>18</v>
      </c>
      <c r="K95" s="101" t="s">
        <v>18</v>
      </c>
      <c r="L95" s="101" t="s">
        <v>18</v>
      </c>
      <c r="M95" s="101" t="s">
        <v>18</v>
      </c>
      <c r="O95" s="101">
        <v>81</v>
      </c>
      <c r="P95" s="101" t="s">
        <v>438</v>
      </c>
      <c r="Q95" s="20">
        <v>44539.465960648151</v>
      </c>
      <c r="R95" s="101" t="s">
        <v>25</v>
      </c>
      <c r="S95" s="101" t="s">
        <v>17</v>
      </c>
      <c r="T95" s="101">
        <v>0</v>
      </c>
      <c r="U95" s="101" t="s">
        <v>18</v>
      </c>
      <c r="V95" s="101" t="s">
        <v>18</v>
      </c>
      <c r="W95" s="101" t="s">
        <v>18</v>
      </c>
      <c r="X95" s="101" t="s">
        <v>18</v>
      </c>
      <c r="Y95" s="101" t="s">
        <v>18</v>
      </c>
      <c r="Z95" s="101" t="s">
        <v>18</v>
      </c>
      <c r="AA95" s="101" t="s">
        <v>18</v>
      </c>
      <c r="AC95" s="101">
        <v>81</v>
      </c>
      <c r="AD95" s="101" t="s">
        <v>438</v>
      </c>
      <c r="AE95" s="20">
        <v>44539.465960648151</v>
      </c>
      <c r="AF95" s="101" t="s">
        <v>25</v>
      </c>
      <c r="AG95" s="101" t="s">
        <v>17</v>
      </c>
      <c r="AH95" s="101">
        <v>0</v>
      </c>
      <c r="AI95" s="101">
        <v>12.269</v>
      </c>
      <c r="AJ95" s="12">
        <v>2675</v>
      </c>
      <c r="AK95" s="101">
        <v>0.54400000000000004</v>
      </c>
      <c r="AL95" s="101" t="s">
        <v>18</v>
      </c>
      <c r="AM95" s="101" t="s">
        <v>18</v>
      </c>
      <c r="AN95" s="101" t="s">
        <v>18</v>
      </c>
      <c r="AO95" s="101" t="s">
        <v>18</v>
      </c>
      <c r="AQ95" s="101">
        <v>1</v>
      </c>
      <c r="AS95" s="7">
        <v>69</v>
      </c>
      <c r="AT95" s="23">
        <f t="shared" si="14"/>
        <v>-0.44866173580000002</v>
      </c>
      <c r="AU95" s="103">
        <f t="shared" si="15"/>
        <v>507.48564953750002</v>
      </c>
      <c r="AW95" s="60">
        <f t="shared" si="8"/>
        <v>0.23892888499999909</v>
      </c>
      <c r="AX95" s="61">
        <f t="shared" si="9"/>
        <v>530.32584141875009</v>
      </c>
      <c r="AZ95" s="23">
        <f t="shared" si="10"/>
        <v>-0.44866173580000002</v>
      </c>
      <c r="BA95" s="103">
        <f t="shared" si="11"/>
        <v>507.48564953750002</v>
      </c>
      <c r="BC95" s="104">
        <f t="shared" si="12"/>
        <v>1.0373517200000126E-2</v>
      </c>
      <c r="BD95" s="105">
        <f t="shared" si="13"/>
        <v>449.03988844999998</v>
      </c>
    </row>
    <row r="96" spans="1:56" s="101" customFormat="1" ht="14.4" x14ac:dyDescent="0.3">
      <c r="A96" s="101">
        <v>39</v>
      </c>
      <c r="B96" s="101" t="s">
        <v>439</v>
      </c>
      <c r="C96" s="20">
        <v>44543.436793981484</v>
      </c>
      <c r="D96" s="101" t="s">
        <v>25</v>
      </c>
      <c r="E96" s="101" t="s">
        <v>17</v>
      </c>
      <c r="F96" s="101">
        <v>0</v>
      </c>
      <c r="G96" s="101">
        <v>6.0780000000000003</v>
      </c>
      <c r="H96" s="12">
        <v>1685</v>
      </c>
      <c r="I96" s="101">
        <v>-1E-3</v>
      </c>
      <c r="J96" s="101" t="s">
        <v>18</v>
      </c>
      <c r="K96" s="101" t="s">
        <v>18</v>
      </c>
      <c r="L96" s="101" t="s">
        <v>18</v>
      </c>
      <c r="M96" s="101" t="s">
        <v>18</v>
      </c>
      <c r="O96" s="101">
        <v>39</v>
      </c>
      <c r="P96" s="101" t="s">
        <v>439</v>
      </c>
      <c r="Q96" s="20">
        <v>44543.436793981484</v>
      </c>
      <c r="R96" s="101" t="s">
        <v>25</v>
      </c>
      <c r="S96" s="101" t="s">
        <v>17</v>
      </c>
      <c r="T96" s="101">
        <v>0</v>
      </c>
      <c r="U96" s="101" t="s">
        <v>18</v>
      </c>
      <c r="V96" s="101" t="s">
        <v>18</v>
      </c>
      <c r="W96" s="101" t="s">
        <v>18</v>
      </c>
      <c r="X96" s="101" t="s">
        <v>18</v>
      </c>
      <c r="Y96" s="101" t="s">
        <v>18</v>
      </c>
      <c r="Z96" s="101" t="s">
        <v>18</v>
      </c>
      <c r="AA96" s="101" t="s">
        <v>18</v>
      </c>
      <c r="AC96" s="101">
        <v>39</v>
      </c>
      <c r="AD96" s="101" t="s">
        <v>439</v>
      </c>
      <c r="AE96" s="20">
        <v>44543.436793981484</v>
      </c>
      <c r="AF96" s="101" t="s">
        <v>25</v>
      </c>
      <c r="AG96" s="101" t="s">
        <v>17</v>
      </c>
      <c r="AH96" s="101">
        <v>0</v>
      </c>
      <c r="AI96" s="101">
        <v>12.291</v>
      </c>
      <c r="AJ96" s="12">
        <v>2293</v>
      </c>
      <c r="AK96" s="101">
        <v>0.46700000000000003</v>
      </c>
      <c r="AL96" s="101" t="s">
        <v>18</v>
      </c>
      <c r="AM96" s="101" t="s">
        <v>18</v>
      </c>
      <c r="AN96" s="101" t="s">
        <v>18</v>
      </c>
      <c r="AO96" s="101" t="s">
        <v>18</v>
      </c>
      <c r="AQ96" s="101">
        <v>1</v>
      </c>
      <c r="AS96" s="7">
        <v>70</v>
      </c>
      <c r="AT96" s="23">
        <f t="shared" si="14"/>
        <v>-0.43777808875000002</v>
      </c>
      <c r="AU96" s="103">
        <f t="shared" si="15"/>
        <v>434.47810737525998</v>
      </c>
      <c r="AW96" s="60">
        <f t="shared" si="8"/>
        <v>0.24725853124999997</v>
      </c>
      <c r="AX96" s="61">
        <f t="shared" si="9"/>
        <v>459.62216481826999</v>
      </c>
      <c r="AZ96" s="23">
        <f t="shared" si="10"/>
        <v>-0.43777808875000002</v>
      </c>
      <c r="BA96" s="103">
        <f t="shared" si="11"/>
        <v>434.47810737525998</v>
      </c>
      <c r="BC96" s="104">
        <f t="shared" si="12"/>
        <v>1.4345892499999957E-2</v>
      </c>
      <c r="BD96" s="105">
        <f t="shared" si="13"/>
        <v>370.12891969352</v>
      </c>
    </row>
    <row r="97" spans="1:88" s="101" customFormat="1" ht="14.4" x14ac:dyDescent="0.3">
      <c r="A97" s="101">
        <v>77</v>
      </c>
      <c r="B97" s="101" t="s">
        <v>440</v>
      </c>
      <c r="C97" s="20">
        <v>44544.423796296294</v>
      </c>
      <c r="D97" s="101" t="s">
        <v>25</v>
      </c>
      <c r="E97" s="101" t="s">
        <v>17</v>
      </c>
      <c r="F97" s="101">
        <v>0</v>
      </c>
      <c r="G97" s="101">
        <v>6.0650000000000004</v>
      </c>
      <c r="H97" s="12">
        <v>1417</v>
      </c>
      <c r="I97" s="101">
        <v>-2E-3</v>
      </c>
      <c r="J97" s="101" t="s">
        <v>18</v>
      </c>
      <c r="K97" s="101" t="s">
        <v>18</v>
      </c>
      <c r="L97" s="101" t="s">
        <v>18</v>
      </c>
      <c r="M97" s="101" t="s">
        <v>18</v>
      </c>
      <c r="O97" s="101">
        <v>77</v>
      </c>
      <c r="P97" s="101" t="s">
        <v>440</v>
      </c>
      <c r="Q97" s="20">
        <v>44544.423796296294</v>
      </c>
      <c r="R97" s="101" t="s">
        <v>25</v>
      </c>
      <c r="S97" s="101" t="s">
        <v>17</v>
      </c>
      <c r="T97" s="101">
        <v>0</v>
      </c>
      <c r="U97" s="101" t="s">
        <v>18</v>
      </c>
      <c r="V97" s="101" t="s">
        <v>18</v>
      </c>
      <c r="W97" s="101" t="s">
        <v>18</v>
      </c>
      <c r="X97" s="101" t="s">
        <v>18</v>
      </c>
      <c r="Y97" s="101" t="s">
        <v>18</v>
      </c>
      <c r="Z97" s="101" t="s">
        <v>18</v>
      </c>
      <c r="AA97" s="101" t="s">
        <v>18</v>
      </c>
      <c r="AC97" s="101">
        <v>77</v>
      </c>
      <c r="AD97" s="101" t="s">
        <v>440</v>
      </c>
      <c r="AE97" s="20">
        <v>44544.423796296294</v>
      </c>
      <c r="AF97" s="101" t="s">
        <v>25</v>
      </c>
      <c r="AG97" s="101" t="s">
        <v>17</v>
      </c>
      <c r="AH97" s="101">
        <v>0</v>
      </c>
      <c r="AI97" s="101">
        <v>12.276</v>
      </c>
      <c r="AJ97" s="12">
        <v>2453</v>
      </c>
      <c r="AK97" s="101">
        <v>0.499</v>
      </c>
      <c r="AL97" s="101" t="s">
        <v>18</v>
      </c>
      <c r="AM97" s="101" t="s">
        <v>18</v>
      </c>
      <c r="AN97" s="101" t="s">
        <v>18</v>
      </c>
      <c r="AO97" s="101" t="s">
        <v>18</v>
      </c>
      <c r="AQ97" s="101">
        <v>1</v>
      </c>
      <c r="AS97" s="7">
        <v>71</v>
      </c>
      <c r="AT97" s="23">
        <f t="shared" si="14"/>
        <v>-1.4141661675500004</v>
      </c>
      <c r="AU97" s="103">
        <f t="shared" si="15"/>
        <v>465.05776018166</v>
      </c>
      <c r="AW97" s="60">
        <f t="shared" si="8"/>
        <v>-0.49534735875000058</v>
      </c>
      <c r="AX97" s="61">
        <f t="shared" si="9"/>
        <v>489.23849979107001</v>
      </c>
      <c r="AZ97" s="23">
        <f t="shared" si="10"/>
        <v>-1.4141661675500004</v>
      </c>
      <c r="BA97" s="103">
        <f t="shared" si="11"/>
        <v>465.05776018166</v>
      </c>
      <c r="BC97" s="104">
        <f t="shared" si="12"/>
        <v>-0.33020042830000018</v>
      </c>
      <c r="BD97" s="105">
        <f t="shared" si="13"/>
        <v>403.18154082632003</v>
      </c>
    </row>
    <row r="98" spans="1:88" s="101" customFormat="1" ht="14.4" x14ac:dyDescent="0.3">
      <c r="A98" s="101">
        <v>39</v>
      </c>
      <c r="B98" s="101" t="s">
        <v>441</v>
      </c>
      <c r="C98" s="20">
        <v>44545.406817129631</v>
      </c>
      <c r="D98" s="101" t="s">
        <v>25</v>
      </c>
      <c r="E98" s="101" t="s">
        <v>17</v>
      </c>
      <c r="F98" s="101">
        <v>0</v>
      </c>
      <c r="G98" s="101">
        <v>6.0949999999999998</v>
      </c>
      <c r="H98" s="12">
        <v>1696</v>
      </c>
      <c r="I98" s="101">
        <v>-1E-3</v>
      </c>
      <c r="J98" s="101" t="s">
        <v>18</v>
      </c>
      <c r="K98" s="101" t="s">
        <v>18</v>
      </c>
      <c r="L98" s="101" t="s">
        <v>18</v>
      </c>
      <c r="M98" s="101" t="s">
        <v>18</v>
      </c>
      <c r="O98" s="101">
        <v>39</v>
      </c>
      <c r="P98" s="101" t="s">
        <v>441</v>
      </c>
      <c r="Q98" s="20">
        <v>44545.406817129631</v>
      </c>
      <c r="R98" s="101" t="s">
        <v>25</v>
      </c>
      <c r="S98" s="101" t="s">
        <v>17</v>
      </c>
      <c r="T98" s="101">
        <v>0</v>
      </c>
      <c r="U98" s="101" t="s">
        <v>18</v>
      </c>
      <c r="V98" s="101" t="s">
        <v>18</v>
      </c>
      <c r="W98" s="101" t="s">
        <v>18</v>
      </c>
      <c r="X98" s="101" t="s">
        <v>18</v>
      </c>
      <c r="Y98" s="101" t="s">
        <v>18</v>
      </c>
      <c r="Z98" s="101" t="s">
        <v>18</v>
      </c>
      <c r="AA98" s="101" t="s">
        <v>18</v>
      </c>
      <c r="AC98" s="101">
        <v>39</v>
      </c>
      <c r="AD98" s="101" t="s">
        <v>441</v>
      </c>
      <c r="AE98" s="20">
        <v>44545.406817129631</v>
      </c>
      <c r="AF98" s="101" t="s">
        <v>25</v>
      </c>
      <c r="AG98" s="101" t="s">
        <v>17</v>
      </c>
      <c r="AH98" s="101">
        <v>0</v>
      </c>
      <c r="AI98" s="101">
        <v>12.292</v>
      </c>
      <c r="AJ98" s="12">
        <v>2633</v>
      </c>
      <c r="AK98" s="101">
        <v>0.53500000000000003</v>
      </c>
      <c r="AL98" s="101" t="s">
        <v>18</v>
      </c>
      <c r="AM98" s="101" t="s">
        <v>18</v>
      </c>
      <c r="AN98" s="101" t="s">
        <v>18</v>
      </c>
      <c r="AO98" s="101" t="s">
        <v>18</v>
      </c>
      <c r="AQ98" s="101">
        <v>1</v>
      </c>
      <c r="AS98" s="7">
        <v>72</v>
      </c>
      <c r="AT98" s="23">
        <f t="shared" si="14"/>
        <v>-0.39788030720000034</v>
      </c>
      <c r="AU98" s="103">
        <f t="shared" si="15"/>
        <v>499.45887447686005</v>
      </c>
      <c r="AW98" s="60">
        <f t="shared" si="8"/>
        <v>0.27780383999999891</v>
      </c>
      <c r="AX98" s="61">
        <f t="shared" si="9"/>
        <v>522.55303511147008</v>
      </c>
      <c r="AZ98" s="23">
        <f t="shared" si="10"/>
        <v>-0.39788030720000034</v>
      </c>
      <c r="BA98" s="103">
        <f t="shared" si="11"/>
        <v>499.45887447686005</v>
      </c>
      <c r="BC98" s="104">
        <f t="shared" si="12"/>
        <v>2.8933644799999936E-2</v>
      </c>
      <c r="BD98" s="105">
        <f t="shared" si="13"/>
        <v>440.36417777671994</v>
      </c>
    </row>
    <row r="99" spans="1:88" s="101" customFormat="1" ht="14.4" x14ac:dyDescent="0.3">
      <c r="A99" s="101">
        <v>39</v>
      </c>
      <c r="B99" s="101" t="s">
        <v>442</v>
      </c>
      <c r="C99" s="20">
        <v>44550.507071759261</v>
      </c>
      <c r="D99" s="101" t="s">
        <v>25</v>
      </c>
      <c r="E99" s="101" t="s">
        <v>17</v>
      </c>
      <c r="F99" s="101">
        <v>0</v>
      </c>
      <c r="G99" s="101">
        <v>6.0789999999999997</v>
      </c>
      <c r="H99" s="12">
        <v>1823</v>
      </c>
      <c r="I99" s="101">
        <v>-1E-3</v>
      </c>
      <c r="J99" s="101" t="s">
        <v>18</v>
      </c>
      <c r="K99" s="101" t="s">
        <v>18</v>
      </c>
      <c r="L99" s="101" t="s">
        <v>18</v>
      </c>
      <c r="M99" s="101" t="s">
        <v>18</v>
      </c>
      <c r="O99" s="101">
        <v>39</v>
      </c>
      <c r="P99" s="101" t="s">
        <v>442</v>
      </c>
      <c r="Q99" s="20">
        <v>44550.507071759261</v>
      </c>
      <c r="R99" s="101" t="s">
        <v>25</v>
      </c>
      <c r="S99" s="101" t="s">
        <v>17</v>
      </c>
      <c r="T99" s="101">
        <v>0</v>
      </c>
      <c r="U99" s="101" t="s">
        <v>18</v>
      </c>
      <c r="V99" s="101" t="s">
        <v>18</v>
      </c>
      <c r="W99" s="101" t="s">
        <v>18</v>
      </c>
      <c r="X99" s="101" t="s">
        <v>18</v>
      </c>
      <c r="Y99" s="101" t="s">
        <v>18</v>
      </c>
      <c r="Z99" s="101" t="s">
        <v>18</v>
      </c>
      <c r="AA99" s="101" t="s">
        <v>18</v>
      </c>
      <c r="AC99" s="101">
        <v>39</v>
      </c>
      <c r="AD99" s="101" t="s">
        <v>442</v>
      </c>
      <c r="AE99" s="20">
        <v>44550.507071759261</v>
      </c>
      <c r="AF99" s="101" t="s">
        <v>25</v>
      </c>
      <c r="AG99" s="101" t="s">
        <v>17</v>
      </c>
      <c r="AH99" s="101">
        <v>0</v>
      </c>
      <c r="AI99" s="101">
        <v>12.291</v>
      </c>
      <c r="AJ99" s="12">
        <v>2307</v>
      </c>
      <c r="AK99" s="101">
        <v>0.47</v>
      </c>
      <c r="AL99" s="101" t="s">
        <v>18</v>
      </c>
      <c r="AM99" s="101" t="s">
        <v>18</v>
      </c>
      <c r="AN99" s="101" t="s">
        <v>18</v>
      </c>
      <c r="AO99" s="101" t="s">
        <v>18</v>
      </c>
      <c r="AQ99" s="101">
        <v>1</v>
      </c>
      <c r="AS99" s="7">
        <v>73</v>
      </c>
      <c r="AT99" s="23">
        <f t="shared" si="14"/>
        <v>6.1742084450000512E-2</v>
      </c>
      <c r="AU99" s="103">
        <f t="shared" si="15"/>
        <v>437.15386023126001</v>
      </c>
      <c r="AW99" s="60">
        <f t="shared" si="8"/>
        <v>0.63083574124999942</v>
      </c>
      <c r="AX99" s="61">
        <f t="shared" si="9"/>
        <v>462.21372243026997</v>
      </c>
      <c r="AZ99" s="23">
        <f t="shared" si="10"/>
        <v>6.1742084450000512E-2</v>
      </c>
      <c r="BA99" s="103">
        <f t="shared" si="11"/>
        <v>437.15386023126001</v>
      </c>
      <c r="BC99" s="104">
        <f t="shared" si="12"/>
        <v>0.19990240370000012</v>
      </c>
      <c r="BD99" s="105">
        <f t="shared" si="13"/>
        <v>373.02107620551999</v>
      </c>
    </row>
    <row r="100" spans="1:88" s="101" customFormat="1" ht="14.4" x14ac:dyDescent="0.3">
      <c r="A100" s="101">
        <v>39</v>
      </c>
      <c r="B100" s="101" t="s">
        <v>443</v>
      </c>
      <c r="C100" s="20">
        <v>44551.47861111111</v>
      </c>
      <c r="D100" s="101" t="s">
        <v>25</v>
      </c>
      <c r="E100" s="101" t="s">
        <v>17</v>
      </c>
      <c r="F100" s="101">
        <v>0</v>
      </c>
      <c r="G100" s="101">
        <v>6.0880000000000001</v>
      </c>
      <c r="H100" s="12">
        <v>1613</v>
      </c>
      <c r="I100" s="101">
        <v>-1E-3</v>
      </c>
      <c r="J100" s="101" t="s">
        <v>18</v>
      </c>
      <c r="K100" s="101" t="s">
        <v>18</v>
      </c>
      <c r="L100" s="101" t="s">
        <v>18</v>
      </c>
      <c r="M100" s="101" t="s">
        <v>18</v>
      </c>
      <c r="O100" s="101">
        <v>39</v>
      </c>
      <c r="P100" s="101" t="s">
        <v>443</v>
      </c>
      <c r="Q100" s="20">
        <v>44551.47861111111</v>
      </c>
      <c r="R100" s="101" t="s">
        <v>25</v>
      </c>
      <c r="S100" s="101" t="s">
        <v>17</v>
      </c>
      <c r="T100" s="101">
        <v>0</v>
      </c>
      <c r="U100" s="101" t="s">
        <v>18</v>
      </c>
      <c r="V100" s="101" t="s">
        <v>18</v>
      </c>
      <c r="W100" s="101" t="s">
        <v>18</v>
      </c>
      <c r="X100" s="101" t="s">
        <v>18</v>
      </c>
      <c r="Y100" s="101" t="s">
        <v>18</v>
      </c>
      <c r="Z100" s="101" t="s">
        <v>18</v>
      </c>
      <c r="AA100" s="101" t="s">
        <v>18</v>
      </c>
      <c r="AC100" s="101">
        <v>39</v>
      </c>
      <c r="AD100" s="101" t="s">
        <v>443</v>
      </c>
      <c r="AE100" s="20">
        <v>44551.47861111111</v>
      </c>
      <c r="AF100" s="101" t="s">
        <v>25</v>
      </c>
      <c r="AG100" s="101" t="s">
        <v>17</v>
      </c>
      <c r="AH100" s="101">
        <v>0</v>
      </c>
      <c r="AI100" s="101">
        <v>12.282999999999999</v>
      </c>
      <c r="AJ100" s="12">
        <v>2526</v>
      </c>
      <c r="AK100" s="101">
        <v>0.51400000000000001</v>
      </c>
      <c r="AL100" s="101" t="s">
        <v>18</v>
      </c>
      <c r="AM100" s="101" t="s">
        <v>18</v>
      </c>
      <c r="AN100" s="101" t="s">
        <v>18</v>
      </c>
      <c r="AO100" s="101" t="s">
        <v>18</v>
      </c>
      <c r="AQ100" s="101">
        <v>1</v>
      </c>
      <c r="AS100" s="7">
        <v>74</v>
      </c>
      <c r="AT100" s="23">
        <f t="shared" si="14"/>
        <v>-0.69927351354999967</v>
      </c>
      <c r="AU100" s="103">
        <f t="shared" si="15"/>
        <v>479.00945020824003</v>
      </c>
      <c r="AW100" s="60">
        <f t="shared" si="8"/>
        <v>4.745259124999901E-2</v>
      </c>
      <c r="AX100" s="61">
        <f t="shared" si="9"/>
        <v>502.74988496748</v>
      </c>
      <c r="AZ100" s="23">
        <f t="shared" si="10"/>
        <v>-0.69927351354999967</v>
      </c>
      <c r="BA100" s="103">
        <f t="shared" si="11"/>
        <v>479.00945020824003</v>
      </c>
      <c r="BC100" s="104">
        <f t="shared" si="12"/>
        <v>-8.0269264300000032E-2</v>
      </c>
      <c r="BD100" s="105">
        <f t="shared" si="13"/>
        <v>418.26136514848002</v>
      </c>
    </row>
    <row r="101" spans="1:88" s="8" customFormat="1" ht="14.4" x14ac:dyDescent="0.3">
      <c r="C101" s="59"/>
      <c r="H101" s="10"/>
      <c r="Q101" s="59"/>
      <c r="V101" s="10"/>
      <c r="AE101" s="59"/>
      <c r="AJ101" s="10"/>
      <c r="AS101" s="44"/>
      <c r="AT101" s="24"/>
      <c r="AU101" s="83"/>
    </row>
    <row r="102" spans="1:88" s="8" customFormat="1" ht="14.4" x14ac:dyDescent="0.3">
      <c r="C102" s="59"/>
      <c r="H102" s="10"/>
      <c r="Q102" s="59"/>
      <c r="V102" s="10"/>
      <c r="AE102" s="59"/>
      <c r="AJ102" s="10"/>
      <c r="AS102" s="44"/>
      <c r="AT102" s="24"/>
      <c r="AU102" s="83"/>
    </row>
    <row r="103" spans="1:88" s="8" customFormat="1" ht="14.4" x14ac:dyDescent="0.3">
      <c r="C103" s="59"/>
      <c r="H103" s="10"/>
      <c r="Q103" s="59"/>
      <c r="V103" s="10"/>
      <c r="AE103" s="59"/>
      <c r="AJ103" s="10"/>
      <c r="AS103" s="44"/>
      <c r="AT103" s="24"/>
      <c r="AU103" s="83"/>
    </row>
    <row r="104" spans="1:88" s="8" customFormat="1" ht="14.4" x14ac:dyDescent="0.3">
      <c r="C104" s="59"/>
      <c r="H104" s="10"/>
      <c r="Q104" s="59"/>
      <c r="AE104" s="59"/>
      <c r="AJ104" s="10"/>
      <c r="AS104" s="44"/>
      <c r="AT104" s="24"/>
      <c r="AU104" s="83"/>
    </row>
    <row r="105" spans="1:88" s="111" customFormat="1" x14ac:dyDescent="0.3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/>
      <c r="N105" s="110"/>
      <c r="O105" s="110"/>
      <c r="P105" s="109"/>
      <c r="Q105" s="38"/>
      <c r="R105" s="38"/>
      <c r="S105" s="38"/>
      <c r="T105" s="38"/>
      <c r="U105" s="38"/>
      <c r="V105" s="38"/>
      <c r="W105" s="38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R105" s="8"/>
    </row>
    <row r="106" spans="1:88" s="8" customFormat="1" ht="14.4" x14ac:dyDescent="0.3">
      <c r="A106" s="112"/>
      <c r="C106" s="59"/>
      <c r="H106" s="10"/>
      <c r="L106" s="113"/>
      <c r="Q106" s="59"/>
      <c r="V106" s="10"/>
      <c r="AE106" s="59"/>
      <c r="AJ106" s="10"/>
      <c r="AT106" s="111"/>
    </row>
    <row r="107" spans="1:88" s="36" customFormat="1" ht="15" x14ac:dyDescent="0.25">
      <c r="A107" s="40"/>
      <c r="B107" s="40"/>
      <c r="C107" s="40"/>
      <c r="D107" s="40"/>
      <c r="E107" s="39"/>
      <c r="F107" s="34"/>
      <c r="G107" s="34" t="s">
        <v>40</v>
      </c>
      <c r="H107" s="68">
        <f>AVERAGE(H27:H106)</f>
        <v>2037.8783783783783</v>
      </c>
      <c r="I107" s="68"/>
      <c r="J107" s="38"/>
      <c r="K107" s="38"/>
      <c r="M107" s="54"/>
      <c r="N107" s="39"/>
      <c r="O107" s="39"/>
      <c r="P107" s="39"/>
      <c r="Q107" s="53"/>
      <c r="U107" s="38"/>
      <c r="V107" s="38"/>
      <c r="W107" s="38"/>
      <c r="Z107" s="53"/>
      <c r="AA107" s="53"/>
      <c r="AB107" s="53"/>
      <c r="AC107" s="53"/>
      <c r="AD107" s="53"/>
      <c r="AE107" s="53"/>
      <c r="AF107" s="53"/>
      <c r="AG107" s="53"/>
      <c r="AH107" s="34"/>
      <c r="AI107" s="34" t="s">
        <v>40</v>
      </c>
      <c r="AJ107" s="68">
        <f>AVERAGE(AJ27:AJ106)</f>
        <v>2414.8378378378379</v>
      </c>
      <c r="AK107" s="68"/>
      <c r="AL107" s="56"/>
      <c r="AM107" s="56"/>
      <c r="AN107" s="56"/>
      <c r="AO107" s="56"/>
      <c r="AP107" s="56"/>
      <c r="AQ107" s="34" t="s">
        <v>40</v>
      </c>
      <c r="AR107" s="34"/>
      <c r="AS107" s="55">
        <f>MIN(AS27:AS106)</f>
        <v>1</v>
      </c>
      <c r="AT107" s="69"/>
      <c r="AU107" s="69"/>
      <c r="AV107" s="69"/>
      <c r="AW107" s="69"/>
      <c r="AX107" s="69"/>
      <c r="AY107" s="69"/>
      <c r="AZ107" s="69">
        <f t="shared" ref="AZ107:BA107" si="16">AVERAGE(AZ27:AZ105)</f>
        <v>0.82148885375878389</v>
      </c>
      <c r="BA107" s="69">
        <f t="shared" si="16"/>
        <v>457.76008922769245</v>
      </c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</row>
    <row r="108" spans="1:88" s="36" customFormat="1" ht="15" x14ac:dyDescent="0.25">
      <c r="A108" s="40"/>
      <c r="B108" s="40"/>
      <c r="C108" s="40"/>
      <c r="D108" s="40"/>
      <c r="E108" s="39"/>
      <c r="F108" s="34"/>
      <c r="G108" s="34" t="s">
        <v>91</v>
      </c>
      <c r="H108" s="70">
        <f>STDEV(H27:H106)</f>
        <v>488.76794933099353</v>
      </c>
      <c r="I108" s="70"/>
      <c r="J108" s="38"/>
      <c r="K108" s="38"/>
      <c r="M108" s="54"/>
      <c r="N108" s="39"/>
      <c r="O108" s="39"/>
      <c r="P108" s="39"/>
      <c r="Q108" s="53"/>
      <c r="U108" s="38"/>
      <c r="V108" s="38"/>
      <c r="W108" s="38"/>
      <c r="Z108" s="53"/>
      <c r="AA108" s="53"/>
      <c r="AB108" s="53"/>
      <c r="AC108" s="53"/>
      <c r="AD108" s="53"/>
      <c r="AE108" s="53"/>
      <c r="AF108" s="53"/>
      <c r="AG108" s="53"/>
      <c r="AH108" s="34"/>
      <c r="AI108" s="34" t="s">
        <v>91</v>
      </c>
      <c r="AJ108" s="70">
        <f>STDEV(AJ27:AJ106)</f>
        <v>504.7192906797822</v>
      </c>
      <c r="AK108" s="70"/>
      <c r="AL108" s="56"/>
      <c r="AM108" s="56"/>
      <c r="AN108" s="56"/>
      <c r="AO108" s="56"/>
      <c r="AP108" s="56"/>
      <c r="AQ108" s="34" t="s">
        <v>91</v>
      </c>
      <c r="AR108" s="34"/>
      <c r="AS108" s="55">
        <f>MAX(AS27:AS106)</f>
        <v>74</v>
      </c>
      <c r="AT108" s="70"/>
      <c r="AU108" s="70"/>
      <c r="AV108" s="70"/>
      <c r="AW108" s="70"/>
      <c r="AX108" s="70"/>
      <c r="AY108" s="70"/>
      <c r="AZ108" s="70">
        <f t="shared" ref="AZ108:BA108" si="17">STDEV(AZ27:AZ105)</f>
        <v>1.7572719439402271</v>
      </c>
      <c r="BA108" s="70">
        <f t="shared" si="17"/>
        <v>96.459359938267184</v>
      </c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</row>
    <row r="109" spans="1:88" s="36" customFormat="1" ht="15" x14ac:dyDescent="0.25">
      <c r="A109" s="40"/>
      <c r="B109" s="40"/>
      <c r="C109" s="40"/>
      <c r="D109" s="40"/>
      <c r="E109" s="39"/>
      <c r="F109" s="34"/>
      <c r="G109" s="34" t="s">
        <v>92</v>
      </c>
      <c r="H109" s="70">
        <f>100*H108/H107</f>
        <v>23.984156979962947</v>
      </c>
      <c r="I109" s="70"/>
      <c r="J109" s="38"/>
      <c r="K109" s="38"/>
      <c r="M109" s="54"/>
      <c r="N109" s="39"/>
      <c r="O109" s="39"/>
      <c r="P109" s="39"/>
      <c r="Q109" s="53"/>
      <c r="S109" s="39"/>
      <c r="T109" s="34"/>
      <c r="U109" s="35"/>
      <c r="V109" s="38"/>
      <c r="W109" s="38"/>
      <c r="Z109" s="53"/>
      <c r="AA109" s="53"/>
      <c r="AB109" s="53"/>
      <c r="AC109" s="53"/>
      <c r="AD109" s="53"/>
      <c r="AE109" s="53"/>
      <c r="AF109" s="53"/>
      <c r="AG109" s="53"/>
      <c r="AH109" s="34"/>
      <c r="AI109" s="34" t="s">
        <v>92</v>
      </c>
      <c r="AJ109" s="70">
        <f>100*AJ108/AJ107</f>
        <v>20.900752952077742</v>
      </c>
      <c r="AK109" s="70"/>
      <c r="AL109" s="56"/>
      <c r="AM109" s="56"/>
      <c r="AN109" s="56"/>
      <c r="AO109" s="56"/>
      <c r="AP109" s="56"/>
      <c r="AQ109" s="34" t="s">
        <v>92</v>
      </c>
      <c r="AR109" s="34"/>
      <c r="AS109" s="55"/>
      <c r="AT109" s="70"/>
      <c r="AU109" s="70"/>
      <c r="AV109" s="70"/>
      <c r="AW109" s="70"/>
      <c r="AX109" s="70"/>
      <c r="AY109" s="70"/>
      <c r="AZ109" s="70">
        <f t="shared" ref="AZ109:BA109" si="18">100*AZ108/AZ107</f>
        <v>213.91305991550556</v>
      </c>
      <c r="BA109" s="70">
        <f t="shared" si="18"/>
        <v>21.072033628140911</v>
      </c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</row>
    <row r="110" spans="1:88" s="36" customFormat="1" ht="15" x14ac:dyDescent="0.25">
      <c r="A110" s="40"/>
      <c r="B110" s="40"/>
      <c r="C110" s="40"/>
      <c r="D110" s="40"/>
      <c r="E110" s="39"/>
      <c r="F110" s="34" t="s">
        <v>93</v>
      </c>
      <c r="G110" s="34" t="s">
        <v>94</v>
      </c>
      <c r="H110" s="70">
        <f>H107-(2*H108)</f>
        <v>1060.3424797163912</v>
      </c>
      <c r="I110" s="70"/>
      <c r="J110" s="38"/>
      <c r="K110" s="38"/>
      <c r="P110" s="39"/>
      <c r="Q110" s="53"/>
      <c r="U110" s="38"/>
      <c r="V110" s="38"/>
      <c r="W110" s="38"/>
      <c r="Y110" s="53"/>
      <c r="Z110" s="53"/>
      <c r="AA110" s="53"/>
      <c r="AB110" s="53"/>
      <c r="AC110" s="53"/>
      <c r="AD110" s="53"/>
      <c r="AE110" s="53"/>
      <c r="AF110" s="53"/>
      <c r="AG110" s="53"/>
      <c r="AH110" s="34" t="s">
        <v>93</v>
      </c>
      <c r="AI110" s="34" t="s">
        <v>94</v>
      </c>
      <c r="AJ110" s="70">
        <f>AJ107-(2*AJ108)</f>
        <v>1405.3992564782734</v>
      </c>
      <c r="AK110" s="70"/>
      <c r="AL110" s="56"/>
      <c r="AM110" s="56"/>
      <c r="AN110" s="56"/>
      <c r="AO110" s="56"/>
      <c r="AP110" s="56"/>
      <c r="AQ110" s="34" t="s">
        <v>94</v>
      </c>
      <c r="AR110" s="34" t="s">
        <v>93</v>
      </c>
      <c r="AS110" s="56"/>
      <c r="AT110" s="70"/>
      <c r="AU110" s="70"/>
      <c r="AV110" s="70"/>
      <c r="AW110" s="70"/>
      <c r="AX110" s="70"/>
      <c r="AY110" s="70"/>
      <c r="AZ110" s="70">
        <f t="shared" ref="AZ110:BA110" si="19">AZ107-(2*AZ108)</f>
        <v>-2.6930550341216701</v>
      </c>
      <c r="BA110" s="70">
        <f t="shared" si="19"/>
        <v>264.84136935115805</v>
      </c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</row>
    <row r="111" spans="1:88" s="36" customFormat="1" ht="15" x14ac:dyDescent="0.25">
      <c r="A111" s="40"/>
      <c r="B111" s="40"/>
      <c r="C111" s="40"/>
      <c r="D111" s="40"/>
      <c r="E111" s="39"/>
      <c r="F111" s="34"/>
      <c r="G111" s="34" t="s">
        <v>95</v>
      </c>
      <c r="H111" s="70">
        <f>H107+(2*H108)</f>
        <v>3015.4142770403655</v>
      </c>
      <c r="I111" s="70"/>
      <c r="P111" s="39"/>
      <c r="Q111" s="53"/>
      <c r="U111" s="38"/>
      <c r="V111" s="38"/>
      <c r="W111" s="38"/>
      <c r="Y111" s="53"/>
      <c r="Z111" s="53"/>
      <c r="AA111" s="53"/>
      <c r="AB111" s="53"/>
      <c r="AC111" s="53"/>
      <c r="AD111" s="53"/>
      <c r="AE111" s="53"/>
      <c r="AF111" s="53"/>
      <c r="AG111" s="53"/>
      <c r="AH111" s="34"/>
      <c r="AI111" s="34" t="s">
        <v>95</v>
      </c>
      <c r="AJ111" s="70">
        <f>AJ107+(2*AJ108)</f>
        <v>3424.2764191974024</v>
      </c>
      <c r="AK111" s="70"/>
      <c r="AL111" s="56"/>
      <c r="AM111" s="56"/>
      <c r="AN111" s="56"/>
      <c r="AO111" s="56"/>
      <c r="AP111" s="56"/>
      <c r="AQ111" s="34" t="s">
        <v>95</v>
      </c>
      <c r="AR111" s="34"/>
      <c r="AS111" s="56"/>
      <c r="AT111" s="70"/>
      <c r="AU111" s="70"/>
      <c r="AV111" s="70"/>
      <c r="AW111" s="70"/>
      <c r="AX111" s="70"/>
      <c r="AY111" s="70"/>
      <c r="AZ111" s="70">
        <f t="shared" ref="AZ111:BA111" si="20">AZ107+(2*AZ108)</f>
        <v>4.3360327416392384</v>
      </c>
      <c r="BA111" s="70">
        <f t="shared" si="20"/>
        <v>650.67880910422684</v>
      </c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</row>
    <row r="112" spans="1:88" s="36" customFormat="1" ht="15" x14ac:dyDescent="0.25">
      <c r="A112" s="40"/>
      <c r="B112" s="40"/>
      <c r="C112" s="40"/>
      <c r="D112" s="40"/>
      <c r="E112" s="39"/>
      <c r="F112" s="34" t="s">
        <v>96</v>
      </c>
      <c r="G112" s="34" t="s">
        <v>97</v>
      </c>
      <c r="H112" s="70">
        <f>H107-(3*H108)</f>
        <v>571.57453038539779</v>
      </c>
      <c r="I112" s="70"/>
      <c r="J112" s="38"/>
      <c r="K112" s="38"/>
      <c r="P112" s="53"/>
      <c r="Q112" s="34"/>
      <c r="T112" s="38"/>
      <c r="U112" s="38"/>
      <c r="V112" s="38"/>
      <c r="W112" s="54"/>
      <c r="X112" s="55"/>
      <c r="Y112" s="53"/>
      <c r="Z112" s="53"/>
      <c r="AA112" s="53"/>
      <c r="AB112" s="53"/>
      <c r="AC112" s="53"/>
      <c r="AD112" s="53"/>
      <c r="AE112" s="53"/>
      <c r="AF112" s="53"/>
      <c r="AG112" s="53"/>
      <c r="AH112" s="34" t="s">
        <v>96</v>
      </c>
      <c r="AI112" s="34" t="s">
        <v>97</v>
      </c>
      <c r="AJ112" s="70">
        <f>AJ107-(3*AJ108)</f>
        <v>900.67996579849137</v>
      </c>
      <c r="AK112" s="70"/>
      <c r="AL112" s="56"/>
      <c r="AM112" s="56"/>
      <c r="AN112" s="56"/>
      <c r="AO112" s="56"/>
      <c r="AP112" s="56"/>
      <c r="AQ112" s="34" t="s">
        <v>97</v>
      </c>
      <c r="AR112" s="34" t="s">
        <v>96</v>
      </c>
      <c r="AS112" s="56"/>
      <c r="AT112" s="70"/>
      <c r="AU112" s="70"/>
      <c r="AV112" s="70"/>
      <c r="AW112" s="70"/>
      <c r="AX112" s="70"/>
      <c r="AY112" s="70"/>
      <c r="AZ112" s="70">
        <f t="shared" ref="AZ112:BA112" si="21">AZ107-(3*AZ108)</f>
        <v>-4.4503269780618977</v>
      </c>
      <c r="BA112" s="70">
        <f t="shared" si="21"/>
        <v>168.38200941289091</v>
      </c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</row>
    <row r="113" spans="6:53" ht="15" x14ac:dyDescent="0.25">
      <c r="F113" s="34"/>
      <c r="G113" s="34" t="s">
        <v>98</v>
      </c>
      <c r="H113" s="70">
        <f>H107+(3*H108)</f>
        <v>3504.1822263713589</v>
      </c>
      <c r="I113" s="70"/>
      <c r="J113" s="40"/>
      <c r="K113" s="40"/>
      <c r="L113" s="56"/>
      <c r="M113" s="39"/>
      <c r="N113" s="39"/>
      <c r="O113" s="39"/>
      <c r="Q113" s="34"/>
      <c r="R113" s="56"/>
      <c r="T113" s="38"/>
      <c r="U113" s="38"/>
      <c r="V113" s="38"/>
      <c r="W113" s="54"/>
      <c r="X113" s="55"/>
      <c r="AH113" s="34"/>
      <c r="AI113" s="34" t="s">
        <v>98</v>
      </c>
      <c r="AJ113" s="70">
        <f>AJ107+(3*AJ108)</f>
        <v>3928.9957098771847</v>
      </c>
      <c r="AK113" s="70"/>
      <c r="AQ113" s="34" t="s">
        <v>98</v>
      </c>
      <c r="AR113" s="34"/>
      <c r="AT113" s="70"/>
      <c r="AU113" s="70"/>
      <c r="AV113" s="70"/>
      <c r="AW113" s="70"/>
      <c r="AX113" s="70"/>
      <c r="AY113" s="70"/>
      <c r="AZ113" s="70">
        <f t="shared" ref="AZ113:BA113" si="22">AZ107+(3*AZ108)</f>
        <v>6.0933046855794659</v>
      </c>
      <c r="BA113" s="70">
        <f t="shared" si="22"/>
        <v>747.13816904249393</v>
      </c>
    </row>
    <row r="114" spans="6:53" ht="15" x14ac:dyDescent="0.25">
      <c r="G114" s="34" t="s">
        <v>99</v>
      </c>
      <c r="H114" s="70">
        <f>COUNT(H27:H106)</f>
        <v>74</v>
      </c>
      <c r="I114" s="70"/>
      <c r="J114" s="40"/>
      <c r="K114" s="40"/>
      <c r="L114" s="56"/>
      <c r="M114" s="39"/>
      <c r="N114" s="39"/>
      <c r="O114" s="39"/>
      <c r="Q114" s="34"/>
      <c r="R114" s="56"/>
      <c r="T114" s="38"/>
      <c r="U114" s="38"/>
      <c r="V114" s="38"/>
      <c r="W114" s="54"/>
      <c r="X114" s="55"/>
      <c r="AH114" s="53"/>
      <c r="AI114" s="34" t="s">
        <v>99</v>
      </c>
      <c r="AJ114" s="70">
        <f>COUNT(AJ27:AJ106)</f>
        <v>74</v>
      </c>
      <c r="AK114" s="70"/>
      <c r="AQ114" s="34" t="s">
        <v>99</v>
      </c>
      <c r="AR114" s="34"/>
      <c r="AT114" s="70"/>
      <c r="AU114" s="70"/>
      <c r="AV114" s="70"/>
      <c r="AW114" s="70"/>
      <c r="AX114" s="70"/>
      <c r="AY114" s="70"/>
      <c r="AZ114" s="70">
        <f t="shared" ref="AZ114:BA114" si="23">COUNT(AZ27:AZ105)</f>
        <v>74</v>
      </c>
      <c r="BA114" s="70">
        <f t="shared" si="23"/>
        <v>74</v>
      </c>
    </row>
    <row r="115" spans="6:53" ht="15" x14ac:dyDescent="0.25">
      <c r="G115" s="34" t="s">
        <v>238</v>
      </c>
      <c r="H115" s="70">
        <f>TINV(0.02,(H114-1))</f>
        <v>2.3785218776472683</v>
      </c>
      <c r="I115" s="70"/>
      <c r="J115" s="40"/>
      <c r="K115" s="40"/>
      <c r="L115" s="56"/>
      <c r="M115" s="39"/>
      <c r="N115" s="39"/>
      <c r="O115" s="39"/>
      <c r="Q115" s="34"/>
      <c r="R115" s="56"/>
      <c r="T115" s="38"/>
      <c r="U115" s="38"/>
      <c r="V115" s="38"/>
      <c r="W115" s="54"/>
      <c r="X115" s="55"/>
      <c r="AH115" s="53"/>
      <c r="AI115" s="34" t="s">
        <v>238</v>
      </c>
      <c r="AJ115" s="70">
        <f>TINV(0.02,(AJ114-1))</f>
        <v>2.3785218776472683</v>
      </c>
      <c r="AK115" s="70"/>
      <c r="AQ115" s="34" t="s">
        <v>238</v>
      </c>
      <c r="AR115" s="34"/>
      <c r="AT115" s="70"/>
      <c r="AU115" s="70"/>
      <c r="AV115" s="70"/>
      <c r="AW115" s="70"/>
      <c r="AX115" s="70"/>
      <c r="AY115" s="70"/>
      <c r="AZ115" s="70">
        <f t="shared" ref="AZ115:BA115" si="24">TINV(0.02,(AZ114-1))</f>
        <v>2.3785218776472683</v>
      </c>
      <c r="BA115" s="70">
        <f t="shared" si="24"/>
        <v>2.3785218776472683</v>
      </c>
    </row>
    <row r="116" spans="6:53" ht="15" x14ac:dyDescent="0.25">
      <c r="G116" s="34" t="s">
        <v>44</v>
      </c>
      <c r="H116" s="71">
        <f>H108*H115</f>
        <v>1162.5452605765597</v>
      </c>
      <c r="I116" s="71"/>
      <c r="AH116" s="53"/>
      <c r="AI116" s="34" t="s">
        <v>44</v>
      </c>
      <c r="AJ116" s="71">
        <f>AJ108*AJ115</f>
        <v>1200.4858749524731</v>
      </c>
      <c r="AK116" s="71"/>
      <c r="AQ116" s="34" t="s">
        <v>44</v>
      </c>
      <c r="AR116" s="34"/>
      <c r="AT116" s="71"/>
      <c r="AU116" s="71"/>
      <c r="AV116" s="71"/>
      <c r="AW116" s="71"/>
      <c r="AX116" s="71"/>
      <c r="AY116" s="71"/>
      <c r="AZ116" s="71">
        <f t="shared" ref="AZ116:BA116" si="25">AZ108*AZ115</f>
        <v>4.1797097636375744</v>
      </c>
      <c r="BA116" s="71">
        <f t="shared" si="25"/>
        <v>229.43069791702095</v>
      </c>
    </row>
    <row r="117" spans="6:53" ht="15" x14ac:dyDescent="0.25">
      <c r="G117" s="34" t="s">
        <v>45</v>
      </c>
      <c r="H117" s="72">
        <f>H108*10</f>
        <v>4887.6794933099354</v>
      </c>
      <c r="I117" s="72"/>
      <c r="J117" s="35"/>
      <c r="AH117" s="53"/>
      <c r="AI117" s="34" t="s">
        <v>45</v>
      </c>
      <c r="AJ117" s="72">
        <f>AJ108*10</f>
        <v>5047.1929067978217</v>
      </c>
      <c r="AK117" s="72"/>
      <c r="AQ117" s="34" t="s">
        <v>45</v>
      </c>
      <c r="AR117" s="34"/>
      <c r="AT117" s="72"/>
      <c r="AU117" s="72"/>
      <c r="AV117" s="72"/>
      <c r="AW117" s="72"/>
      <c r="AX117" s="72"/>
      <c r="AY117" s="72"/>
      <c r="AZ117" s="72">
        <f t="shared" ref="AZ117:BA117" si="26">AZ108*10</f>
        <v>17.57271943940227</v>
      </c>
      <c r="BA117" s="72">
        <f t="shared" si="26"/>
        <v>964.59359938267187</v>
      </c>
    </row>
    <row r="118" spans="6:53" ht="15" x14ac:dyDescent="0.25">
      <c r="AQ118" s="34" t="s">
        <v>239</v>
      </c>
      <c r="AR118" s="34"/>
      <c r="AZ118" s="56" t="s">
        <v>444</v>
      </c>
      <c r="BA118" s="56" t="s">
        <v>240</v>
      </c>
    </row>
    <row r="121" spans="6:53" x14ac:dyDescent="0.3">
      <c r="AQ121" s="101"/>
      <c r="AR121" s="56"/>
    </row>
    <row r="122" spans="6:53" ht="15" x14ac:dyDescent="0.25">
      <c r="AQ122" s="34"/>
      <c r="AR122" s="34"/>
      <c r="AS122" s="55"/>
      <c r="AT122" s="69"/>
      <c r="AU122" s="69"/>
    </row>
    <row r="123" spans="6:53" ht="15" x14ac:dyDescent="0.25">
      <c r="AQ123" s="34"/>
      <c r="AR123" s="34"/>
      <c r="AS123" s="55"/>
      <c r="AT123" s="70"/>
      <c r="AU123" s="70"/>
    </row>
    <row r="124" spans="6:53" ht="15" x14ac:dyDescent="0.25">
      <c r="AQ124" s="34"/>
      <c r="AR124" s="34"/>
      <c r="AS124" s="55"/>
      <c r="AT124" s="70"/>
      <c r="AU124" s="70"/>
    </row>
    <row r="125" spans="6:53" ht="15" x14ac:dyDescent="0.25">
      <c r="AQ125" s="34"/>
      <c r="AR125" s="34"/>
      <c r="AT125" s="70"/>
      <c r="AU125" s="70"/>
    </row>
    <row r="126" spans="6:53" ht="15" x14ac:dyDescent="0.25">
      <c r="AQ126" s="34"/>
      <c r="AR126" s="34"/>
      <c r="AT126" s="70"/>
      <c r="AU126" s="70"/>
    </row>
    <row r="127" spans="6:53" ht="15" x14ac:dyDescent="0.25">
      <c r="AQ127" s="34"/>
      <c r="AR127" s="34"/>
      <c r="AT127" s="70"/>
      <c r="AU127" s="70"/>
    </row>
    <row r="128" spans="6:53" ht="15" x14ac:dyDescent="0.25">
      <c r="AQ128" s="34"/>
      <c r="AR128" s="34"/>
      <c r="AT128" s="70"/>
      <c r="AU128" s="70"/>
    </row>
    <row r="129" spans="1:47" ht="15" x14ac:dyDescent="0.25">
      <c r="AQ129" s="34"/>
      <c r="AR129" s="34"/>
      <c r="AT129" s="70"/>
      <c r="AU129" s="70"/>
    </row>
    <row r="130" spans="1:47" ht="15" x14ac:dyDescent="0.25">
      <c r="AQ130" s="34"/>
      <c r="AR130" s="34"/>
      <c r="AT130" s="70"/>
      <c r="AU130" s="70"/>
    </row>
    <row r="131" spans="1:47" ht="15" x14ac:dyDescent="0.25">
      <c r="AQ131" s="34"/>
      <c r="AR131" s="34"/>
      <c r="AT131" s="71"/>
      <c r="AU131" s="71"/>
    </row>
    <row r="132" spans="1:47" ht="15" x14ac:dyDescent="0.25">
      <c r="AQ132" s="34"/>
      <c r="AR132" s="34"/>
      <c r="AT132" s="72"/>
      <c r="AU132" s="72"/>
    </row>
    <row r="133" spans="1:47" ht="15" x14ac:dyDescent="0.25">
      <c r="AQ133" s="34"/>
      <c r="AR133" s="34"/>
    </row>
    <row r="137" spans="1:47" ht="13.2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R137" s="56"/>
    </row>
    <row r="138" spans="1:47" ht="13.2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R138" s="56"/>
    </row>
    <row r="139" spans="1:47" ht="13.2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R139" s="56"/>
    </row>
    <row r="140" spans="1:47" ht="13.2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R140" s="56"/>
    </row>
    <row r="141" spans="1:47" ht="13.2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R141" s="56"/>
    </row>
    <row r="142" spans="1:47" ht="13.2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R142" s="56"/>
    </row>
    <row r="143" spans="1:47" ht="13.2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R143" s="56"/>
    </row>
    <row r="144" spans="1:47" ht="13.2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R144" s="5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5E98-52A1-4326-A275-715C03DDD1DE}">
  <sheetPr>
    <pageSetUpPr fitToPage="1"/>
  </sheetPr>
  <dimension ref="A32:CJ292"/>
  <sheetViews>
    <sheetView topLeftCell="AO234" zoomScale="90" zoomScaleNormal="90" zoomScalePageLayoutView="85" workbookViewId="0">
      <selection activeCell="AV284" sqref="AV284"/>
    </sheetView>
  </sheetViews>
  <sheetFormatPr defaultColWidth="8.77734375" defaultRowHeight="15.6" x14ac:dyDescent="0.3"/>
  <cols>
    <col min="1" max="1" width="9.21875" style="53" customWidth="1"/>
    <col min="2" max="2" width="27.77734375" style="53" customWidth="1"/>
    <col min="3" max="4" width="17.44140625" style="53" customWidth="1"/>
    <col min="5" max="5" width="8.77734375" style="53"/>
    <col min="6" max="6" width="7.5546875" style="53" customWidth="1"/>
    <col min="7" max="7" width="6.44140625" style="53" customWidth="1"/>
    <col min="8" max="9" width="10.77734375" style="53" customWidth="1"/>
    <col min="10" max="10" width="11.77734375" style="53" customWidth="1"/>
    <col min="11" max="11" width="5" style="53" customWidth="1"/>
    <col min="12" max="12" width="8.77734375" style="53" customWidth="1"/>
    <col min="13" max="13" width="22.5546875" style="58" customWidth="1"/>
    <col min="14" max="15" width="16.44140625" style="58" customWidth="1"/>
    <col min="16" max="16" width="12.77734375" style="53" customWidth="1"/>
    <col min="17" max="17" width="7.21875" style="36" customWidth="1"/>
    <col min="18" max="18" width="9.21875" style="36" bestFit="1" customWidth="1"/>
    <col min="19" max="19" width="7.21875" style="36" customWidth="1"/>
    <col min="20" max="22" width="9.21875" style="36" bestFit="1" customWidth="1"/>
    <col min="23" max="23" width="9.77734375" style="36" bestFit="1" customWidth="1"/>
    <col min="24" max="29" width="8.77734375" style="53"/>
    <col min="30" max="30" width="20.77734375" style="53" customWidth="1"/>
    <col min="31" max="31" width="24.5546875" style="53" customWidth="1"/>
    <col min="32" max="32" width="17.5546875" style="53" customWidth="1"/>
    <col min="33" max="33" width="8.77734375" style="53"/>
    <col min="34" max="35" width="8.77734375" style="56"/>
    <col min="36" max="36" width="11.21875" style="56" customWidth="1"/>
    <col min="37" max="37" width="10.77734375" style="56" customWidth="1"/>
    <col min="38" max="43" width="8.77734375" style="56"/>
    <col min="44" max="44" width="8.77734375" style="101"/>
    <col min="45" max="46" width="8.77734375" style="56"/>
    <col min="47" max="47" width="11.5546875" style="56" customWidth="1"/>
    <col min="48" max="230" width="8.77734375" style="56"/>
    <col min="231" max="231" width="24.77734375" style="56" customWidth="1"/>
    <col min="232" max="232" width="13.44140625" style="56" customWidth="1"/>
    <col min="233" max="233" width="8.77734375" style="56"/>
    <col min="234" max="234" width="6.77734375" style="56" customWidth="1"/>
    <col min="235" max="235" width="6.44140625" style="56" customWidth="1"/>
    <col min="236" max="236" width="8.21875" style="56" customWidth="1"/>
    <col min="237" max="237" width="6.77734375" style="56" customWidth="1"/>
    <col min="238" max="238" width="4.77734375" style="56" customWidth="1"/>
    <col min="239" max="240" width="5" style="56" customWidth="1"/>
    <col min="241" max="241" width="8.77734375" style="56"/>
    <col min="242" max="242" width="10.44140625" style="56" customWidth="1"/>
    <col min="243" max="243" width="3.77734375" style="56" customWidth="1"/>
    <col min="244" max="245" width="8.77734375" style="56"/>
    <col min="246" max="246" width="3.77734375" style="56" customWidth="1"/>
    <col min="247" max="486" width="8.77734375" style="56"/>
    <col min="487" max="487" width="24.77734375" style="56" customWidth="1"/>
    <col min="488" max="488" width="13.44140625" style="56" customWidth="1"/>
    <col min="489" max="489" width="8.77734375" style="56"/>
    <col min="490" max="490" width="6.77734375" style="56" customWidth="1"/>
    <col min="491" max="491" width="6.44140625" style="56" customWidth="1"/>
    <col min="492" max="492" width="8.21875" style="56" customWidth="1"/>
    <col min="493" max="493" width="6.77734375" style="56" customWidth="1"/>
    <col min="494" max="494" width="4.77734375" style="56" customWidth="1"/>
    <col min="495" max="496" width="5" style="56" customWidth="1"/>
    <col min="497" max="497" width="8.77734375" style="56"/>
    <col min="498" max="498" width="10.44140625" style="56" customWidth="1"/>
    <col min="499" max="499" width="3.77734375" style="56" customWidth="1"/>
    <col min="500" max="501" width="8.77734375" style="56"/>
    <col min="502" max="502" width="3.77734375" style="56" customWidth="1"/>
    <col min="503" max="742" width="8.77734375" style="56"/>
    <col min="743" max="743" width="24.77734375" style="56" customWidth="1"/>
    <col min="744" max="744" width="13.44140625" style="56" customWidth="1"/>
    <col min="745" max="745" width="8.77734375" style="56"/>
    <col min="746" max="746" width="6.77734375" style="56" customWidth="1"/>
    <col min="747" max="747" width="6.44140625" style="56" customWidth="1"/>
    <col min="748" max="748" width="8.21875" style="56" customWidth="1"/>
    <col min="749" max="749" width="6.77734375" style="56" customWidth="1"/>
    <col min="750" max="750" width="4.77734375" style="56" customWidth="1"/>
    <col min="751" max="752" width="5" style="56" customWidth="1"/>
    <col min="753" max="753" width="8.77734375" style="56"/>
    <col min="754" max="754" width="10.44140625" style="56" customWidth="1"/>
    <col min="755" max="755" width="3.77734375" style="56" customWidth="1"/>
    <col min="756" max="757" width="8.77734375" style="56"/>
    <col min="758" max="758" width="3.77734375" style="56" customWidth="1"/>
    <col min="759" max="998" width="8.77734375" style="56"/>
    <col min="999" max="999" width="24.77734375" style="56" customWidth="1"/>
    <col min="1000" max="1000" width="13.44140625" style="56" customWidth="1"/>
    <col min="1001" max="1001" width="8.77734375" style="56"/>
    <col min="1002" max="1002" width="6.77734375" style="56" customWidth="1"/>
    <col min="1003" max="1003" width="6.44140625" style="56" customWidth="1"/>
    <col min="1004" max="1004" width="8.21875" style="56" customWidth="1"/>
    <col min="1005" max="1005" width="6.77734375" style="56" customWidth="1"/>
    <col min="1006" max="1006" width="4.77734375" style="56" customWidth="1"/>
    <col min="1007" max="1008" width="5" style="56" customWidth="1"/>
    <col min="1009" max="1009" width="8.77734375" style="56"/>
    <col min="1010" max="1010" width="10.44140625" style="56" customWidth="1"/>
    <col min="1011" max="1011" width="3.77734375" style="56" customWidth="1"/>
    <col min="1012" max="1013" width="8.77734375" style="56"/>
    <col min="1014" max="1014" width="3.77734375" style="56" customWidth="1"/>
    <col min="1015" max="1254" width="8.77734375" style="56"/>
    <col min="1255" max="1255" width="24.77734375" style="56" customWidth="1"/>
    <col min="1256" max="1256" width="13.44140625" style="56" customWidth="1"/>
    <col min="1257" max="1257" width="8.77734375" style="56"/>
    <col min="1258" max="1258" width="6.77734375" style="56" customWidth="1"/>
    <col min="1259" max="1259" width="6.44140625" style="56" customWidth="1"/>
    <col min="1260" max="1260" width="8.21875" style="56" customWidth="1"/>
    <col min="1261" max="1261" width="6.77734375" style="56" customWidth="1"/>
    <col min="1262" max="1262" width="4.77734375" style="56" customWidth="1"/>
    <col min="1263" max="1264" width="5" style="56" customWidth="1"/>
    <col min="1265" max="1265" width="8.77734375" style="56"/>
    <col min="1266" max="1266" width="10.44140625" style="56" customWidth="1"/>
    <col min="1267" max="1267" width="3.77734375" style="56" customWidth="1"/>
    <col min="1268" max="1269" width="8.77734375" style="56"/>
    <col min="1270" max="1270" width="3.77734375" style="56" customWidth="1"/>
    <col min="1271" max="1510" width="8.77734375" style="56"/>
    <col min="1511" max="1511" width="24.77734375" style="56" customWidth="1"/>
    <col min="1512" max="1512" width="13.44140625" style="56" customWidth="1"/>
    <col min="1513" max="1513" width="8.77734375" style="56"/>
    <col min="1514" max="1514" width="6.77734375" style="56" customWidth="1"/>
    <col min="1515" max="1515" width="6.44140625" style="56" customWidth="1"/>
    <col min="1516" max="1516" width="8.21875" style="56" customWidth="1"/>
    <col min="1517" max="1517" width="6.77734375" style="56" customWidth="1"/>
    <col min="1518" max="1518" width="4.77734375" style="56" customWidth="1"/>
    <col min="1519" max="1520" width="5" style="56" customWidth="1"/>
    <col min="1521" max="1521" width="8.77734375" style="56"/>
    <col min="1522" max="1522" width="10.44140625" style="56" customWidth="1"/>
    <col min="1523" max="1523" width="3.77734375" style="56" customWidth="1"/>
    <col min="1524" max="1525" width="8.77734375" style="56"/>
    <col min="1526" max="1526" width="3.77734375" style="56" customWidth="1"/>
    <col min="1527" max="1766" width="8.77734375" style="56"/>
    <col min="1767" max="1767" width="24.77734375" style="56" customWidth="1"/>
    <col min="1768" max="1768" width="13.44140625" style="56" customWidth="1"/>
    <col min="1769" max="1769" width="8.77734375" style="56"/>
    <col min="1770" max="1770" width="6.77734375" style="56" customWidth="1"/>
    <col min="1771" max="1771" width="6.44140625" style="56" customWidth="1"/>
    <col min="1772" max="1772" width="8.21875" style="56" customWidth="1"/>
    <col min="1773" max="1773" width="6.77734375" style="56" customWidth="1"/>
    <col min="1774" max="1774" width="4.77734375" style="56" customWidth="1"/>
    <col min="1775" max="1776" width="5" style="56" customWidth="1"/>
    <col min="1777" max="1777" width="8.77734375" style="56"/>
    <col min="1778" max="1778" width="10.44140625" style="56" customWidth="1"/>
    <col min="1779" max="1779" width="3.77734375" style="56" customWidth="1"/>
    <col min="1780" max="1781" width="8.77734375" style="56"/>
    <col min="1782" max="1782" width="3.77734375" style="56" customWidth="1"/>
    <col min="1783" max="2022" width="8.77734375" style="56"/>
    <col min="2023" max="2023" width="24.77734375" style="56" customWidth="1"/>
    <col min="2024" max="2024" width="13.44140625" style="56" customWidth="1"/>
    <col min="2025" max="2025" width="8.77734375" style="56"/>
    <col min="2026" max="2026" width="6.77734375" style="56" customWidth="1"/>
    <col min="2027" max="2027" width="6.44140625" style="56" customWidth="1"/>
    <col min="2028" max="2028" width="8.21875" style="56" customWidth="1"/>
    <col min="2029" max="2029" width="6.77734375" style="56" customWidth="1"/>
    <col min="2030" max="2030" width="4.77734375" style="56" customWidth="1"/>
    <col min="2031" max="2032" width="5" style="56" customWidth="1"/>
    <col min="2033" max="2033" width="8.77734375" style="56"/>
    <col min="2034" max="2034" width="10.44140625" style="56" customWidth="1"/>
    <col min="2035" max="2035" width="3.77734375" style="56" customWidth="1"/>
    <col min="2036" max="2037" width="8.77734375" style="56"/>
    <col min="2038" max="2038" width="3.77734375" style="56" customWidth="1"/>
    <col min="2039" max="2278" width="8.77734375" style="56"/>
    <col min="2279" max="2279" width="24.77734375" style="56" customWidth="1"/>
    <col min="2280" max="2280" width="13.44140625" style="56" customWidth="1"/>
    <col min="2281" max="2281" width="8.77734375" style="56"/>
    <col min="2282" max="2282" width="6.77734375" style="56" customWidth="1"/>
    <col min="2283" max="2283" width="6.44140625" style="56" customWidth="1"/>
    <col min="2284" max="2284" width="8.21875" style="56" customWidth="1"/>
    <col min="2285" max="2285" width="6.77734375" style="56" customWidth="1"/>
    <col min="2286" max="2286" width="4.77734375" style="56" customWidth="1"/>
    <col min="2287" max="2288" width="5" style="56" customWidth="1"/>
    <col min="2289" max="2289" width="8.77734375" style="56"/>
    <col min="2290" max="2290" width="10.44140625" style="56" customWidth="1"/>
    <col min="2291" max="2291" width="3.77734375" style="56" customWidth="1"/>
    <col min="2292" max="2293" width="8.77734375" style="56"/>
    <col min="2294" max="2294" width="3.77734375" style="56" customWidth="1"/>
    <col min="2295" max="2534" width="8.77734375" style="56"/>
    <col min="2535" max="2535" width="24.77734375" style="56" customWidth="1"/>
    <col min="2536" max="2536" width="13.44140625" style="56" customWidth="1"/>
    <col min="2537" max="2537" width="8.77734375" style="56"/>
    <col min="2538" max="2538" width="6.77734375" style="56" customWidth="1"/>
    <col min="2539" max="2539" width="6.44140625" style="56" customWidth="1"/>
    <col min="2540" max="2540" width="8.21875" style="56" customWidth="1"/>
    <col min="2541" max="2541" width="6.77734375" style="56" customWidth="1"/>
    <col min="2542" max="2542" width="4.77734375" style="56" customWidth="1"/>
    <col min="2543" max="2544" width="5" style="56" customWidth="1"/>
    <col min="2545" max="2545" width="8.77734375" style="56"/>
    <col min="2546" max="2546" width="10.44140625" style="56" customWidth="1"/>
    <col min="2547" max="2547" width="3.77734375" style="56" customWidth="1"/>
    <col min="2548" max="2549" width="8.77734375" style="56"/>
    <col min="2550" max="2550" width="3.77734375" style="56" customWidth="1"/>
    <col min="2551" max="2790" width="8.77734375" style="56"/>
    <col min="2791" max="2791" width="24.77734375" style="56" customWidth="1"/>
    <col min="2792" max="2792" width="13.44140625" style="56" customWidth="1"/>
    <col min="2793" max="2793" width="8.77734375" style="56"/>
    <col min="2794" max="2794" width="6.77734375" style="56" customWidth="1"/>
    <col min="2795" max="2795" width="6.44140625" style="56" customWidth="1"/>
    <col min="2796" max="2796" width="8.21875" style="56" customWidth="1"/>
    <col min="2797" max="2797" width="6.77734375" style="56" customWidth="1"/>
    <col min="2798" max="2798" width="4.77734375" style="56" customWidth="1"/>
    <col min="2799" max="2800" width="5" style="56" customWidth="1"/>
    <col min="2801" max="2801" width="8.77734375" style="56"/>
    <col min="2802" max="2802" width="10.44140625" style="56" customWidth="1"/>
    <col min="2803" max="2803" width="3.77734375" style="56" customWidth="1"/>
    <col min="2804" max="2805" width="8.77734375" style="56"/>
    <col min="2806" max="2806" width="3.77734375" style="56" customWidth="1"/>
    <col min="2807" max="3046" width="8.77734375" style="56"/>
    <col min="3047" max="3047" width="24.77734375" style="56" customWidth="1"/>
    <col min="3048" max="3048" width="13.44140625" style="56" customWidth="1"/>
    <col min="3049" max="3049" width="8.77734375" style="56"/>
    <col min="3050" max="3050" width="6.77734375" style="56" customWidth="1"/>
    <col min="3051" max="3051" width="6.44140625" style="56" customWidth="1"/>
    <col min="3052" max="3052" width="8.21875" style="56" customWidth="1"/>
    <col min="3053" max="3053" width="6.77734375" style="56" customWidth="1"/>
    <col min="3054" max="3054" width="4.77734375" style="56" customWidth="1"/>
    <col min="3055" max="3056" width="5" style="56" customWidth="1"/>
    <col min="3057" max="3057" width="8.77734375" style="56"/>
    <col min="3058" max="3058" width="10.44140625" style="56" customWidth="1"/>
    <col min="3059" max="3059" width="3.77734375" style="56" customWidth="1"/>
    <col min="3060" max="3061" width="8.77734375" style="56"/>
    <col min="3062" max="3062" width="3.77734375" style="56" customWidth="1"/>
    <col min="3063" max="3302" width="8.77734375" style="56"/>
    <col min="3303" max="3303" width="24.77734375" style="56" customWidth="1"/>
    <col min="3304" max="3304" width="13.44140625" style="56" customWidth="1"/>
    <col min="3305" max="3305" width="8.77734375" style="56"/>
    <col min="3306" max="3306" width="6.77734375" style="56" customWidth="1"/>
    <col min="3307" max="3307" width="6.44140625" style="56" customWidth="1"/>
    <col min="3308" max="3308" width="8.21875" style="56" customWidth="1"/>
    <col min="3309" max="3309" width="6.77734375" style="56" customWidth="1"/>
    <col min="3310" max="3310" width="4.77734375" style="56" customWidth="1"/>
    <col min="3311" max="3312" width="5" style="56" customWidth="1"/>
    <col min="3313" max="3313" width="8.77734375" style="56"/>
    <col min="3314" max="3314" width="10.44140625" style="56" customWidth="1"/>
    <col min="3315" max="3315" width="3.77734375" style="56" customWidth="1"/>
    <col min="3316" max="3317" width="8.77734375" style="56"/>
    <col min="3318" max="3318" width="3.77734375" style="56" customWidth="1"/>
    <col min="3319" max="3558" width="8.77734375" style="56"/>
    <col min="3559" max="3559" width="24.77734375" style="56" customWidth="1"/>
    <col min="3560" max="3560" width="13.44140625" style="56" customWidth="1"/>
    <col min="3561" max="3561" width="8.77734375" style="56"/>
    <col min="3562" max="3562" width="6.77734375" style="56" customWidth="1"/>
    <col min="3563" max="3563" width="6.44140625" style="56" customWidth="1"/>
    <col min="3564" max="3564" width="8.21875" style="56" customWidth="1"/>
    <col min="3565" max="3565" width="6.77734375" style="56" customWidth="1"/>
    <col min="3566" max="3566" width="4.77734375" style="56" customWidth="1"/>
    <col min="3567" max="3568" width="5" style="56" customWidth="1"/>
    <col min="3569" max="3569" width="8.77734375" style="56"/>
    <col min="3570" max="3570" width="10.44140625" style="56" customWidth="1"/>
    <col min="3571" max="3571" width="3.77734375" style="56" customWidth="1"/>
    <col min="3572" max="3573" width="8.77734375" style="56"/>
    <col min="3574" max="3574" width="3.77734375" style="56" customWidth="1"/>
    <col min="3575" max="3814" width="8.77734375" style="56"/>
    <col min="3815" max="3815" width="24.77734375" style="56" customWidth="1"/>
    <col min="3816" max="3816" width="13.44140625" style="56" customWidth="1"/>
    <col min="3817" max="3817" width="8.77734375" style="56"/>
    <col min="3818" max="3818" width="6.77734375" style="56" customWidth="1"/>
    <col min="3819" max="3819" width="6.44140625" style="56" customWidth="1"/>
    <col min="3820" max="3820" width="8.21875" style="56" customWidth="1"/>
    <col min="3821" max="3821" width="6.77734375" style="56" customWidth="1"/>
    <col min="3822" max="3822" width="4.77734375" style="56" customWidth="1"/>
    <col min="3823" max="3824" width="5" style="56" customWidth="1"/>
    <col min="3825" max="3825" width="8.77734375" style="56"/>
    <col min="3826" max="3826" width="10.44140625" style="56" customWidth="1"/>
    <col min="3827" max="3827" width="3.77734375" style="56" customWidth="1"/>
    <col min="3828" max="3829" width="8.77734375" style="56"/>
    <col min="3830" max="3830" width="3.77734375" style="56" customWidth="1"/>
    <col min="3831" max="4070" width="8.77734375" style="56"/>
    <col min="4071" max="4071" width="24.77734375" style="56" customWidth="1"/>
    <col min="4072" max="4072" width="13.44140625" style="56" customWidth="1"/>
    <col min="4073" max="4073" width="8.77734375" style="56"/>
    <col min="4074" max="4074" width="6.77734375" style="56" customWidth="1"/>
    <col min="4075" max="4075" width="6.44140625" style="56" customWidth="1"/>
    <col min="4076" max="4076" width="8.21875" style="56" customWidth="1"/>
    <col min="4077" max="4077" width="6.77734375" style="56" customWidth="1"/>
    <col min="4078" max="4078" width="4.77734375" style="56" customWidth="1"/>
    <col min="4079" max="4080" width="5" style="56" customWidth="1"/>
    <col min="4081" max="4081" width="8.77734375" style="56"/>
    <col min="4082" max="4082" width="10.44140625" style="56" customWidth="1"/>
    <col min="4083" max="4083" width="3.77734375" style="56" customWidth="1"/>
    <col min="4084" max="4085" width="8.77734375" style="56"/>
    <col min="4086" max="4086" width="3.77734375" style="56" customWidth="1"/>
    <col min="4087" max="4326" width="8.77734375" style="56"/>
    <col min="4327" max="4327" width="24.77734375" style="56" customWidth="1"/>
    <col min="4328" max="4328" width="13.44140625" style="56" customWidth="1"/>
    <col min="4329" max="4329" width="8.77734375" style="56"/>
    <col min="4330" max="4330" width="6.77734375" style="56" customWidth="1"/>
    <col min="4331" max="4331" width="6.44140625" style="56" customWidth="1"/>
    <col min="4332" max="4332" width="8.21875" style="56" customWidth="1"/>
    <col min="4333" max="4333" width="6.77734375" style="56" customWidth="1"/>
    <col min="4334" max="4334" width="4.77734375" style="56" customWidth="1"/>
    <col min="4335" max="4336" width="5" style="56" customWidth="1"/>
    <col min="4337" max="4337" width="8.77734375" style="56"/>
    <col min="4338" max="4338" width="10.44140625" style="56" customWidth="1"/>
    <col min="4339" max="4339" width="3.77734375" style="56" customWidth="1"/>
    <col min="4340" max="4341" width="8.77734375" style="56"/>
    <col min="4342" max="4342" width="3.77734375" style="56" customWidth="1"/>
    <col min="4343" max="4582" width="8.77734375" style="56"/>
    <col min="4583" max="4583" width="24.77734375" style="56" customWidth="1"/>
    <col min="4584" max="4584" width="13.44140625" style="56" customWidth="1"/>
    <col min="4585" max="4585" width="8.77734375" style="56"/>
    <col min="4586" max="4586" width="6.77734375" style="56" customWidth="1"/>
    <col min="4587" max="4587" width="6.44140625" style="56" customWidth="1"/>
    <col min="4588" max="4588" width="8.21875" style="56" customWidth="1"/>
    <col min="4589" max="4589" width="6.77734375" style="56" customWidth="1"/>
    <col min="4590" max="4590" width="4.77734375" style="56" customWidth="1"/>
    <col min="4591" max="4592" width="5" style="56" customWidth="1"/>
    <col min="4593" max="4593" width="8.77734375" style="56"/>
    <col min="4594" max="4594" width="10.44140625" style="56" customWidth="1"/>
    <col min="4595" max="4595" width="3.77734375" style="56" customWidth="1"/>
    <col min="4596" max="4597" width="8.77734375" style="56"/>
    <col min="4598" max="4598" width="3.77734375" style="56" customWidth="1"/>
    <col min="4599" max="4838" width="8.77734375" style="56"/>
    <col min="4839" max="4839" width="24.77734375" style="56" customWidth="1"/>
    <col min="4840" max="4840" width="13.44140625" style="56" customWidth="1"/>
    <col min="4841" max="4841" width="8.77734375" style="56"/>
    <col min="4842" max="4842" width="6.77734375" style="56" customWidth="1"/>
    <col min="4843" max="4843" width="6.44140625" style="56" customWidth="1"/>
    <col min="4844" max="4844" width="8.21875" style="56" customWidth="1"/>
    <col min="4845" max="4845" width="6.77734375" style="56" customWidth="1"/>
    <col min="4846" max="4846" width="4.77734375" style="56" customWidth="1"/>
    <col min="4847" max="4848" width="5" style="56" customWidth="1"/>
    <col min="4849" max="4849" width="8.77734375" style="56"/>
    <col min="4850" max="4850" width="10.44140625" style="56" customWidth="1"/>
    <col min="4851" max="4851" width="3.77734375" style="56" customWidth="1"/>
    <col min="4852" max="4853" width="8.77734375" style="56"/>
    <col min="4854" max="4854" width="3.77734375" style="56" customWidth="1"/>
    <col min="4855" max="5094" width="8.77734375" style="56"/>
    <col min="5095" max="5095" width="24.77734375" style="56" customWidth="1"/>
    <col min="5096" max="5096" width="13.44140625" style="56" customWidth="1"/>
    <col min="5097" max="5097" width="8.77734375" style="56"/>
    <col min="5098" max="5098" width="6.77734375" style="56" customWidth="1"/>
    <col min="5099" max="5099" width="6.44140625" style="56" customWidth="1"/>
    <col min="5100" max="5100" width="8.21875" style="56" customWidth="1"/>
    <col min="5101" max="5101" width="6.77734375" style="56" customWidth="1"/>
    <col min="5102" max="5102" width="4.77734375" style="56" customWidth="1"/>
    <col min="5103" max="5104" width="5" style="56" customWidth="1"/>
    <col min="5105" max="5105" width="8.77734375" style="56"/>
    <col min="5106" max="5106" width="10.44140625" style="56" customWidth="1"/>
    <col min="5107" max="5107" width="3.77734375" style="56" customWidth="1"/>
    <col min="5108" max="5109" width="8.77734375" style="56"/>
    <col min="5110" max="5110" width="3.77734375" style="56" customWidth="1"/>
    <col min="5111" max="5350" width="8.77734375" style="56"/>
    <col min="5351" max="5351" width="24.77734375" style="56" customWidth="1"/>
    <col min="5352" max="5352" width="13.44140625" style="56" customWidth="1"/>
    <col min="5353" max="5353" width="8.77734375" style="56"/>
    <col min="5354" max="5354" width="6.77734375" style="56" customWidth="1"/>
    <col min="5355" max="5355" width="6.44140625" style="56" customWidth="1"/>
    <col min="5356" max="5356" width="8.21875" style="56" customWidth="1"/>
    <col min="5357" max="5357" width="6.77734375" style="56" customWidth="1"/>
    <col min="5358" max="5358" width="4.77734375" style="56" customWidth="1"/>
    <col min="5359" max="5360" width="5" style="56" customWidth="1"/>
    <col min="5361" max="5361" width="8.77734375" style="56"/>
    <col min="5362" max="5362" width="10.44140625" style="56" customWidth="1"/>
    <col min="5363" max="5363" width="3.77734375" style="56" customWidth="1"/>
    <col min="5364" max="5365" width="8.77734375" style="56"/>
    <col min="5366" max="5366" width="3.77734375" style="56" customWidth="1"/>
    <col min="5367" max="5606" width="8.77734375" style="56"/>
    <col min="5607" max="5607" width="24.77734375" style="56" customWidth="1"/>
    <col min="5608" max="5608" width="13.44140625" style="56" customWidth="1"/>
    <col min="5609" max="5609" width="8.77734375" style="56"/>
    <col min="5610" max="5610" width="6.77734375" style="56" customWidth="1"/>
    <col min="5611" max="5611" width="6.44140625" style="56" customWidth="1"/>
    <col min="5612" max="5612" width="8.21875" style="56" customWidth="1"/>
    <col min="5613" max="5613" width="6.77734375" style="56" customWidth="1"/>
    <col min="5614" max="5614" width="4.77734375" style="56" customWidth="1"/>
    <col min="5615" max="5616" width="5" style="56" customWidth="1"/>
    <col min="5617" max="5617" width="8.77734375" style="56"/>
    <col min="5618" max="5618" width="10.44140625" style="56" customWidth="1"/>
    <col min="5619" max="5619" width="3.77734375" style="56" customWidth="1"/>
    <col min="5620" max="5621" width="8.77734375" style="56"/>
    <col min="5622" max="5622" width="3.77734375" style="56" customWidth="1"/>
    <col min="5623" max="5862" width="8.77734375" style="56"/>
    <col min="5863" max="5863" width="24.77734375" style="56" customWidth="1"/>
    <col min="5864" max="5864" width="13.44140625" style="56" customWidth="1"/>
    <col min="5865" max="5865" width="8.77734375" style="56"/>
    <col min="5866" max="5866" width="6.77734375" style="56" customWidth="1"/>
    <col min="5867" max="5867" width="6.44140625" style="56" customWidth="1"/>
    <col min="5868" max="5868" width="8.21875" style="56" customWidth="1"/>
    <col min="5869" max="5869" width="6.77734375" style="56" customWidth="1"/>
    <col min="5870" max="5870" width="4.77734375" style="56" customWidth="1"/>
    <col min="5871" max="5872" width="5" style="56" customWidth="1"/>
    <col min="5873" max="5873" width="8.77734375" style="56"/>
    <col min="5874" max="5874" width="10.44140625" style="56" customWidth="1"/>
    <col min="5875" max="5875" width="3.77734375" style="56" customWidth="1"/>
    <col min="5876" max="5877" width="8.77734375" style="56"/>
    <col min="5878" max="5878" width="3.77734375" style="56" customWidth="1"/>
    <col min="5879" max="6118" width="8.77734375" style="56"/>
    <col min="6119" max="6119" width="24.77734375" style="56" customWidth="1"/>
    <col min="6120" max="6120" width="13.44140625" style="56" customWidth="1"/>
    <col min="6121" max="6121" width="8.77734375" style="56"/>
    <col min="6122" max="6122" width="6.77734375" style="56" customWidth="1"/>
    <col min="6123" max="6123" width="6.44140625" style="56" customWidth="1"/>
    <col min="6124" max="6124" width="8.21875" style="56" customWidth="1"/>
    <col min="6125" max="6125" width="6.77734375" style="56" customWidth="1"/>
    <col min="6126" max="6126" width="4.77734375" style="56" customWidth="1"/>
    <col min="6127" max="6128" width="5" style="56" customWidth="1"/>
    <col min="6129" max="6129" width="8.77734375" style="56"/>
    <col min="6130" max="6130" width="10.44140625" style="56" customWidth="1"/>
    <col min="6131" max="6131" width="3.77734375" style="56" customWidth="1"/>
    <col min="6132" max="6133" width="8.77734375" style="56"/>
    <col min="6134" max="6134" width="3.77734375" style="56" customWidth="1"/>
    <col min="6135" max="6374" width="8.77734375" style="56"/>
    <col min="6375" max="6375" width="24.77734375" style="56" customWidth="1"/>
    <col min="6376" max="6376" width="13.44140625" style="56" customWidth="1"/>
    <col min="6377" max="6377" width="8.77734375" style="56"/>
    <col min="6378" max="6378" width="6.77734375" style="56" customWidth="1"/>
    <col min="6379" max="6379" width="6.44140625" style="56" customWidth="1"/>
    <col min="6380" max="6380" width="8.21875" style="56" customWidth="1"/>
    <col min="6381" max="6381" width="6.77734375" style="56" customWidth="1"/>
    <col min="6382" max="6382" width="4.77734375" style="56" customWidth="1"/>
    <col min="6383" max="6384" width="5" style="56" customWidth="1"/>
    <col min="6385" max="6385" width="8.77734375" style="56"/>
    <col min="6386" max="6386" width="10.44140625" style="56" customWidth="1"/>
    <col min="6387" max="6387" width="3.77734375" style="56" customWidth="1"/>
    <col min="6388" max="6389" width="8.77734375" style="56"/>
    <col min="6390" max="6390" width="3.77734375" style="56" customWidth="1"/>
    <col min="6391" max="6630" width="8.77734375" style="56"/>
    <col min="6631" max="6631" width="24.77734375" style="56" customWidth="1"/>
    <col min="6632" max="6632" width="13.44140625" style="56" customWidth="1"/>
    <col min="6633" max="6633" width="8.77734375" style="56"/>
    <col min="6634" max="6634" width="6.77734375" style="56" customWidth="1"/>
    <col min="6635" max="6635" width="6.44140625" style="56" customWidth="1"/>
    <col min="6636" max="6636" width="8.21875" style="56" customWidth="1"/>
    <col min="6637" max="6637" width="6.77734375" style="56" customWidth="1"/>
    <col min="6638" max="6638" width="4.77734375" style="56" customWidth="1"/>
    <col min="6639" max="6640" width="5" style="56" customWidth="1"/>
    <col min="6641" max="6641" width="8.77734375" style="56"/>
    <col min="6642" max="6642" width="10.44140625" style="56" customWidth="1"/>
    <col min="6643" max="6643" width="3.77734375" style="56" customWidth="1"/>
    <col min="6644" max="6645" width="8.77734375" style="56"/>
    <col min="6646" max="6646" width="3.77734375" style="56" customWidth="1"/>
    <col min="6647" max="6886" width="8.77734375" style="56"/>
    <col min="6887" max="6887" width="24.77734375" style="56" customWidth="1"/>
    <col min="6888" max="6888" width="13.44140625" style="56" customWidth="1"/>
    <col min="6889" max="6889" width="8.77734375" style="56"/>
    <col min="6890" max="6890" width="6.77734375" style="56" customWidth="1"/>
    <col min="6891" max="6891" width="6.44140625" style="56" customWidth="1"/>
    <col min="6892" max="6892" width="8.21875" style="56" customWidth="1"/>
    <col min="6893" max="6893" width="6.77734375" style="56" customWidth="1"/>
    <col min="6894" max="6894" width="4.77734375" style="56" customWidth="1"/>
    <col min="6895" max="6896" width="5" style="56" customWidth="1"/>
    <col min="6897" max="6897" width="8.77734375" style="56"/>
    <col min="6898" max="6898" width="10.44140625" style="56" customWidth="1"/>
    <col min="6899" max="6899" width="3.77734375" style="56" customWidth="1"/>
    <col min="6900" max="6901" width="8.77734375" style="56"/>
    <col min="6902" max="6902" width="3.77734375" style="56" customWidth="1"/>
    <col min="6903" max="7142" width="8.77734375" style="56"/>
    <col min="7143" max="7143" width="24.77734375" style="56" customWidth="1"/>
    <col min="7144" max="7144" width="13.44140625" style="56" customWidth="1"/>
    <col min="7145" max="7145" width="8.77734375" style="56"/>
    <col min="7146" max="7146" width="6.77734375" style="56" customWidth="1"/>
    <col min="7147" max="7147" width="6.44140625" style="56" customWidth="1"/>
    <col min="7148" max="7148" width="8.21875" style="56" customWidth="1"/>
    <col min="7149" max="7149" width="6.77734375" style="56" customWidth="1"/>
    <col min="7150" max="7150" width="4.77734375" style="56" customWidth="1"/>
    <col min="7151" max="7152" width="5" style="56" customWidth="1"/>
    <col min="7153" max="7153" width="8.77734375" style="56"/>
    <col min="7154" max="7154" width="10.44140625" style="56" customWidth="1"/>
    <col min="7155" max="7155" width="3.77734375" style="56" customWidth="1"/>
    <col min="7156" max="7157" width="8.77734375" style="56"/>
    <col min="7158" max="7158" width="3.77734375" style="56" customWidth="1"/>
    <col min="7159" max="7398" width="8.77734375" style="56"/>
    <col min="7399" max="7399" width="24.77734375" style="56" customWidth="1"/>
    <col min="7400" max="7400" width="13.44140625" style="56" customWidth="1"/>
    <col min="7401" max="7401" width="8.77734375" style="56"/>
    <col min="7402" max="7402" width="6.77734375" style="56" customWidth="1"/>
    <col min="7403" max="7403" width="6.44140625" style="56" customWidth="1"/>
    <col min="7404" max="7404" width="8.21875" style="56" customWidth="1"/>
    <col min="7405" max="7405" width="6.77734375" style="56" customWidth="1"/>
    <col min="7406" max="7406" width="4.77734375" style="56" customWidth="1"/>
    <col min="7407" max="7408" width="5" style="56" customWidth="1"/>
    <col min="7409" max="7409" width="8.77734375" style="56"/>
    <col min="7410" max="7410" width="10.44140625" style="56" customWidth="1"/>
    <col min="7411" max="7411" width="3.77734375" style="56" customWidth="1"/>
    <col min="7412" max="7413" width="8.77734375" style="56"/>
    <col min="7414" max="7414" width="3.77734375" style="56" customWidth="1"/>
    <col min="7415" max="7654" width="8.77734375" style="56"/>
    <col min="7655" max="7655" width="24.77734375" style="56" customWidth="1"/>
    <col min="7656" max="7656" width="13.44140625" style="56" customWidth="1"/>
    <col min="7657" max="7657" width="8.77734375" style="56"/>
    <col min="7658" max="7658" width="6.77734375" style="56" customWidth="1"/>
    <col min="7659" max="7659" width="6.44140625" style="56" customWidth="1"/>
    <col min="7660" max="7660" width="8.21875" style="56" customWidth="1"/>
    <col min="7661" max="7661" width="6.77734375" style="56" customWidth="1"/>
    <col min="7662" max="7662" width="4.77734375" style="56" customWidth="1"/>
    <col min="7663" max="7664" width="5" style="56" customWidth="1"/>
    <col min="7665" max="7665" width="8.77734375" style="56"/>
    <col min="7666" max="7666" width="10.44140625" style="56" customWidth="1"/>
    <col min="7667" max="7667" width="3.77734375" style="56" customWidth="1"/>
    <col min="7668" max="7669" width="8.77734375" style="56"/>
    <col min="7670" max="7670" width="3.77734375" style="56" customWidth="1"/>
    <col min="7671" max="7910" width="8.77734375" style="56"/>
    <col min="7911" max="7911" width="24.77734375" style="56" customWidth="1"/>
    <col min="7912" max="7912" width="13.44140625" style="56" customWidth="1"/>
    <col min="7913" max="7913" width="8.77734375" style="56"/>
    <col min="7914" max="7914" width="6.77734375" style="56" customWidth="1"/>
    <col min="7915" max="7915" width="6.44140625" style="56" customWidth="1"/>
    <col min="7916" max="7916" width="8.21875" style="56" customWidth="1"/>
    <col min="7917" max="7917" width="6.77734375" style="56" customWidth="1"/>
    <col min="7918" max="7918" width="4.77734375" style="56" customWidth="1"/>
    <col min="7919" max="7920" width="5" style="56" customWidth="1"/>
    <col min="7921" max="7921" width="8.77734375" style="56"/>
    <col min="7922" max="7922" width="10.44140625" style="56" customWidth="1"/>
    <col min="7923" max="7923" width="3.77734375" style="56" customWidth="1"/>
    <col min="7924" max="7925" width="8.77734375" style="56"/>
    <col min="7926" max="7926" width="3.77734375" style="56" customWidth="1"/>
    <col min="7927" max="8166" width="8.77734375" style="56"/>
    <col min="8167" max="8167" width="24.77734375" style="56" customWidth="1"/>
    <col min="8168" max="8168" width="13.44140625" style="56" customWidth="1"/>
    <col min="8169" max="8169" width="8.77734375" style="56"/>
    <col min="8170" max="8170" width="6.77734375" style="56" customWidth="1"/>
    <col min="8171" max="8171" width="6.44140625" style="56" customWidth="1"/>
    <col min="8172" max="8172" width="8.21875" style="56" customWidth="1"/>
    <col min="8173" max="8173" width="6.77734375" style="56" customWidth="1"/>
    <col min="8174" max="8174" width="4.77734375" style="56" customWidth="1"/>
    <col min="8175" max="8176" width="5" style="56" customWidth="1"/>
    <col min="8177" max="8177" width="8.77734375" style="56"/>
    <col min="8178" max="8178" width="10.44140625" style="56" customWidth="1"/>
    <col min="8179" max="8179" width="3.77734375" style="56" customWidth="1"/>
    <col min="8180" max="8181" width="8.77734375" style="56"/>
    <col min="8182" max="8182" width="3.77734375" style="56" customWidth="1"/>
    <col min="8183" max="8422" width="8.77734375" style="56"/>
    <col min="8423" max="8423" width="24.77734375" style="56" customWidth="1"/>
    <col min="8424" max="8424" width="13.44140625" style="56" customWidth="1"/>
    <col min="8425" max="8425" width="8.77734375" style="56"/>
    <col min="8426" max="8426" width="6.77734375" style="56" customWidth="1"/>
    <col min="8427" max="8427" width="6.44140625" style="56" customWidth="1"/>
    <col min="8428" max="8428" width="8.21875" style="56" customWidth="1"/>
    <col min="8429" max="8429" width="6.77734375" style="56" customWidth="1"/>
    <col min="8430" max="8430" width="4.77734375" style="56" customWidth="1"/>
    <col min="8431" max="8432" width="5" style="56" customWidth="1"/>
    <col min="8433" max="8433" width="8.77734375" style="56"/>
    <col min="8434" max="8434" width="10.44140625" style="56" customWidth="1"/>
    <col min="8435" max="8435" width="3.77734375" style="56" customWidth="1"/>
    <col min="8436" max="8437" width="8.77734375" style="56"/>
    <col min="8438" max="8438" width="3.77734375" style="56" customWidth="1"/>
    <col min="8439" max="8678" width="8.77734375" style="56"/>
    <col min="8679" max="8679" width="24.77734375" style="56" customWidth="1"/>
    <col min="8680" max="8680" width="13.44140625" style="56" customWidth="1"/>
    <col min="8681" max="8681" width="8.77734375" style="56"/>
    <col min="8682" max="8682" width="6.77734375" style="56" customWidth="1"/>
    <col min="8683" max="8683" width="6.44140625" style="56" customWidth="1"/>
    <col min="8684" max="8684" width="8.21875" style="56" customWidth="1"/>
    <col min="8685" max="8685" width="6.77734375" style="56" customWidth="1"/>
    <col min="8686" max="8686" width="4.77734375" style="56" customWidth="1"/>
    <col min="8687" max="8688" width="5" style="56" customWidth="1"/>
    <col min="8689" max="8689" width="8.77734375" style="56"/>
    <col min="8690" max="8690" width="10.44140625" style="56" customWidth="1"/>
    <col min="8691" max="8691" width="3.77734375" style="56" customWidth="1"/>
    <col min="8692" max="8693" width="8.77734375" style="56"/>
    <col min="8694" max="8694" width="3.77734375" style="56" customWidth="1"/>
    <col min="8695" max="8934" width="8.77734375" style="56"/>
    <col min="8935" max="8935" width="24.77734375" style="56" customWidth="1"/>
    <col min="8936" max="8936" width="13.44140625" style="56" customWidth="1"/>
    <col min="8937" max="8937" width="8.77734375" style="56"/>
    <col min="8938" max="8938" width="6.77734375" style="56" customWidth="1"/>
    <col min="8939" max="8939" width="6.44140625" style="56" customWidth="1"/>
    <col min="8940" max="8940" width="8.21875" style="56" customWidth="1"/>
    <col min="8941" max="8941" width="6.77734375" style="56" customWidth="1"/>
    <col min="8942" max="8942" width="4.77734375" style="56" customWidth="1"/>
    <col min="8943" max="8944" width="5" style="56" customWidth="1"/>
    <col min="8945" max="8945" width="8.77734375" style="56"/>
    <col min="8946" max="8946" width="10.44140625" style="56" customWidth="1"/>
    <col min="8947" max="8947" width="3.77734375" style="56" customWidth="1"/>
    <col min="8948" max="8949" width="8.77734375" style="56"/>
    <col min="8950" max="8950" width="3.77734375" style="56" customWidth="1"/>
    <col min="8951" max="9190" width="8.77734375" style="56"/>
    <col min="9191" max="9191" width="24.77734375" style="56" customWidth="1"/>
    <col min="9192" max="9192" width="13.44140625" style="56" customWidth="1"/>
    <col min="9193" max="9193" width="8.77734375" style="56"/>
    <col min="9194" max="9194" width="6.77734375" style="56" customWidth="1"/>
    <col min="9195" max="9195" width="6.44140625" style="56" customWidth="1"/>
    <col min="9196" max="9196" width="8.21875" style="56" customWidth="1"/>
    <col min="9197" max="9197" width="6.77734375" style="56" customWidth="1"/>
    <col min="9198" max="9198" width="4.77734375" style="56" customWidth="1"/>
    <col min="9199" max="9200" width="5" style="56" customWidth="1"/>
    <col min="9201" max="9201" width="8.77734375" style="56"/>
    <col min="9202" max="9202" width="10.44140625" style="56" customWidth="1"/>
    <col min="9203" max="9203" width="3.77734375" style="56" customWidth="1"/>
    <col min="9204" max="9205" width="8.77734375" style="56"/>
    <col min="9206" max="9206" width="3.77734375" style="56" customWidth="1"/>
    <col min="9207" max="9446" width="8.77734375" style="56"/>
    <col min="9447" max="9447" width="24.77734375" style="56" customWidth="1"/>
    <col min="9448" max="9448" width="13.44140625" style="56" customWidth="1"/>
    <col min="9449" max="9449" width="8.77734375" style="56"/>
    <col min="9450" max="9450" width="6.77734375" style="56" customWidth="1"/>
    <col min="9451" max="9451" width="6.44140625" style="56" customWidth="1"/>
    <col min="9452" max="9452" width="8.21875" style="56" customWidth="1"/>
    <col min="9453" max="9453" width="6.77734375" style="56" customWidth="1"/>
    <col min="9454" max="9454" width="4.77734375" style="56" customWidth="1"/>
    <col min="9455" max="9456" width="5" style="56" customWidth="1"/>
    <col min="9457" max="9457" width="8.77734375" style="56"/>
    <col min="9458" max="9458" width="10.44140625" style="56" customWidth="1"/>
    <col min="9459" max="9459" width="3.77734375" style="56" customWidth="1"/>
    <col min="9460" max="9461" width="8.77734375" style="56"/>
    <col min="9462" max="9462" width="3.77734375" style="56" customWidth="1"/>
    <col min="9463" max="9702" width="8.77734375" style="56"/>
    <col min="9703" max="9703" width="24.77734375" style="56" customWidth="1"/>
    <col min="9704" max="9704" width="13.44140625" style="56" customWidth="1"/>
    <col min="9705" max="9705" width="8.77734375" style="56"/>
    <col min="9706" max="9706" width="6.77734375" style="56" customWidth="1"/>
    <col min="9707" max="9707" width="6.44140625" style="56" customWidth="1"/>
    <col min="9708" max="9708" width="8.21875" style="56" customWidth="1"/>
    <col min="9709" max="9709" width="6.77734375" style="56" customWidth="1"/>
    <col min="9710" max="9710" width="4.77734375" style="56" customWidth="1"/>
    <col min="9711" max="9712" width="5" style="56" customWidth="1"/>
    <col min="9713" max="9713" width="8.77734375" style="56"/>
    <col min="9714" max="9714" width="10.44140625" style="56" customWidth="1"/>
    <col min="9715" max="9715" width="3.77734375" style="56" customWidth="1"/>
    <col min="9716" max="9717" width="8.77734375" style="56"/>
    <col min="9718" max="9718" width="3.77734375" style="56" customWidth="1"/>
    <col min="9719" max="9958" width="8.77734375" style="56"/>
    <col min="9959" max="9959" width="24.77734375" style="56" customWidth="1"/>
    <col min="9960" max="9960" width="13.44140625" style="56" customWidth="1"/>
    <col min="9961" max="9961" width="8.77734375" style="56"/>
    <col min="9962" max="9962" width="6.77734375" style="56" customWidth="1"/>
    <col min="9963" max="9963" width="6.44140625" style="56" customWidth="1"/>
    <col min="9964" max="9964" width="8.21875" style="56" customWidth="1"/>
    <col min="9965" max="9965" width="6.77734375" style="56" customWidth="1"/>
    <col min="9966" max="9966" width="4.77734375" style="56" customWidth="1"/>
    <col min="9967" max="9968" width="5" style="56" customWidth="1"/>
    <col min="9969" max="9969" width="8.77734375" style="56"/>
    <col min="9970" max="9970" width="10.44140625" style="56" customWidth="1"/>
    <col min="9971" max="9971" width="3.77734375" style="56" customWidth="1"/>
    <col min="9972" max="9973" width="8.77734375" style="56"/>
    <col min="9974" max="9974" width="3.77734375" style="56" customWidth="1"/>
    <col min="9975" max="10214" width="8.77734375" style="56"/>
    <col min="10215" max="10215" width="24.77734375" style="56" customWidth="1"/>
    <col min="10216" max="10216" width="13.44140625" style="56" customWidth="1"/>
    <col min="10217" max="10217" width="8.77734375" style="56"/>
    <col min="10218" max="10218" width="6.77734375" style="56" customWidth="1"/>
    <col min="10219" max="10219" width="6.44140625" style="56" customWidth="1"/>
    <col min="10220" max="10220" width="8.21875" style="56" customWidth="1"/>
    <col min="10221" max="10221" width="6.77734375" style="56" customWidth="1"/>
    <col min="10222" max="10222" width="4.77734375" style="56" customWidth="1"/>
    <col min="10223" max="10224" width="5" style="56" customWidth="1"/>
    <col min="10225" max="10225" width="8.77734375" style="56"/>
    <col min="10226" max="10226" width="10.44140625" style="56" customWidth="1"/>
    <col min="10227" max="10227" width="3.77734375" style="56" customWidth="1"/>
    <col min="10228" max="10229" width="8.77734375" style="56"/>
    <col min="10230" max="10230" width="3.77734375" style="56" customWidth="1"/>
    <col min="10231" max="10470" width="8.77734375" style="56"/>
    <col min="10471" max="10471" width="24.77734375" style="56" customWidth="1"/>
    <col min="10472" max="10472" width="13.44140625" style="56" customWidth="1"/>
    <col min="10473" max="10473" width="8.77734375" style="56"/>
    <col min="10474" max="10474" width="6.77734375" style="56" customWidth="1"/>
    <col min="10475" max="10475" width="6.44140625" style="56" customWidth="1"/>
    <col min="10476" max="10476" width="8.21875" style="56" customWidth="1"/>
    <col min="10477" max="10477" width="6.77734375" style="56" customWidth="1"/>
    <col min="10478" max="10478" width="4.77734375" style="56" customWidth="1"/>
    <col min="10479" max="10480" width="5" style="56" customWidth="1"/>
    <col min="10481" max="10481" width="8.77734375" style="56"/>
    <col min="10482" max="10482" width="10.44140625" style="56" customWidth="1"/>
    <col min="10483" max="10483" width="3.77734375" style="56" customWidth="1"/>
    <col min="10484" max="10485" width="8.77734375" style="56"/>
    <col min="10486" max="10486" width="3.77734375" style="56" customWidth="1"/>
    <col min="10487" max="10726" width="8.77734375" style="56"/>
    <col min="10727" max="10727" width="24.77734375" style="56" customWidth="1"/>
    <col min="10728" max="10728" width="13.44140625" style="56" customWidth="1"/>
    <col min="10729" max="10729" width="8.77734375" style="56"/>
    <col min="10730" max="10730" width="6.77734375" style="56" customWidth="1"/>
    <col min="10731" max="10731" width="6.44140625" style="56" customWidth="1"/>
    <col min="10732" max="10732" width="8.21875" style="56" customWidth="1"/>
    <col min="10733" max="10733" width="6.77734375" style="56" customWidth="1"/>
    <col min="10734" max="10734" width="4.77734375" style="56" customWidth="1"/>
    <col min="10735" max="10736" width="5" style="56" customWidth="1"/>
    <col min="10737" max="10737" width="8.77734375" style="56"/>
    <col min="10738" max="10738" width="10.44140625" style="56" customWidth="1"/>
    <col min="10739" max="10739" width="3.77734375" style="56" customWidth="1"/>
    <col min="10740" max="10741" width="8.77734375" style="56"/>
    <col min="10742" max="10742" width="3.77734375" style="56" customWidth="1"/>
    <col min="10743" max="10982" width="8.77734375" style="56"/>
    <col min="10983" max="10983" width="24.77734375" style="56" customWidth="1"/>
    <col min="10984" max="10984" width="13.44140625" style="56" customWidth="1"/>
    <col min="10985" max="10985" width="8.77734375" style="56"/>
    <col min="10986" max="10986" width="6.77734375" style="56" customWidth="1"/>
    <col min="10987" max="10987" width="6.44140625" style="56" customWidth="1"/>
    <col min="10988" max="10988" width="8.21875" style="56" customWidth="1"/>
    <col min="10989" max="10989" width="6.77734375" style="56" customWidth="1"/>
    <col min="10990" max="10990" width="4.77734375" style="56" customWidth="1"/>
    <col min="10991" max="10992" width="5" style="56" customWidth="1"/>
    <col min="10993" max="10993" width="8.77734375" style="56"/>
    <col min="10994" max="10994" width="10.44140625" style="56" customWidth="1"/>
    <col min="10995" max="10995" width="3.77734375" style="56" customWidth="1"/>
    <col min="10996" max="10997" width="8.77734375" style="56"/>
    <col min="10998" max="10998" width="3.77734375" style="56" customWidth="1"/>
    <col min="10999" max="11238" width="8.77734375" style="56"/>
    <col min="11239" max="11239" width="24.77734375" style="56" customWidth="1"/>
    <col min="11240" max="11240" width="13.44140625" style="56" customWidth="1"/>
    <col min="11241" max="11241" width="8.77734375" style="56"/>
    <col min="11242" max="11242" width="6.77734375" style="56" customWidth="1"/>
    <col min="11243" max="11243" width="6.44140625" style="56" customWidth="1"/>
    <col min="11244" max="11244" width="8.21875" style="56" customWidth="1"/>
    <col min="11245" max="11245" width="6.77734375" style="56" customWidth="1"/>
    <col min="11246" max="11246" width="4.77734375" style="56" customWidth="1"/>
    <col min="11247" max="11248" width="5" style="56" customWidth="1"/>
    <col min="11249" max="11249" width="8.77734375" style="56"/>
    <col min="11250" max="11250" width="10.44140625" style="56" customWidth="1"/>
    <col min="11251" max="11251" width="3.77734375" style="56" customWidth="1"/>
    <col min="11252" max="11253" width="8.77734375" style="56"/>
    <col min="11254" max="11254" width="3.77734375" style="56" customWidth="1"/>
    <col min="11255" max="11494" width="8.77734375" style="56"/>
    <col min="11495" max="11495" width="24.77734375" style="56" customWidth="1"/>
    <col min="11496" max="11496" width="13.44140625" style="56" customWidth="1"/>
    <col min="11497" max="11497" width="8.77734375" style="56"/>
    <col min="11498" max="11498" width="6.77734375" style="56" customWidth="1"/>
    <col min="11499" max="11499" width="6.44140625" style="56" customWidth="1"/>
    <col min="11500" max="11500" width="8.21875" style="56" customWidth="1"/>
    <col min="11501" max="11501" width="6.77734375" style="56" customWidth="1"/>
    <col min="11502" max="11502" width="4.77734375" style="56" customWidth="1"/>
    <col min="11503" max="11504" width="5" style="56" customWidth="1"/>
    <col min="11505" max="11505" width="8.77734375" style="56"/>
    <col min="11506" max="11506" width="10.44140625" style="56" customWidth="1"/>
    <col min="11507" max="11507" width="3.77734375" style="56" customWidth="1"/>
    <col min="11508" max="11509" width="8.77734375" style="56"/>
    <col min="11510" max="11510" width="3.77734375" style="56" customWidth="1"/>
    <col min="11511" max="11750" width="8.77734375" style="56"/>
    <col min="11751" max="11751" width="24.77734375" style="56" customWidth="1"/>
    <col min="11752" max="11752" width="13.44140625" style="56" customWidth="1"/>
    <col min="11753" max="11753" width="8.77734375" style="56"/>
    <col min="11754" max="11754" width="6.77734375" style="56" customWidth="1"/>
    <col min="11755" max="11755" width="6.44140625" style="56" customWidth="1"/>
    <col min="11756" max="11756" width="8.21875" style="56" customWidth="1"/>
    <col min="11757" max="11757" width="6.77734375" style="56" customWidth="1"/>
    <col min="11758" max="11758" width="4.77734375" style="56" customWidth="1"/>
    <col min="11759" max="11760" width="5" style="56" customWidth="1"/>
    <col min="11761" max="11761" width="8.77734375" style="56"/>
    <col min="11762" max="11762" width="10.44140625" style="56" customWidth="1"/>
    <col min="11763" max="11763" width="3.77734375" style="56" customWidth="1"/>
    <col min="11764" max="11765" width="8.77734375" style="56"/>
    <col min="11766" max="11766" width="3.77734375" style="56" customWidth="1"/>
    <col min="11767" max="12006" width="8.77734375" style="56"/>
    <col min="12007" max="12007" width="24.77734375" style="56" customWidth="1"/>
    <col min="12008" max="12008" width="13.44140625" style="56" customWidth="1"/>
    <col min="12009" max="12009" width="8.77734375" style="56"/>
    <col min="12010" max="12010" width="6.77734375" style="56" customWidth="1"/>
    <col min="12011" max="12011" width="6.44140625" style="56" customWidth="1"/>
    <col min="12012" max="12012" width="8.21875" style="56" customWidth="1"/>
    <col min="12013" max="12013" width="6.77734375" style="56" customWidth="1"/>
    <col min="12014" max="12014" width="4.77734375" style="56" customWidth="1"/>
    <col min="12015" max="12016" width="5" style="56" customWidth="1"/>
    <col min="12017" max="12017" width="8.77734375" style="56"/>
    <col min="12018" max="12018" width="10.44140625" style="56" customWidth="1"/>
    <col min="12019" max="12019" width="3.77734375" style="56" customWidth="1"/>
    <col min="12020" max="12021" width="8.77734375" style="56"/>
    <col min="12022" max="12022" width="3.77734375" style="56" customWidth="1"/>
    <col min="12023" max="12262" width="8.77734375" style="56"/>
    <col min="12263" max="12263" width="24.77734375" style="56" customWidth="1"/>
    <col min="12264" max="12264" width="13.44140625" style="56" customWidth="1"/>
    <col min="12265" max="12265" width="8.77734375" style="56"/>
    <col min="12266" max="12266" width="6.77734375" style="56" customWidth="1"/>
    <col min="12267" max="12267" width="6.44140625" style="56" customWidth="1"/>
    <col min="12268" max="12268" width="8.21875" style="56" customWidth="1"/>
    <col min="12269" max="12269" width="6.77734375" style="56" customWidth="1"/>
    <col min="12270" max="12270" width="4.77734375" style="56" customWidth="1"/>
    <col min="12271" max="12272" width="5" style="56" customWidth="1"/>
    <col min="12273" max="12273" width="8.77734375" style="56"/>
    <col min="12274" max="12274" width="10.44140625" style="56" customWidth="1"/>
    <col min="12275" max="12275" width="3.77734375" style="56" customWidth="1"/>
    <col min="12276" max="12277" width="8.77734375" style="56"/>
    <col min="12278" max="12278" width="3.77734375" style="56" customWidth="1"/>
    <col min="12279" max="12518" width="8.77734375" style="56"/>
    <col min="12519" max="12519" width="24.77734375" style="56" customWidth="1"/>
    <col min="12520" max="12520" width="13.44140625" style="56" customWidth="1"/>
    <col min="12521" max="12521" width="8.77734375" style="56"/>
    <col min="12522" max="12522" width="6.77734375" style="56" customWidth="1"/>
    <col min="12523" max="12523" width="6.44140625" style="56" customWidth="1"/>
    <col min="12524" max="12524" width="8.21875" style="56" customWidth="1"/>
    <col min="12525" max="12525" width="6.77734375" style="56" customWidth="1"/>
    <col min="12526" max="12526" width="4.77734375" style="56" customWidth="1"/>
    <col min="12527" max="12528" width="5" style="56" customWidth="1"/>
    <col min="12529" max="12529" width="8.77734375" style="56"/>
    <col min="12530" max="12530" width="10.44140625" style="56" customWidth="1"/>
    <col min="12531" max="12531" width="3.77734375" style="56" customWidth="1"/>
    <col min="12532" max="12533" width="8.77734375" style="56"/>
    <col min="12534" max="12534" width="3.77734375" style="56" customWidth="1"/>
    <col min="12535" max="12774" width="8.77734375" style="56"/>
    <col min="12775" max="12775" width="24.77734375" style="56" customWidth="1"/>
    <col min="12776" max="12776" width="13.44140625" style="56" customWidth="1"/>
    <col min="12777" max="12777" width="8.77734375" style="56"/>
    <col min="12778" max="12778" width="6.77734375" style="56" customWidth="1"/>
    <col min="12779" max="12779" width="6.44140625" style="56" customWidth="1"/>
    <col min="12780" max="12780" width="8.21875" style="56" customWidth="1"/>
    <col min="12781" max="12781" width="6.77734375" style="56" customWidth="1"/>
    <col min="12782" max="12782" width="4.77734375" style="56" customWidth="1"/>
    <col min="12783" max="12784" width="5" style="56" customWidth="1"/>
    <col min="12785" max="12785" width="8.77734375" style="56"/>
    <col min="12786" max="12786" width="10.44140625" style="56" customWidth="1"/>
    <col min="12787" max="12787" width="3.77734375" style="56" customWidth="1"/>
    <col min="12788" max="12789" width="8.77734375" style="56"/>
    <col min="12790" max="12790" width="3.77734375" style="56" customWidth="1"/>
    <col min="12791" max="13030" width="8.77734375" style="56"/>
    <col min="13031" max="13031" width="24.77734375" style="56" customWidth="1"/>
    <col min="13032" max="13032" width="13.44140625" style="56" customWidth="1"/>
    <col min="13033" max="13033" width="8.77734375" style="56"/>
    <col min="13034" max="13034" width="6.77734375" style="56" customWidth="1"/>
    <col min="13035" max="13035" width="6.44140625" style="56" customWidth="1"/>
    <col min="13036" max="13036" width="8.21875" style="56" customWidth="1"/>
    <col min="13037" max="13037" width="6.77734375" style="56" customWidth="1"/>
    <col min="13038" max="13038" width="4.77734375" style="56" customWidth="1"/>
    <col min="13039" max="13040" width="5" style="56" customWidth="1"/>
    <col min="13041" max="13041" width="8.77734375" style="56"/>
    <col min="13042" max="13042" width="10.44140625" style="56" customWidth="1"/>
    <col min="13043" max="13043" width="3.77734375" style="56" customWidth="1"/>
    <col min="13044" max="13045" width="8.77734375" style="56"/>
    <col min="13046" max="13046" width="3.77734375" style="56" customWidth="1"/>
    <col min="13047" max="13286" width="8.77734375" style="56"/>
    <col min="13287" max="13287" width="24.77734375" style="56" customWidth="1"/>
    <col min="13288" max="13288" width="13.44140625" style="56" customWidth="1"/>
    <col min="13289" max="13289" width="8.77734375" style="56"/>
    <col min="13290" max="13290" width="6.77734375" style="56" customWidth="1"/>
    <col min="13291" max="13291" width="6.44140625" style="56" customWidth="1"/>
    <col min="13292" max="13292" width="8.21875" style="56" customWidth="1"/>
    <col min="13293" max="13293" width="6.77734375" style="56" customWidth="1"/>
    <col min="13294" max="13294" width="4.77734375" style="56" customWidth="1"/>
    <col min="13295" max="13296" width="5" style="56" customWidth="1"/>
    <col min="13297" max="13297" width="8.77734375" style="56"/>
    <col min="13298" max="13298" width="10.44140625" style="56" customWidth="1"/>
    <col min="13299" max="13299" width="3.77734375" style="56" customWidth="1"/>
    <col min="13300" max="13301" width="8.77734375" style="56"/>
    <col min="13302" max="13302" width="3.77734375" style="56" customWidth="1"/>
    <col min="13303" max="13542" width="8.77734375" style="56"/>
    <col min="13543" max="13543" width="24.77734375" style="56" customWidth="1"/>
    <col min="13544" max="13544" width="13.44140625" style="56" customWidth="1"/>
    <col min="13545" max="13545" width="8.77734375" style="56"/>
    <col min="13546" max="13546" width="6.77734375" style="56" customWidth="1"/>
    <col min="13547" max="13547" width="6.44140625" style="56" customWidth="1"/>
    <col min="13548" max="13548" width="8.21875" style="56" customWidth="1"/>
    <col min="13549" max="13549" width="6.77734375" style="56" customWidth="1"/>
    <col min="13550" max="13550" width="4.77734375" style="56" customWidth="1"/>
    <col min="13551" max="13552" width="5" style="56" customWidth="1"/>
    <col min="13553" max="13553" width="8.77734375" style="56"/>
    <col min="13554" max="13554" width="10.44140625" style="56" customWidth="1"/>
    <col min="13555" max="13555" width="3.77734375" style="56" customWidth="1"/>
    <col min="13556" max="13557" width="8.77734375" style="56"/>
    <col min="13558" max="13558" width="3.77734375" style="56" customWidth="1"/>
    <col min="13559" max="13798" width="8.77734375" style="56"/>
    <col min="13799" max="13799" width="24.77734375" style="56" customWidth="1"/>
    <col min="13800" max="13800" width="13.44140625" style="56" customWidth="1"/>
    <col min="13801" max="13801" width="8.77734375" style="56"/>
    <col min="13802" max="13802" width="6.77734375" style="56" customWidth="1"/>
    <col min="13803" max="13803" width="6.44140625" style="56" customWidth="1"/>
    <col min="13804" max="13804" width="8.21875" style="56" customWidth="1"/>
    <col min="13805" max="13805" width="6.77734375" style="56" customWidth="1"/>
    <col min="13806" max="13806" width="4.77734375" style="56" customWidth="1"/>
    <col min="13807" max="13808" width="5" style="56" customWidth="1"/>
    <col min="13809" max="13809" width="8.77734375" style="56"/>
    <col min="13810" max="13810" width="10.44140625" style="56" customWidth="1"/>
    <col min="13811" max="13811" width="3.77734375" style="56" customWidth="1"/>
    <col min="13812" max="13813" width="8.77734375" style="56"/>
    <col min="13814" max="13814" width="3.77734375" style="56" customWidth="1"/>
    <col min="13815" max="14054" width="8.77734375" style="56"/>
    <col min="14055" max="14055" width="24.77734375" style="56" customWidth="1"/>
    <col min="14056" max="14056" width="13.44140625" style="56" customWidth="1"/>
    <col min="14057" max="14057" width="8.77734375" style="56"/>
    <col min="14058" max="14058" width="6.77734375" style="56" customWidth="1"/>
    <col min="14059" max="14059" width="6.44140625" style="56" customWidth="1"/>
    <col min="14060" max="14060" width="8.21875" style="56" customWidth="1"/>
    <col min="14061" max="14061" width="6.77734375" style="56" customWidth="1"/>
    <col min="14062" max="14062" width="4.77734375" style="56" customWidth="1"/>
    <col min="14063" max="14064" width="5" style="56" customWidth="1"/>
    <col min="14065" max="14065" width="8.77734375" style="56"/>
    <col min="14066" max="14066" width="10.44140625" style="56" customWidth="1"/>
    <col min="14067" max="14067" width="3.77734375" style="56" customWidth="1"/>
    <col min="14068" max="14069" width="8.77734375" style="56"/>
    <col min="14070" max="14070" width="3.77734375" style="56" customWidth="1"/>
    <col min="14071" max="14310" width="8.77734375" style="56"/>
    <col min="14311" max="14311" width="24.77734375" style="56" customWidth="1"/>
    <col min="14312" max="14312" width="13.44140625" style="56" customWidth="1"/>
    <col min="14313" max="14313" width="8.77734375" style="56"/>
    <col min="14314" max="14314" width="6.77734375" style="56" customWidth="1"/>
    <col min="14315" max="14315" width="6.44140625" style="56" customWidth="1"/>
    <col min="14316" max="14316" width="8.21875" style="56" customWidth="1"/>
    <col min="14317" max="14317" width="6.77734375" style="56" customWidth="1"/>
    <col min="14318" max="14318" width="4.77734375" style="56" customWidth="1"/>
    <col min="14319" max="14320" width="5" style="56" customWidth="1"/>
    <col min="14321" max="14321" width="8.77734375" style="56"/>
    <col min="14322" max="14322" width="10.44140625" style="56" customWidth="1"/>
    <col min="14323" max="14323" width="3.77734375" style="56" customWidth="1"/>
    <col min="14324" max="14325" width="8.77734375" style="56"/>
    <col min="14326" max="14326" width="3.77734375" style="56" customWidth="1"/>
    <col min="14327" max="14566" width="8.77734375" style="56"/>
    <col min="14567" max="14567" width="24.77734375" style="56" customWidth="1"/>
    <col min="14568" max="14568" width="13.44140625" style="56" customWidth="1"/>
    <col min="14569" max="14569" width="8.77734375" style="56"/>
    <col min="14570" max="14570" width="6.77734375" style="56" customWidth="1"/>
    <col min="14571" max="14571" width="6.44140625" style="56" customWidth="1"/>
    <col min="14572" max="14572" width="8.21875" style="56" customWidth="1"/>
    <col min="14573" max="14573" width="6.77734375" style="56" customWidth="1"/>
    <col min="14574" max="14574" width="4.77734375" style="56" customWidth="1"/>
    <col min="14575" max="14576" width="5" style="56" customWidth="1"/>
    <col min="14577" max="14577" width="8.77734375" style="56"/>
    <col min="14578" max="14578" width="10.44140625" style="56" customWidth="1"/>
    <col min="14579" max="14579" width="3.77734375" style="56" customWidth="1"/>
    <col min="14580" max="14581" width="8.77734375" style="56"/>
    <col min="14582" max="14582" width="3.77734375" style="56" customWidth="1"/>
    <col min="14583" max="14822" width="8.77734375" style="56"/>
    <col min="14823" max="14823" width="24.77734375" style="56" customWidth="1"/>
    <col min="14824" max="14824" width="13.44140625" style="56" customWidth="1"/>
    <col min="14825" max="14825" width="8.77734375" style="56"/>
    <col min="14826" max="14826" width="6.77734375" style="56" customWidth="1"/>
    <col min="14827" max="14827" width="6.44140625" style="56" customWidth="1"/>
    <col min="14828" max="14828" width="8.21875" style="56" customWidth="1"/>
    <col min="14829" max="14829" width="6.77734375" style="56" customWidth="1"/>
    <col min="14830" max="14830" width="4.77734375" style="56" customWidth="1"/>
    <col min="14831" max="14832" width="5" style="56" customWidth="1"/>
    <col min="14833" max="14833" width="8.77734375" style="56"/>
    <col min="14834" max="14834" width="10.44140625" style="56" customWidth="1"/>
    <col min="14835" max="14835" width="3.77734375" style="56" customWidth="1"/>
    <col min="14836" max="14837" width="8.77734375" style="56"/>
    <col min="14838" max="14838" width="3.77734375" style="56" customWidth="1"/>
    <col min="14839" max="15078" width="8.77734375" style="56"/>
    <col min="15079" max="15079" width="24.77734375" style="56" customWidth="1"/>
    <col min="15080" max="15080" width="13.44140625" style="56" customWidth="1"/>
    <col min="15081" max="15081" width="8.77734375" style="56"/>
    <col min="15082" max="15082" width="6.77734375" style="56" customWidth="1"/>
    <col min="15083" max="15083" width="6.44140625" style="56" customWidth="1"/>
    <col min="15084" max="15084" width="8.21875" style="56" customWidth="1"/>
    <col min="15085" max="15085" width="6.77734375" style="56" customWidth="1"/>
    <col min="15086" max="15086" width="4.77734375" style="56" customWidth="1"/>
    <col min="15087" max="15088" width="5" style="56" customWidth="1"/>
    <col min="15089" max="15089" width="8.77734375" style="56"/>
    <col min="15090" max="15090" width="10.44140625" style="56" customWidth="1"/>
    <col min="15091" max="15091" width="3.77734375" style="56" customWidth="1"/>
    <col min="15092" max="15093" width="8.77734375" style="56"/>
    <col min="15094" max="15094" width="3.77734375" style="56" customWidth="1"/>
    <col min="15095" max="15334" width="8.77734375" style="56"/>
    <col min="15335" max="15335" width="24.77734375" style="56" customWidth="1"/>
    <col min="15336" max="15336" width="13.44140625" style="56" customWidth="1"/>
    <col min="15337" max="15337" width="8.77734375" style="56"/>
    <col min="15338" max="15338" width="6.77734375" style="56" customWidth="1"/>
    <col min="15339" max="15339" width="6.44140625" style="56" customWidth="1"/>
    <col min="15340" max="15340" width="8.21875" style="56" customWidth="1"/>
    <col min="15341" max="15341" width="6.77734375" style="56" customWidth="1"/>
    <col min="15342" max="15342" width="4.77734375" style="56" customWidth="1"/>
    <col min="15343" max="15344" width="5" style="56" customWidth="1"/>
    <col min="15345" max="15345" width="8.77734375" style="56"/>
    <col min="15346" max="15346" width="10.44140625" style="56" customWidth="1"/>
    <col min="15347" max="15347" width="3.77734375" style="56" customWidth="1"/>
    <col min="15348" max="15349" width="8.77734375" style="56"/>
    <col min="15350" max="15350" width="3.77734375" style="56" customWidth="1"/>
    <col min="15351" max="15590" width="8.77734375" style="56"/>
    <col min="15591" max="15591" width="24.77734375" style="56" customWidth="1"/>
    <col min="15592" max="15592" width="13.44140625" style="56" customWidth="1"/>
    <col min="15593" max="15593" width="8.77734375" style="56"/>
    <col min="15594" max="15594" width="6.77734375" style="56" customWidth="1"/>
    <col min="15595" max="15595" width="6.44140625" style="56" customWidth="1"/>
    <col min="15596" max="15596" width="8.21875" style="56" customWidth="1"/>
    <col min="15597" max="15597" width="6.77734375" style="56" customWidth="1"/>
    <col min="15598" max="15598" width="4.77734375" style="56" customWidth="1"/>
    <col min="15599" max="15600" width="5" style="56" customWidth="1"/>
    <col min="15601" max="15601" width="8.77734375" style="56"/>
    <col min="15602" max="15602" width="10.44140625" style="56" customWidth="1"/>
    <col min="15603" max="15603" width="3.77734375" style="56" customWidth="1"/>
    <col min="15604" max="15605" width="8.77734375" style="56"/>
    <col min="15606" max="15606" width="3.77734375" style="56" customWidth="1"/>
    <col min="15607" max="15846" width="8.77734375" style="56"/>
    <col min="15847" max="15847" width="24.77734375" style="56" customWidth="1"/>
    <col min="15848" max="15848" width="13.44140625" style="56" customWidth="1"/>
    <col min="15849" max="15849" width="8.77734375" style="56"/>
    <col min="15850" max="15850" width="6.77734375" style="56" customWidth="1"/>
    <col min="15851" max="15851" width="6.44140625" style="56" customWidth="1"/>
    <col min="15852" max="15852" width="8.21875" style="56" customWidth="1"/>
    <col min="15853" max="15853" width="6.77734375" style="56" customWidth="1"/>
    <col min="15854" max="15854" width="4.77734375" style="56" customWidth="1"/>
    <col min="15855" max="15856" width="5" style="56" customWidth="1"/>
    <col min="15857" max="15857" width="8.77734375" style="56"/>
    <col min="15858" max="15858" width="10.44140625" style="56" customWidth="1"/>
    <col min="15859" max="15859" width="3.77734375" style="56" customWidth="1"/>
    <col min="15860" max="15861" width="8.77734375" style="56"/>
    <col min="15862" max="15862" width="3.77734375" style="56" customWidth="1"/>
    <col min="15863" max="16102" width="8.77734375" style="56"/>
    <col min="16103" max="16103" width="24.77734375" style="56" customWidth="1"/>
    <col min="16104" max="16104" width="13.44140625" style="56" customWidth="1"/>
    <col min="16105" max="16105" width="8.77734375" style="56"/>
    <col min="16106" max="16106" width="6.77734375" style="56" customWidth="1"/>
    <col min="16107" max="16107" width="6.44140625" style="56" customWidth="1"/>
    <col min="16108" max="16108" width="8.21875" style="56" customWidth="1"/>
    <col min="16109" max="16109" width="6.77734375" style="56" customWidth="1"/>
    <col min="16110" max="16110" width="4.77734375" style="56" customWidth="1"/>
    <col min="16111" max="16112" width="5" style="56" customWidth="1"/>
    <col min="16113" max="16113" width="8.77734375" style="56"/>
    <col min="16114" max="16114" width="10.44140625" style="56" customWidth="1"/>
    <col min="16115" max="16115" width="3.77734375" style="56" customWidth="1"/>
    <col min="16116" max="16117" width="8.77734375" style="56"/>
    <col min="16118" max="16118" width="3.77734375" style="56" customWidth="1"/>
    <col min="16119" max="16384" width="8.77734375" style="56"/>
  </cols>
  <sheetData>
    <row r="32" spans="3:44" ht="15" x14ac:dyDescent="0.25">
      <c r="C32" s="53" t="s">
        <v>371</v>
      </c>
      <c r="D32" s="53" t="s">
        <v>0</v>
      </c>
      <c r="AR32" s="56"/>
    </row>
    <row r="33" spans="1:73" ht="15" x14ac:dyDescent="0.25">
      <c r="A33" s="53" t="s">
        <v>372</v>
      </c>
      <c r="B33" s="56"/>
      <c r="C33" s="53">
        <v>93</v>
      </c>
      <c r="D33" s="106">
        <v>44168</v>
      </c>
      <c r="E33" s="56"/>
      <c r="F33" s="56"/>
      <c r="AR33" s="56"/>
    </row>
    <row r="34" spans="1:73" ht="15" x14ac:dyDescent="0.25">
      <c r="B34" s="53" t="s">
        <v>373</v>
      </c>
      <c r="C34" s="107">
        <v>44568</v>
      </c>
      <c r="D34" s="106">
        <v>44266</v>
      </c>
      <c r="E34" s="56"/>
      <c r="F34" s="56" t="s">
        <v>374</v>
      </c>
      <c r="AR34" s="56"/>
    </row>
    <row r="35" spans="1:73" ht="15" x14ac:dyDescent="0.25">
      <c r="B35" s="53" t="s">
        <v>375</v>
      </c>
      <c r="C35" s="53">
        <v>124</v>
      </c>
      <c r="D35" s="106">
        <v>44350</v>
      </c>
      <c r="E35" s="56"/>
      <c r="F35" s="56"/>
      <c r="AR35" s="56"/>
    </row>
    <row r="36" spans="1:73" ht="15" x14ac:dyDescent="0.25">
      <c r="B36" s="53" t="s">
        <v>376</v>
      </c>
      <c r="C36" s="53">
        <v>143</v>
      </c>
      <c r="D36" s="106">
        <v>44425</v>
      </c>
      <c r="E36" s="56"/>
      <c r="F36" s="56" t="s">
        <v>377</v>
      </c>
      <c r="AR36" s="56"/>
    </row>
    <row r="37" spans="1:73" ht="15" x14ac:dyDescent="0.25">
      <c r="A37" s="56"/>
      <c r="B37" s="53" t="s">
        <v>378</v>
      </c>
      <c r="C37" s="53">
        <v>174</v>
      </c>
      <c r="D37" s="106">
        <v>44595</v>
      </c>
      <c r="E37" s="56"/>
      <c r="F37" s="56" t="s">
        <v>379</v>
      </c>
      <c r="AR37" s="56"/>
    </row>
    <row r="38" spans="1:73" ht="15" x14ac:dyDescent="0.25">
      <c r="B38" s="56" t="s">
        <v>445</v>
      </c>
      <c r="C38" s="56"/>
      <c r="D38" s="56"/>
      <c r="E38" s="56"/>
      <c r="F38" s="56" t="s">
        <v>380</v>
      </c>
      <c r="I38" s="53">
        <f>AVERAGE(H218:H225)-2*(STDEV(H218:H225))</f>
        <v>2753.3981243930175</v>
      </c>
      <c r="J38" s="53">
        <f>AVERAGE(H218:H225)+2*(STDEV(H218:H225))</f>
        <v>3343.3518756069825</v>
      </c>
      <c r="AR38" s="56"/>
    </row>
    <row r="39" spans="1:73" ht="15" x14ac:dyDescent="0.25">
      <c r="B39" s="53" t="s">
        <v>446</v>
      </c>
      <c r="D39" s="106">
        <v>44707</v>
      </c>
      <c r="E39" s="56"/>
      <c r="F39" s="56"/>
      <c r="AR39" s="56"/>
    </row>
    <row r="40" spans="1:73" s="101" customFormat="1" x14ac:dyDescent="0.3">
      <c r="B40" s="109" t="s">
        <v>446</v>
      </c>
      <c r="D40" s="102">
        <v>44728</v>
      </c>
      <c r="AQ40" s="1"/>
      <c r="AR40" s="1"/>
      <c r="AS40" s="7"/>
      <c r="AT40" s="19"/>
      <c r="AU40" s="19"/>
      <c r="AW40" s="19"/>
      <c r="AX40" s="19"/>
      <c r="AZ40" s="19"/>
      <c r="BA40" s="19"/>
      <c r="BC40" s="19"/>
      <c r="BD40" s="19"/>
    </row>
    <row r="41" spans="1:73" s="101" customFormat="1" x14ac:dyDescent="0.3">
      <c r="B41" s="109"/>
      <c r="D41" s="102"/>
      <c r="AQ41" s="1"/>
      <c r="AR41" s="1"/>
      <c r="AS41" s="7"/>
      <c r="AT41" s="19"/>
      <c r="AU41" s="19"/>
      <c r="AW41" s="19"/>
      <c r="AX41" s="19"/>
      <c r="AZ41" s="19"/>
      <c r="BA41" s="19"/>
      <c r="BC41" s="19"/>
      <c r="BD41" s="19"/>
    </row>
    <row r="42" spans="1:73" s="101" customFormat="1" x14ac:dyDescent="0.3">
      <c r="B42" s="109"/>
      <c r="D42" s="102"/>
      <c r="AQ42" s="1"/>
      <c r="AR42" s="1"/>
      <c r="AS42" s="7"/>
      <c r="AT42" s="19"/>
      <c r="AU42" s="19"/>
      <c r="AW42" s="19"/>
      <c r="AX42" s="19"/>
      <c r="AZ42" s="19"/>
      <c r="BA42" s="19"/>
      <c r="BC42" s="19"/>
      <c r="BD42" s="19"/>
    </row>
    <row r="43" spans="1:73" s="101" customFormat="1" x14ac:dyDescent="0.3">
      <c r="A43" s="101" t="s">
        <v>19</v>
      </c>
      <c r="E43" s="53"/>
      <c r="F43" s="53"/>
      <c r="I43" s="101" t="s">
        <v>122</v>
      </c>
      <c r="O43" s="101" t="s">
        <v>20</v>
      </c>
      <c r="AK43" s="101" t="s">
        <v>123</v>
      </c>
      <c r="BI43" s="101" t="s">
        <v>447</v>
      </c>
    </row>
    <row r="44" spans="1:73" s="101" customFormat="1" ht="187.2" x14ac:dyDescent="0.3">
      <c r="A44" s="101" t="s">
        <v>6</v>
      </c>
      <c r="B44" s="101" t="s">
        <v>7</v>
      </c>
      <c r="C44" s="101" t="s">
        <v>8</v>
      </c>
      <c r="D44" s="101" t="s">
        <v>9</v>
      </c>
      <c r="E44" s="101" t="s">
        <v>10</v>
      </c>
      <c r="F44" s="101" t="s">
        <v>11</v>
      </c>
      <c r="G44" s="101" t="s">
        <v>12</v>
      </c>
      <c r="H44" s="101" t="s">
        <v>13</v>
      </c>
      <c r="I44" s="101" t="s">
        <v>14</v>
      </c>
      <c r="J44" s="101" t="s">
        <v>15</v>
      </c>
      <c r="K44" s="101" t="s">
        <v>16</v>
      </c>
      <c r="L44" s="101" t="s">
        <v>22</v>
      </c>
      <c r="M44" s="101" t="s">
        <v>23</v>
      </c>
      <c r="O44" s="101" t="s">
        <v>6</v>
      </c>
      <c r="P44" s="101" t="s">
        <v>7</v>
      </c>
      <c r="Q44" s="101" t="s">
        <v>8</v>
      </c>
      <c r="R44" s="101" t="s">
        <v>9</v>
      </c>
      <c r="S44" s="101" t="s">
        <v>10</v>
      </c>
      <c r="T44" s="101" t="s">
        <v>11</v>
      </c>
      <c r="U44" s="101" t="s">
        <v>12</v>
      </c>
      <c r="V44" s="101" t="s">
        <v>13</v>
      </c>
      <c r="W44" s="101" t="s">
        <v>14</v>
      </c>
      <c r="X44" s="101" t="s">
        <v>15</v>
      </c>
      <c r="Y44" s="101" t="s">
        <v>16</v>
      </c>
      <c r="Z44" s="101" t="s">
        <v>22</v>
      </c>
      <c r="AA44" s="101" t="s">
        <v>23</v>
      </c>
      <c r="AC44" s="101" t="s">
        <v>6</v>
      </c>
      <c r="AD44" s="101" t="s">
        <v>7</v>
      </c>
      <c r="AE44" s="101" t="s">
        <v>8</v>
      </c>
      <c r="AF44" s="101" t="s">
        <v>9</v>
      </c>
      <c r="AG44" s="101" t="s">
        <v>10</v>
      </c>
      <c r="AH44" s="101" t="s">
        <v>11</v>
      </c>
      <c r="AI44" s="101" t="s">
        <v>12</v>
      </c>
      <c r="AJ44" s="101" t="s">
        <v>13</v>
      </c>
      <c r="AK44" s="101" t="s">
        <v>14</v>
      </c>
      <c r="AL44" s="101" t="s">
        <v>15</v>
      </c>
      <c r="AM44" s="101" t="s">
        <v>16</v>
      </c>
      <c r="AN44" s="101" t="s">
        <v>22</v>
      </c>
      <c r="AO44" s="101" t="s">
        <v>23</v>
      </c>
      <c r="AQ44" s="1" t="s">
        <v>359</v>
      </c>
      <c r="AR44" s="1" t="s">
        <v>360</v>
      </c>
      <c r="AS44" s="101" t="s">
        <v>124</v>
      </c>
      <c r="AT44" s="19" t="s">
        <v>125</v>
      </c>
      <c r="AU44" s="19" t="s">
        <v>126</v>
      </c>
      <c r="AV44" s="19" t="s">
        <v>448</v>
      </c>
      <c r="AW44" s="19" t="s">
        <v>361</v>
      </c>
      <c r="AX44" s="19" t="s">
        <v>362</v>
      </c>
      <c r="AZ44" s="19" t="s">
        <v>363</v>
      </c>
      <c r="BA44" s="19" t="s">
        <v>364</v>
      </c>
      <c r="BC44" s="19" t="s">
        <v>369</v>
      </c>
      <c r="BD44" s="19" t="s">
        <v>370</v>
      </c>
      <c r="BF44" s="114" t="s">
        <v>449</v>
      </c>
      <c r="BG44" s="114" t="s">
        <v>450</v>
      </c>
      <c r="BI44" s="101" t="s">
        <v>6</v>
      </c>
      <c r="BJ44" s="101" t="s">
        <v>7</v>
      </c>
      <c r="BK44" s="101" t="s">
        <v>8</v>
      </c>
      <c r="BL44" s="101" t="s">
        <v>9</v>
      </c>
      <c r="BM44" s="101" t="s">
        <v>10</v>
      </c>
      <c r="BN44" s="101" t="s">
        <v>11</v>
      </c>
      <c r="BO44" s="101" t="s">
        <v>12</v>
      </c>
      <c r="BP44" s="101" t="s">
        <v>13</v>
      </c>
      <c r="BQ44" s="101" t="s">
        <v>451</v>
      </c>
      <c r="BR44" s="101" t="s">
        <v>15</v>
      </c>
      <c r="BS44" s="101" t="s">
        <v>16</v>
      </c>
      <c r="BT44" s="101" t="s">
        <v>22</v>
      </c>
      <c r="BU44" s="101" t="s">
        <v>23</v>
      </c>
    </row>
    <row r="45" spans="1:73" s="101" customFormat="1" ht="14.4" x14ac:dyDescent="0.3">
      <c r="A45" s="8"/>
      <c r="B45" s="8" t="s">
        <v>60</v>
      </c>
      <c r="C45" s="59">
        <v>43644.386655092596</v>
      </c>
      <c r="D45" s="8" t="s">
        <v>25</v>
      </c>
      <c r="E45" s="8" t="s">
        <v>17</v>
      </c>
      <c r="F45" s="8">
        <v>0</v>
      </c>
      <c r="G45" s="8">
        <v>6.085</v>
      </c>
      <c r="H45" s="10">
        <v>1915</v>
      </c>
      <c r="I45" s="8">
        <v>2.395</v>
      </c>
      <c r="J45" s="8" t="s">
        <v>18</v>
      </c>
      <c r="K45" s="8" t="s">
        <v>18</v>
      </c>
      <c r="L45" s="8" t="s">
        <v>18</v>
      </c>
      <c r="M45" s="8"/>
      <c r="N45" s="8"/>
      <c r="O45" s="8"/>
      <c r="P45" s="8" t="s">
        <v>60</v>
      </c>
      <c r="Q45" s="59">
        <v>43644.386655092596</v>
      </c>
      <c r="R45" s="8" t="s">
        <v>25</v>
      </c>
      <c r="S45" s="8" t="s">
        <v>17</v>
      </c>
      <c r="T45" s="8">
        <v>0</v>
      </c>
      <c r="U45" s="8" t="s">
        <v>18</v>
      </c>
      <c r="V45" s="8" t="s">
        <v>18</v>
      </c>
      <c r="W45" s="8" t="s">
        <v>18</v>
      </c>
      <c r="X45" s="8" t="s">
        <v>18</v>
      </c>
      <c r="Y45" s="8" t="s">
        <v>18</v>
      </c>
      <c r="Z45" s="8" t="s">
        <v>18</v>
      </c>
      <c r="AA45" s="8"/>
      <c r="AB45" s="8"/>
      <c r="AC45" s="8"/>
      <c r="AD45" s="8" t="s">
        <v>60</v>
      </c>
      <c r="AE45" s="59">
        <v>43644.386655092596</v>
      </c>
      <c r="AF45" s="8" t="s">
        <v>25</v>
      </c>
      <c r="AG45" s="8" t="s">
        <v>17</v>
      </c>
      <c r="AH45" s="8">
        <v>0</v>
      </c>
      <c r="AI45" s="8">
        <v>12.202999999999999</v>
      </c>
      <c r="AJ45" s="10">
        <v>2514</v>
      </c>
      <c r="AK45" s="8">
        <v>492.72300000000001</v>
      </c>
      <c r="AL45" s="8" t="s">
        <v>18</v>
      </c>
      <c r="AM45" s="8" t="s">
        <v>18</v>
      </c>
      <c r="AN45" s="8" t="s">
        <v>18</v>
      </c>
      <c r="AO45" s="8"/>
      <c r="AP45" s="8"/>
      <c r="AQ45" s="8"/>
      <c r="AS45" s="7">
        <v>1</v>
      </c>
      <c r="AT45" s="108">
        <f>IF(H45&lt;20000,((0.000000008558*H45^2)+(0.002341*H45)+(-2.791)),(IF(H45&lt;1000000,((-0.0000000006283*H45^2)+(0.002788*H45)+(-5.018)), ((-0.000000002617*V45^2)+(0.2267*V45)+(367.3)))))</f>
        <v>1.7233991115500005</v>
      </c>
      <c r="AU45" s="108">
        <f>((0.00000001266*AJ45^2)+(0.1538*AJ45)+(107.1))</f>
        <v>493.83321368136001</v>
      </c>
      <c r="AV45" s="101">
        <f>IF(AT45&lt;0,0,AT45)</f>
        <v>1.7233991115500005</v>
      </c>
      <c r="AW45" s="60">
        <f>IF(H45&lt;15000,((0.00000002125*H45^2)+(0.002705*H45)+(-4.371)),(IF(H45&lt;700000,((-0.0000000008162*H45^2)+(0.003141*H45)+(0.4702)), ((0.000000003285*V45^2)+(0.1899*V45)+(559.5)))))</f>
        <v>0.88700353124999864</v>
      </c>
      <c r="AX45" s="61">
        <f>((-0.00000006277*AJ45^2)+(0.1854*AJ45)+(34.83))</f>
        <v>500.52888129708003</v>
      </c>
      <c r="AZ45" s="23">
        <f>IF(H45&lt;10000,((-0.00000005795*H45^2)+(0.003823*H45)+(-6.715)),(IF(H45&lt;700000,((-0.0000000001209*H45^2)+(0.002635*H45)+(-0.4111)), ((-0.00000002007*V45^2)+(0.2564*V45)+(286.1)))))</f>
        <v>0.39352931125000001</v>
      </c>
      <c r="BA45" s="103">
        <f>(-0.00000001626*AJ45^2)+(0.1912*AJ45)+(-3.858)</f>
        <v>476.71603361304</v>
      </c>
      <c r="BC45" s="104">
        <f>IF(H45&lt;10000,((0.0000001453*H45^2)+(0.0008349*H45)+(-1.805)),(IF(H45&lt;700000,((-0.00000000008054*H45^2)+(0.002348*H45)+(-2.47)), ((-0.00000001938*V45^2)+(0.2471*V45)+(226.8)))))</f>
        <v>0.32668129250000022</v>
      </c>
      <c r="BD45" s="105">
        <f>(-0.00000002552*AJ45^2)+(0.2067*AJ45)+(-103.7)</f>
        <v>415.78250859807991</v>
      </c>
      <c r="BF45" s="115">
        <f t="shared" ref="BF45:BF108" si="0">IF(H45&lt;100000,((0.0000000152*H45^2)+(0.0014347*H45)+(-4.08313)),((0.00000295*V45^2)+(0.083061*V45)+(133)))</f>
        <v>-1.2799376799999997</v>
      </c>
      <c r="BG45" s="116">
        <f t="shared" ref="BG45:BG108" si="1">(-0.00000172*AJ45^2)+(0.108838*AJ45)+(-21.89)</f>
        <v>240.85799488000004</v>
      </c>
      <c r="BI45" s="101">
        <v>49</v>
      </c>
      <c r="BJ45" s="101" t="s">
        <v>452</v>
      </c>
    </row>
    <row r="46" spans="1:73" s="101" customFormat="1" ht="14.4" x14ac:dyDescent="0.3">
      <c r="B46" s="101" t="s">
        <v>61</v>
      </c>
      <c r="C46" s="20">
        <v>43648.387372685182</v>
      </c>
      <c r="D46" s="101" t="s">
        <v>25</v>
      </c>
      <c r="E46" s="101" t="s">
        <v>17</v>
      </c>
      <c r="F46" s="101">
        <v>0</v>
      </c>
      <c r="G46" s="101">
        <v>6.0880000000000001</v>
      </c>
      <c r="H46" s="12">
        <v>2022</v>
      </c>
      <c r="I46" s="101">
        <v>2.6389999999999998</v>
      </c>
      <c r="J46" s="101" t="s">
        <v>18</v>
      </c>
      <c r="K46" s="101" t="s">
        <v>18</v>
      </c>
      <c r="L46" s="101" t="s">
        <v>18</v>
      </c>
      <c r="P46" s="101" t="s">
        <v>61</v>
      </c>
      <c r="Q46" s="20">
        <v>43648.387372685182</v>
      </c>
      <c r="R46" s="101" t="s">
        <v>25</v>
      </c>
      <c r="S46" s="101" t="s">
        <v>17</v>
      </c>
      <c r="T46" s="101">
        <v>0</v>
      </c>
      <c r="U46" s="101" t="s">
        <v>18</v>
      </c>
      <c r="V46" s="101" t="s">
        <v>18</v>
      </c>
      <c r="W46" s="101" t="s">
        <v>18</v>
      </c>
      <c r="X46" s="101" t="s">
        <v>18</v>
      </c>
      <c r="Y46" s="101" t="s">
        <v>18</v>
      </c>
      <c r="Z46" s="101" t="s">
        <v>18</v>
      </c>
      <c r="AD46" s="101" t="s">
        <v>61</v>
      </c>
      <c r="AE46" s="20">
        <v>43648.387372685182</v>
      </c>
      <c r="AF46" s="101" t="s">
        <v>25</v>
      </c>
      <c r="AG46" s="101" t="s">
        <v>17</v>
      </c>
      <c r="AH46" s="101">
        <v>0</v>
      </c>
      <c r="AI46" s="101">
        <v>12.167</v>
      </c>
      <c r="AJ46" s="12">
        <v>2175</v>
      </c>
      <c r="AK46" s="101">
        <v>434.25400000000002</v>
      </c>
      <c r="AL46" s="101" t="s">
        <v>18</v>
      </c>
      <c r="AM46" s="101" t="s">
        <v>18</v>
      </c>
      <c r="AN46" s="101" t="s">
        <v>18</v>
      </c>
      <c r="AS46" s="7">
        <v>2</v>
      </c>
      <c r="AT46" s="108">
        <f t="shared" ref="AT46:AT89" si="2">IF(H46&lt;20000,((0.000000008558*H46^2)+(0.002341*H46)+(-2.791)),(IF(H46&lt;1000000,((-0.0000000006283*H46^2)+(0.002788*H46)+(-5.018)), ((-0.000000002617*V46^2)+(0.2267*V46)+(367.3)))))</f>
        <v>1.9774912460720002</v>
      </c>
      <c r="AU46" s="108">
        <f t="shared" ref="AU46:AU89" si="3">((0.00000001266*AJ46^2)+(0.1538*AJ46)+(107.1))</f>
        <v>441.67488971249998</v>
      </c>
      <c r="AV46" s="101">
        <f t="shared" ref="AV46:AV109" si="4">IF(AT46&lt;0,0,AT46)</f>
        <v>1.9774912460720002</v>
      </c>
      <c r="AW46" s="60">
        <f t="shared" ref="AW46:AW109" si="5">IF(H46&lt;15000,((0.00000002125*H46^2)+(0.002705*H46)+(-4.371)),(IF(H46&lt;700000,((-0.0000000008162*H46^2)+(0.003141*H46)+(0.4702)), ((0.000000003285*V46^2)+(0.1899*V46)+(559.5)))))</f>
        <v>1.1853902849999995</v>
      </c>
      <c r="AX46" s="61">
        <f t="shared" ref="AX46:AX109" si="6">((-0.00000006277*AJ46^2)+(0.1854*AJ46)+(34.83))</f>
        <v>437.77805866874996</v>
      </c>
      <c r="AZ46" s="23">
        <f t="shared" ref="AZ46:AZ109" si="7">IF(H46&lt;10000,((-0.00000005795*H46^2)+(0.003823*H46)+(-6.715)),(IF(H46&lt;700000,((-0.0000000001209*H46^2)+(0.002635*H46)+(-0.4111)), ((-0.00000002007*V46^2)+(0.2564*V46)+(286.1)))))</f>
        <v>0.77817835220000031</v>
      </c>
      <c r="BA46" s="103">
        <f t="shared" ref="BA46:BA109" si="8">(-0.00000001626*AJ46^2)+(0.1912*AJ46)+(-3.858)</f>
        <v>411.92508003749998</v>
      </c>
      <c r="BC46" s="104">
        <f t="shared" ref="BC46:BC109" si="9">IF(H46&lt;10000,((0.0000001453*H46^2)+(0.0008349*H46)+(-1.805)),(IF(H46&lt;700000,((-0.00000000008054*H46^2)+(0.002348*H46)+(-2.47)), ((-0.00000001938*V46^2)+(0.2471*V46)+(226.8)))))</f>
        <v>0.47722452520000025</v>
      </c>
      <c r="BD46" s="105">
        <f t="shared" ref="BD46:BD109" si="10">(-0.00000002552*AJ46^2)+(0.2067*AJ46)+(-103.7)</f>
        <v>345.75177445000003</v>
      </c>
      <c r="BF46" s="115">
        <f t="shared" si="0"/>
        <v>-1.1200216431999999</v>
      </c>
      <c r="BG46" s="116">
        <f t="shared" si="1"/>
        <v>206.69597500000003</v>
      </c>
      <c r="BI46" s="101">
        <v>50</v>
      </c>
      <c r="BJ46" s="101" t="s">
        <v>453</v>
      </c>
    </row>
    <row r="47" spans="1:73" s="101" customFormat="1" ht="14.4" x14ac:dyDescent="0.3">
      <c r="B47" s="101" t="s">
        <v>127</v>
      </c>
      <c r="C47" s="20">
        <v>43649.417638888888</v>
      </c>
      <c r="D47" s="101" t="s">
        <v>25</v>
      </c>
      <c r="E47" s="101" t="s">
        <v>17</v>
      </c>
      <c r="F47" s="101">
        <v>0</v>
      </c>
      <c r="G47" s="101">
        <v>6.0629999999999997</v>
      </c>
      <c r="H47" s="12">
        <v>2704</v>
      </c>
      <c r="I47" s="101">
        <v>4.1900000000000004</v>
      </c>
      <c r="J47" s="101" t="s">
        <v>18</v>
      </c>
      <c r="K47" s="101" t="s">
        <v>18</v>
      </c>
      <c r="L47" s="101" t="s">
        <v>18</v>
      </c>
      <c r="P47" s="101" t="s">
        <v>127</v>
      </c>
      <c r="Q47" s="20">
        <v>43649.417638888888</v>
      </c>
      <c r="R47" s="101" t="s">
        <v>25</v>
      </c>
      <c r="S47" s="101" t="s">
        <v>17</v>
      </c>
      <c r="T47" s="101">
        <v>0</v>
      </c>
      <c r="U47" s="101" t="s">
        <v>18</v>
      </c>
      <c r="V47" s="101" t="s">
        <v>18</v>
      </c>
      <c r="W47" s="101" t="s">
        <v>18</v>
      </c>
      <c r="X47" s="101" t="s">
        <v>18</v>
      </c>
      <c r="Y47" s="101" t="s">
        <v>18</v>
      </c>
      <c r="Z47" s="101" t="s">
        <v>18</v>
      </c>
      <c r="AD47" s="101" t="s">
        <v>127</v>
      </c>
      <c r="AE47" s="20">
        <v>43649.417638888888</v>
      </c>
      <c r="AF47" s="101" t="s">
        <v>25</v>
      </c>
      <c r="AG47" s="101" t="s">
        <v>17</v>
      </c>
      <c r="AH47" s="101">
        <v>0</v>
      </c>
      <c r="AI47" s="101">
        <v>12.193</v>
      </c>
      <c r="AJ47" s="12">
        <v>1905</v>
      </c>
      <c r="AK47" s="101">
        <v>387.68700000000001</v>
      </c>
      <c r="AL47" s="101" t="s">
        <v>18</v>
      </c>
      <c r="AM47" s="101" t="s">
        <v>18</v>
      </c>
      <c r="AN47" s="101" t="s">
        <v>18</v>
      </c>
      <c r="AS47" s="7">
        <v>3</v>
      </c>
      <c r="AT47" s="108">
        <f t="shared" si="2"/>
        <v>3.6016368097279998</v>
      </c>
      <c r="AU47" s="108">
        <f t="shared" si="3"/>
        <v>400.13494345649997</v>
      </c>
      <c r="AV47" s="101">
        <f t="shared" si="4"/>
        <v>3.6016368097279998</v>
      </c>
      <c r="AW47" s="60">
        <f t="shared" si="5"/>
        <v>3.098691839999999</v>
      </c>
      <c r="AX47" s="61">
        <f t="shared" si="6"/>
        <v>387.78920610074999</v>
      </c>
      <c r="AZ47" s="23">
        <f t="shared" si="7"/>
        <v>3.1986838528000003</v>
      </c>
      <c r="BA47" s="103">
        <f t="shared" si="8"/>
        <v>360.31899205349998</v>
      </c>
      <c r="BC47" s="104">
        <f t="shared" si="9"/>
        <v>1.5149474048000002</v>
      </c>
      <c r="BD47" s="105">
        <f t="shared" si="10"/>
        <v>289.97088728199998</v>
      </c>
      <c r="BF47" s="115">
        <f t="shared" si="0"/>
        <v>-9.2564636799999711E-2</v>
      </c>
      <c r="BG47" s="116">
        <f t="shared" si="1"/>
        <v>179.20446700000002</v>
      </c>
      <c r="BI47" s="101">
        <v>51</v>
      </c>
      <c r="BJ47" s="101" t="s">
        <v>454</v>
      </c>
    </row>
    <row r="48" spans="1:73" s="101" customFormat="1" ht="14.4" x14ac:dyDescent="0.3">
      <c r="B48" s="101" t="s">
        <v>128</v>
      </c>
      <c r="C48" s="20">
        <v>43651.393090277779</v>
      </c>
      <c r="D48" s="101" t="s">
        <v>25</v>
      </c>
      <c r="E48" s="101" t="s">
        <v>17</v>
      </c>
      <c r="F48" s="101">
        <v>0</v>
      </c>
      <c r="G48" s="101">
        <v>6.077</v>
      </c>
      <c r="H48" s="12">
        <v>2459</v>
      </c>
      <c r="I48" s="101">
        <v>3.633</v>
      </c>
      <c r="J48" s="101" t="s">
        <v>18</v>
      </c>
      <c r="K48" s="101" t="s">
        <v>18</v>
      </c>
      <c r="L48" s="101" t="s">
        <v>18</v>
      </c>
      <c r="P48" s="101" t="s">
        <v>128</v>
      </c>
      <c r="Q48" s="20">
        <v>43651.393090277779</v>
      </c>
      <c r="R48" s="101" t="s">
        <v>25</v>
      </c>
      <c r="S48" s="101" t="s">
        <v>17</v>
      </c>
      <c r="T48" s="101">
        <v>0</v>
      </c>
      <c r="U48" s="101" t="s">
        <v>18</v>
      </c>
      <c r="V48" s="101" t="s">
        <v>18</v>
      </c>
      <c r="W48" s="101" t="s">
        <v>18</v>
      </c>
      <c r="X48" s="101" t="s">
        <v>18</v>
      </c>
      <c r="Y48" s="101" t="s">
        <v>18</v>
      </c>
      <c r="Z48" s="101" t="s">
        <v>18</v>
      </c>
      <c r="AD48" s="101" t="s">
        <v>128</v>
      </c>
      <c r="AE48" s="20">
        <v>43651.393090277779</v>
      </c>
      <c r="AF48" s="101" t="s">
        <v>25</v>
      </c>
      <c r="AG48" s="101" t="s">
        <v>17</v>
      </c>
      <c r="AH48" s="101">
        <v>0</v>
      </c>
      <c r="AI48" s="101">
        <v>12.178000000000001</v>
      </c>
      <c r="AJ48" s="12">
        <v>1897</v>
      </c>
      <c r="AK48" s="101">
        <v>386.44299999999998</v>
      </c>
      <c r="AL48" s="101" t="s">
        <v>18</v>
      </c>
      <c r="AM48" s="101" t="s">
        <v>18</v>
      </c>
      <c r="AN48" s="101" t="s">
        <v>18</v>
      </c>
      <c r="AS48" s="7">
        <v>4</v>
      </c>
      <c r="AT48" s="108">
        <f t="shared" si="2"/>
        <v>3.0172664959980007</v>
      </c>
      <c r="AU48" s="108">
        <f t="shared" si="3"/>
        <v>398.90415838993999</v>
      </c>
      <c r="AV48" s="101">
        <f t="shared" si="4"/>
        <v>3.0172664959980007</v>
      </c>
      <c r="AW48" s="60">
        <f t="shared" si="5"/>
        <v>2.4090869712499989</v>
      </c>
      <c r="AX48" s="61">
        <f t="shared" si="6"/>
        <v>386.30791531307</v>
      </c>
      <c r="AZ48" s="23">
        <f t="shared" si="7"/>
        <v>2.3353518360500001</v>
      </c>
      <c r="BA48" s="103">
        <f t="shared" si="8"/>
        <v>358.78988661766004</v>
      </c>
      <c r="BC48" s="104">
        <f t="shared" si="9"/>
        <v>1.1266018492999998</v>
      </c>
      <c r="BD48" s="105">
        <f t="shared" si="10"/>
        <v>288.31806349831999</v>
      </c>
      <c r="BF48" s="115">
        <f t="shared" si="0"/>
        <v>-0.46329314879999961</v>
      </c>
      <c r="BG48" s="116">
        <f t="shared" si="1"/>
        <v>178.38607852000001</v>
      </c>
      <c r="BI48" s="101">
        <v>52</v>
      </c>
      <c r="BJ48" s="101" t="s">
        <v>455</v>
      </c>
    </row>
    <row r="49" spans="1:62" s="101" customFormat="1" ht="14.4" x14ac:dyDescent="0.3">
      <c r="B49" s="101" t="s">
        <v>129</v>
      </c>
      <c r="C49" s="20">
        <v>43655.381979166668</v>
      </c>
      <c r="D49" s="101" t="s">
        <v>25</v>
      </c>
      <c r="E49" s="101" t="s">
        <v>17</v>
      </c>
      <c r="F49" s="101">
        <v>0</v>
      </c>
      <c r="G49" s="101">
        <v>6.1020000000000003</v>
      </c>
      <c r="H49" s="12">
        <v>2762</v>
      </c>
      <c r="I49" s="101">
        <v>4.3220000000000001</v>
      </c>
      <c r="J49" s="101" t="s">
        <v>18</v>
      </c>
      <c r="K49" s="101" t="s">
        <v>18</v>
      </c>
      <c r="L49" s="101" t="s">
        <v>18</v>
      </c>
      <c r="P49" s="101" t="s">
        <v>129</v>
      </c>
      <c r="Q49" s="20">
        <v>43655.381979166668</v>
      </c>
      <c r="R49" s="101" t="s">
        <v>25</v>
      </c>
      <c r="S49" s="101" t="s">
        <v>17</v>
      </c>
      <c r="T49" s="101">
        <v>0</v>
      </c>
      <c r="U49" s="101" t="s">
        <v>18</v>
      </c>
      <c r="V49" s="101" t="s">
        <v>18</v>
      </c>
      <c r="W49" s="101" t="s">
        <v>18</v>
      </c>
      <c r="X49" s="101" t="s">
        <v>18</v>
      </c>
      <c r="Y49" s="101" t="s">
        <v>18</v>
      </c>
      <c r="Z49" s="101" t="s">
        <v>18</v>
      </c>
      <c r="AD49" s="101" t="s">
        <v>129</v>
      </c>
      <c r="AE49" s="20">
        <v>43655.381979166668</v>
      </c>
      <c r="AF49" s="101" t="s">
        <v>25</v>
      </c>
      <c r="AG49" s="101" t="s">
        <v>17</v>
      </c>
      <c r="AH49" s="101">
        <v>0</v>
      </c>
      <c r="AI49" s="101">
        <v>12.180999999999999</v>
      </c>
      <c r="AJ49" s="12">
        <v>2096</v>
      </c>
      <c r="AK49" s="101">
        <v>420.69499999999999</v>
      </c>
      <c r="AL49" s="101" t="s">
        <v>18</v>
      </c>
      <c r="AM49" s="101" t="s">
        <v>18</v>
      </c>
      <c r="AN49" s="101" t="s">
        <v>18</v>
      </c>
      <c r="AS49" s="7">
        <v>5</v>
      </c>
      <c r="AT49" s="108">
        <f t="shared" si="2"/>
        <v>3.7401279353520001</v>
      </c>
      <c r="AU49" s="108">
        <f t="shared" si="3"/>
        <v>429.52041811456002</v>
      </c>
      <c r="AV49" s="101">
        <f t="shared" si="4"/>
        <v>3.7401279353520001</v>
      </c>
      <c r="AW49" s="60">
        <f t="shared" si="5"/>
        <v>3.2623186849999994</v>
      </c>
      <c r="AX49" s="61">
        <f t="shared" si="6"/>
        <v>423.15263783168001</v>
      </c>
      <c r="AZ49" s="23">
        <f t="shared" si="7"/>
        <v>3.4020460802000017</v>
      </c>
      <c r="BA49" s="103">
        <f t="shared" si="8"/>
        <v>396.82576630784001</v>
      </c>
      <c r="BC49" s="104">
        <f t="shared" si="9"/>
        <v>1.6094357732000002</v>
      </c>
      <c r="BD49" s="105">
        <f t="shared" si="10"/>
        <v>329.43108512768003</v>
      </c>
      <c r="BF49" s="115">
        <f t="shared" si="0"/>
        <v>-4.5332112000000535E-3</v>
      </c>
      <c r="BG49" s="116">
        <f t="shared" si="1"/>
        <v>198.67811648000003</v>
      </c>
      <c r="BI49" s="101">
        <v>53</v>
      </c>
      <c r="BJ49" s="101" t="s">
        <v>456</v>
      </c>
    </row>
    <row r="50" spans="1:62" s="101" customFormat="1" ht="14.4" x14ac:dyDescent="0.3">
      <c r="B50" s="101" t="s">
        <v>130</v>
      </c>
      <c r="C50" s="20">
        <v>43658.378159722219</v>
      </c>
      <c r="D50" s="101" t="s">
        <v>25</v>
      </c>
      <c r="E50" s="101" t="s">
        <v>17</v>
      </c>
      <c r="F50" s="101">
        <v>0</v>
      </c>
      <c r="G50" s="101">
        <v>6.0780000000000003</v>
      </c>
      <c r="H50" s="12">
        <v>1561</v>
      </c>
      <c r="I50" s="101">
        <v>1.5880000000000001</v>
      </c>
      <c r="J50" s="101" t="s">
        <v>18</v>
      </c>
      <c r="K50" s="101" t="s">
        <v>18</v>
      </c>
      <c r="L50" s="101" t="s">
        <v>18</v>
      </c>
      <c r="P50" s="101" t="s">
        <v>130</v>
      </c>
      <c r="Q50" s="20">
        <v>43658.378159722219</v>
      </c>
      <c r="R50" s="101" t="s">
        <v>25</v>
      </c>
      <c r="S50" s="101" t="s">
        <v>17</v>
      </c>
      <c r="T50" s="101">
        <v>0</v>
      </c>
      <c r="U50" s="101" t="s">
        <v>18</v>
      </c>
      <c r="V50" s="101" t="s">
        <v>18</v>
      </c>
      <c r="W50" s="101" t="s">
        <v>18</v>
      </c>
      <c r="X50" s="101" t="s">
        <v>18</v>
      </c>
      <c r="Y50" s="101" t="s">
        <v>18</v>
      </c>
      <c r="Z50" s="101" t="s">
        <v>18</v>
      </c>
      <c r="AD50" s="101" t="s">
        <v>130</v>
      </c>
      <c r="AE50" s="20">
        <v>43658.378159722219</v>
      </c>
      <c r="AF50" s="101" t="s">
        <v>25</v>
      </c>
      <c r="AG50" s="101" t="s">
        <v>17</v>
      </c>
      <c r="AH50" s="101">
        <v>0</v>
      </c>
      <c r="AI50" s="101">
        <v>12.2</v>
      </c>
      <c r="AJ50" s="12">
        <v>2085</v>
      </c>
      <c r="AK50" s="101">
        <v>418.798</v>
      </c>
      <c r="AL50" s="101" t="s">
        <v>18</v>
      </c>
      <c r="AM50" s="101" t="s">
        <v>18</v>
      </c>
      <c r="AN50" s="101" t="s">
        <v>18</v>
      </c>
      <c r="AS50" s="7">
        <v>6</v>
      </c>
      <c r="AT50" s="108">
        <f t="shared" si="2"/>
        <v>0.8841544583180001</v>
      </c>
      <c r="AU50" s="108">
        <f t="shared" si="3"/>
        <v>427.82803586850002</v>
      </c>
      <c r="AV50" s="101">
        <f t="shared" si="4"/>
        <v>0.8841544583180001</v>
      </c>
      <c r="AW50" s="60">
        <f t="shared" si="5"/>
        <v>-9.6714678750000616E-2</v>
      </c>
      <c r="AX50" s="61">
        <f t="shared" si="6"/>
        <v>421.11612468675003</v>
      </c>
      <c r="AZ50" s="23">
        <f t="shared" si="7"/>
        <v>-0.88850498194999972</v>
      </c>
      <c r="BA50" s="103">
        <f t="shared" si="8"/>
        <v>394.72331412150004</v>
      </c>
      <c r="BC50" s="104">
        <f t="shared" si="9"/>
        <v>-0.14766553869999988</v>
      </c>
      <c r="BD50" s="105">
        <f t="shared" si="10"/>
        <v>327.15855881800002</v>
      </c>
      <c r="BF50" s="115">
        <f t="shared" si="0"/>
        <v>-1.8065251407999998</v>
      </c>
      <c r="BG50" s="116">
        <f t="shared" si="1"/>
        <v>197.56000299999999</v>
      </c>
    </row>
    <row r="51" spans="1:62" s="101" customFormat="1" ht="14.4" x14ac:dyDescent="0.3">
      <c r="B51" s="101" t="s">
        <v>131</v>
      </c>
      <c r="C51" s="20">
        <v>43662.386180555557</v>
      </c>
      <c r="D51" s="101" t="s">
        <v>25</v>
      </c>
      <c r="E51" s="101" t="s">
        <v>17</v>
      </c>
      <c r="F51" s="101">
        <v>0</v>
      </c>
      <c r="G51" s="101">
        <v>6.0789999999999997</v>
      </c>
      <c r="H51" s="12">
        <v>1767</v>
      </c>
      <c r="I51" s="101">
        <v>2.0569999999999999</v>
      </c>
      <c r="J51" s="101" t="s">
        <v>18</v>
      </c>
      <c r="K51" s="101" t="s">
        <v>18</v>
      </c>
      <c r="L51" s="101" t="s">
        <v>18</v>
      </c>
      <c r="P51" s="101" t="s">
        <v>131</v>
      </c>
      <c r="Q51" s="20">
        <v>43662.386180555557</v>
      </c>
      <c r="R51" s="101" t="s">
        <v>25</v>
      </c>
      <c r="S51" s="101" t="s">
        <v>17</v>
      </c>
      <c r="T51" s="101">
        <v>0</v>
      </c>
      <c r="U51" s="101" t="s">
        <v>18</v>
      </c>
      <c r="V51" s="101" t="s">
        <v>18</v>
      </c>
      <c r="W51" s="101" t="s">
        <v>18</v>
      </c>
      <c r="X51" s="101" t="s">
        <v>18</v>
      </c>
      <c r="Y51" s="101" t="s">
        <v>18</v>
      </c>
      <c r="Z51" s="101" t="s">
        <v>18</v>
      </c>
      <c r="AD51" s="101" t="s">
        <v>131</v>
      </c>
      <c r="AE51" s="20">
        <v>43662.386180555557</v>
      </c>
      <c r="AF51" s="101" t="s">
        <v>25</v>
      </c>
      <c r="AG51" s="101" t="s">
        <v>17</v>
      </c>
      <c r="AH51" s="101">
        <v>0</v>
      </c>
      <c r="AI51" s="101">
        <v>12.191000000000001</v>
      </c>
      <c r="AJ51" s="12">
        <v>2785</v>
      </c>
      <c r="AK51" s="101">
        <v>539.37199999999996</v>
      </c>
      <c r="AL51" s="101" t="s">
        <v>18</v>
      </c>
      <c r="AM51" s="101" t="s">
        <v>18</v>
      </c>
      <c r="AN51" s="101" t="s">
        <v>18</v>
      </c>
      <c r="AS51" s="7">
        <v>7</v>
      </c>
      <c r="AT51" s="108">
        <f t="shared" si="2"/>
        <v>1.3722675492620007</v>
      </c>
      <c r="AU51" s="108">
        <f t="shared" si="3"/>
        <v>535.53119380850001</v>
      </c>
      <c r="AV51" s="101">
        <f t="shared" si="4"/>
        <v>1.3722675492620007</v>
      </c>
      <c r="AW51" s="60">
        <f t="shared" si="5"/>
        <v>0.47508364124999947</v>
      </c>
      <c r="AX51" s="61">
        <f t="shared" si="6"/>
        <v>550.68214175675007</v>
      </c>
      <c r="AZ51" s="23">
        <f t="shared" si="7"/>
        <v>-0.1406956475500003</v>
      </c>
      <c r="BA51" s="103">
        <f t="shared" si="8"/>
        <v>528.50788378150014</v>
      </c>
      <c r="BC51" s="104">
        <f t="shared" si="9"/>
        <v>0.12393689170000011</v>
      </c>
      <c r="BD51" s="105">
        <f t="shared" si="10"/>
        <v>471.76156113799999</v>
      </c>
      <c r="BF51" s="115">
        <f t="shared" si="0"/>
        <v>-1.5005563071999997</v>
      </c>
      <c r="BG51" s="116">
        <f t="shared" si="1"/>
        <v>267.88312300000001</v>
      </c>
    </row>
    <row r="52" spans="1:62" s="101" customFormat="1" ht="14.4" x14ac:dyDescent="0.3">
      <c r="B52" s="101" t="s">
        <v>132</v>
      </c>
      <c r="C52" s="20">
        <v>43664.427870370368</v>
      </c>
      <c r="D52" s="101" t="s">
        <v>25</v>
      </c>
      <c r="E52" s="101" t="s">
        <v>17</v>
      </c>
      <c r="F52" s="101">
        <v>0</v>
      </c>
      <c r="G52" s="101">
        <v>6.0839999999999996</v>
      </c>
      <c r="H52" s="12">
        <v>1577</v>
      </c>
      <c r="I52" s="101">
        <v>1.6240000000000001</v>
      </c>
      <c r="J52" s="101" t="s">
        <v>18</v>
      </c>
      <c r="K52" s="101" t="s">
        <v>18</v>
      </c>
      <c r="L52" s="101" t="s">
        <v>18</v>
      </c>
      <c r="P52" s="101" t="s">
        <v>132</v>
      </c>
      <c r="Q52" s="20">
        <v>43664.427870370368</v>
      </c>
      <c r="R52" s="101" t="s">
        <v>25</v>
      </c>
      <c r="S52" s="101" t="s">
        <v>17</v>
      </c>
      <c r="T52" s="101">
        <v>0</v>
      </c>
      <c r="U52" s="101" t="s">
        <v>18</v>
      </c>
      <c r="V52" s="101" t="s">
        <v>18</v>
      </c>
      <c r="W52" s="101" t="s">
        <v>18</v>
      </c>
      <c r="X52" s="101" t="s">
        <v>18</v>
      </c>
      <c r="Y52" s="101" t="s">
        <v>18</v>
      </c>
      <c r="Z52" s="101" t="s">
        <v>18</v>
      </c>
      <c r="AD52" s="101" t="s">
        <v>132</v>
      </c>
      <c r="AE52" s="20">
        <v>43664.427870370368</v>
      </c>
      <c r="AF52" s="101" t="s">
        <v>25</v>
      </c>
      <c r="AG52" s="101" t="s">
        <v>17</v>
      </c>
      <c r="AH52" s="101">
        <v>0</v>
      </c>
      <c r="AI52" s="101">
        <v>12.196999999999999</v>
      </c>
      <c r="AJ52" s="12">
        <v>1313</v>
      </c>
      <c r="AK52" s="101">
        <v>285.70600000000002</v>
      </c>
      <c r="AL52" s="101" t="s">
        <v>18</v>
      </c>
      <c r="AM52" s="101" t="s">
        <v>18</v>
      </c>
      <c r="AN52" s="101" t="s">
        <v>18</v>
      </c>
      <c r="AS52" s="7">
        <v>8</v>
      </c>
      <c r="AT52" s="108">
        <f t="shared" si="2"/>
        <v>0.9220401383820005</v>
      </c>
      <c r="AU52" s="108">
        <f t="shared" si="3"/>
        <v>309.06122544753998</v>
      </c>
      <c r="AV52" s="101">
        <f t="shared" si="4"/>
        <v>0.9220401383820005</v>
      </c>
      <c r="AW52" s="60">
        <f t="shared" si="5"/>
        <v>-5.2367758749999993E-2</v>
      </c>
      <c r="AX52" s="61">
        <f t="shared" si="6"/>
        <v>278.15198646587004</v>
      </c>
      <c r="AZ52" s="23">
        <f t="shared" si="7"/>
        <v>-0.83024653555000061</v>
      </c>
      <c r="BA52" s="103">
        <f t="shared" si="8"/>
        <v>247.15956826406</v>
      </c>
      <c r="BC52" s="104">
        <f t="shared" si="9"/>
        <v>-0.12701191629999986</v>
      </c>
      <c r="BD52" s="105">
        <f t="shared" si="10"/>
        <v>167.65310431111999</v>
      </c>
      <c r="BF52" s="115">
        <f t="shared" si="0"/>
        <v>-1.7828067792</v>
      </c>
      <c r="BG52" s="116">
        <f t="shared" si="1"/>
        <v>118.04906731999999</v>
      </c>
    </row>
    <row r="53" spans="1:62" s="101" customFormat="1" ht="14.4" x14ac:dyDescent="0.3">
      <c r="B53" s="101" t="s">
        <v>133</v>
      </c>
      <c r="C53" s="20">
        <v>43665.441331018519</v>
      </c>
      <c r="D53" s="101" t="s">
        <v>25</v>
      </c>
      <c r="E53" s="101" t="s">
        <v>17</v>
      </c>
      <c r="F53" s="101">
        <v>0</v>
      </c>
      <c r="G53" s="101">
        <v>6.0810000000000004</v>
      </c>
      <c r="H53" s="12">
        <v>1778</v>
      </c>
      <c r="I53" s="101">
        <v>2.0819999999999999</v>
      </c>
      <c r="J53" s="101" t="s">
        <v>18</v>
      </c>
      <c r="K53" s="101" t="s">
        <v>18</v>
      </c>
      <c r="L53" s="101" t="s">
        <v>18</v>
      </c>
      <c r="P53" s="101" t="s">
        <v>133</v>
      </c>
      <c r="Q53" s="20">
        <v>43665.441331018519</v>
      </c>
      <c r="R53" s="101" t="s">
        <v>25</v>
      </c>
      <c r="S53" s="101" t="s">
        <v>17</v>
      </c>
      <c r="T53" s="101">
        <v>0</v>
      </c>
      <c r="U53" s="101" t="s">
        <v>18</v>
      </c>
      <c r="V53" s="101" t="s">
        <v>18</v>
      </c>
      <c r="W53" s="101" t="s">
        <v>18</v>
      </c>
      <c r="X53" s="101" t="s">
        <v>18</v>
      </c>
      <c r="Y53" s="101" t="s">
        <v>18</v>
      </c>
      <c r="Z53" s="101" t="s">
        <v>18</v>
      </c>
      <c r="AD53" s="101" t="s">
        <v>133</v>
      </c>
      <c r="AE53" s="20">
        <v>43665.441331018519</v>
      </c>
      <c r="AF53" s="101" t="s">
        <v>25</v>
      </c>
      <c r="AG53" s="101" t="s">
        <v>17</v>
      </c>
      <c r="AH53" s="101">
        <v>0</v>
      </c>
      <c r="AI53" s="101">
        <v>12.180999999999999</v>
      </c>
      <c r="AJ53" s="12">
        <v>2363</v>
      </c>
      <c r="AK53" s="101">
        <v>466.71199999999999</v>
      </c>
      <c r="AL53" s="101" t="s">
        <v>18</v>
      </c>
      <c r="AM53" s="101" t="s">
        <v>18</v>
      </c>
      <c r="AN53" s="101" t="s">
        <v>18</v>
      </c>
      <c r="AS53" s="7">
        <v>9</v>
      </c>
      <c r="AT53" s="108">
        <f t="shared" si="2"/>
        <v>1.3983522684720007</v>
      </c>
      <c r="AU53" s="108">
        <f t="shared" si="3"/>
        <v>470.60009051553993</v>
      </c>
      <c r="AV53" s="101">
        <f t="shared" si="4"/>
        <v>1.3983522684720007</v>
      </c>
      <c r="AW53" s="60">
        <f t="shared" si="5"/>
        <v>0.50566728499999947</v>
      </c>
      <c r="AX53" s="61">
        <f t="shared" si="6"/>
        <v>472.57970681987001</v>
      </c>
      <c r="AZ53" s="23">
        <f t="shared" si="7"/>
        <v>-0.10090240779999959</v>
      </c>
      <c r="BA53" s="103">
        <f t="shared" si="8"/>
        <v>447.85680791606001</v>
      </c>
      <c r="BC53" s="104">
        <f t="shared" si="9"/>
        <v>0.13878676520000011</v>
      </c>
      <c r="BD53" s="105">
        <f t="shared" si="10"/>
        <v>384.58960221512001</v>
      </c>
      <c r="BF53" s="115">
        <f t="shared" si="0"/>
        <v>-1.4841818831999998</v>
      </c>
      <c r="BG53" s="116">
        <f t="shared" si="1"/>
        <v>225.69011131999997</v>
      </c>
    </row>
    <row r="54" spans="1:62" s="101" customFormat="1" ht="14.4" x14ac:dyDescent="0.3">
      <c r="B54" s="101" t="s">
        <v>134</v>
      </c>
      <c r="C54" s="20">
        <v>43669.385995370372</v>
      </c>
      <c r="D54" s="101" t="s">
        <v>25</v>
      </c>
      <c r="E54" s="101" t="s">
        <v>17</v>
      </c>
      <c r="F54" s="101">
        <v>0</v>
      </c>
      <c r="G54" s="101">
        <v>6.069</v>
      </c>
      <c r="H54" s="12">
        <v>1617</v>
      </c>
      <c r="I54" s="101">
        <v>1.716</v>
      </c>
      <c r="J54" s="101" t="s">
        <v>18</v>
      </c>
      <c r="K54" s="101" t="s">
        <v>18</v>
      </c>
      <c r="L54" s="101" t="s">
        <v>18</v>
      </c>
      <c r="P54" s="101" t="s">
        <v>134</v>
      </c>
      <c r="Q54" s="20">
        <v>43669.385995370372</v>
      </c>
      <c r="R54" s="101" t="s">
        <v>25</v>
      </c>
      <c r="S54" s="101" t="s">
        <v>17</v>
      </c>
      <c r="T54" s="101">
        <v>0</v>
      </c>
      <c r="U54" s="101" t="s">
        <v>18</v>
      </c>
      <c r="V54" s="101" t="s">
        <v>18</v>
      </c>
      <c r="W54" s="101" t="s">
        <v>18</v>
      </c>
      <c r="X54" s="101" t="s">
        <v>18</v>
      </c>
      <c r="Y54" s="101" t="s">
        <v>18</v>
      </c>
      <c r="Z54" s="101" t="s">
        <v>18</v>
      </c>
      <c r="AD54" s="101" t="s">
        <v>134</v>
      </c>
      <c r="AE54" s="20">
        <v>43669.385995370372</v>
      </c>
      <c r="AF54" s="101" t="s">
        <v>25</v>
      </c>
      <c r="AG54" s="101" t="s">
        <v>17</v>
      </c>
      <c r="AH54" s="101">
        <v>0</v>
      </c>
      <c r="AI54" s="101">
        <v>12.2</v>
      </c>
      <c r="AJ54" s="12"/>
      <c r="AK54" s="17"/>
      <c r="AL54" s="101" t="s">
        <v>18</v>
      </c>
      <c r="AM54" s="101" t="s">
        <v>18</v>
      </c>
      <c r="AN54" s="101" t="s">
        <v>18</v>
      </c>
      <c r="AS54" s="7">
        <v>10</v>
      </c>
      <c r="AT54" s="108">
        <f t="shared" si="2"/>
        <v>1.0167735084620002</v>
      </c>
      <c r="AU54" s="108">
        <f t="shared" si="3"/>
        <v>107.1</v>
      </c>
      <c r="AV54" s="101">
        <f t="shared" si="4"/>
        <v>1.0167735084620002</v>
      </c>
      <c r="AW54" s="60">
        <f t="shared" si="5"/>
        <v>5.8547141250000045E-2</v>
      </c>
      <c r="AX54" s="61">
        <f t="shared" si="6"/>
        <v>34.83</v>
      </c>
      <c r="AZ54" s="23">
        <f t="shared" si="7"/>
        <v>-0.68473022755000024</v>
      </c>
      <c r="BA54" s="103">
        <f t="shared" si="8"/>
        <v>-3.8580000000000001</v>
      </c>
      <c r="BC54" s="104">
        <f t="shared" si="9"/>
        <v>-7.5052388299999828E-2</v>
      </c>
      <c r="BD54" s="105">
        <f t="shared" si="10"/>
        <v>-103.7</v>
      </c>
      <c r="BF54" s="115">
        <f t="shared" si="0"/>
        <v>-1.7234768271999998</v>
      </c>
      <c r="BG54" s="116">
        <f t="shared" si="1"/>
        <v>-21.89</v>
      </c>
    </row>
    <row r="55" spans="1:62" s="101" customFormat="1" ht="14.4" x14ac:dyDescent="0.3">
      <c r="A55" s="101">
        <v>34</v>
      </c>
      <c r="B55" s="101" t="s">
        <v>135</v>
      </c>
      <c r="C55" s="20">
        <v>43672.518773148149</v>
      </c>
      <c r="D55" s="101" t="s">
        <v>25</v>
      </c>
      <c r="E55" s="101" t="s">
        <v>17</v>
      </c>
      <c r="F55" s="101">
        <v>0</v>
      </c>
      <c r="G55" s="101">
        <v>6.0789999999999997</v>
      </c>
      <c r="H55" s="12">
        <v>1806</v>
      </c>
      <c r="I55" s="101">
        <v>2.145</v>
      </c>
      <c r="J55" s="101" t="s">
        <v>18</v>
      </c>
      <c r="K55" s="101" t="s">
        <v>18</v>
      </c>
      <c r="L55" s="101" t="s">
        <v>18</v>
      </c>
      <c r="M55" s="101" t="s">
        <v>18</v>
      </c>
      <c r="O55" s="101">
        <v>34</v>
      </c>
      <c r="P55" s="101" t="s">
        <v>135</v>
      </c>
      <c r="Q55" s="20">
        <v>43672.518773148149</v>
      </c>
      <c r="R55" s="101" t="s">
        <v>25</v>
      </c>
      <c r="S55" s="101" t="s">
        <v>17</v>
      </c>
      <c r="T55" s="101">
        <v>0</v>
      </c>
      <c r="U55" s="101" t="s">
        <v>18</v>
      </c>
      <c r="V55" s="101" t="s">
        <v>18</v>
      </c>
      <c r="W55" s="101" t="s">
        <v>18</v>
      </c>
      <c r="X55" s="101" t="s">
        <v>18</v>
      </c>
      <c r="Y55" s="101" t="s">
        <v>18</v>
      </c>
      <c r="Z55" s="101" t="s">
        <v>18</v>
      </c>
      <c r="AA55" s="101" t="s">
        <v>18</v>
      </c>
      <c r="AC55" s="101">
        <v>34</v>
      </c>
      <c r="AD55" s="101" t="s">
        <v>135</v>
      </c>
      <c r="AE55" s="20">
        <v>43672.518773148149</v>
      </c>
      <c r="AF55" s="101" t="s">
        <v>25</v>
      </c>
      <c r="AG55" s="101" t="s">
        <v>17</v>
      </c>
      <c r="AH55" s="101">
        <v>0</v>
      </c>
      <c r="AI55" s="101">
        <v>12.214</v>
      </c>
      <c r="AJ55" s="12">
        <v>2091</v>
      </c>
      <c r="AK55" s="101">
        <v>419.791</v>
      </c>
      <c r="AL55" s="101" t="s">
        <v>18</v>
      </c>
      <c r="AM55" s="101" t="s">
        <v>18</v>
      </c>
      <c r="AN55" s="101" t="s">
        <v>18</v>
      </c>
      <c r="AO55" s="101" t="s">
        <v>18</v>
      </c>
      <c r="AS55" s="7">
        <v>11</v>
      </c>
      <c r="AT55" s="108">
        <f t="shared" si="2"/>
        <v>1.4647590808880007</v>
      </c>
      <c r="AU55" s="108">
        <f t="shared" si="3"/>
        <v>428.75115307746</v>
      </c>
      <c r="AV55" s="101">
        <f t="shared" si="4"/>
        <v>1.4647590808880007</v>
      </c>
      <c r="AW55" s="60">
        <f t="shared" si="5"/>
        <v>0.58353976499999938</v>
      </c>
      <c r="AX55" s="61">
        <f t="shared" si="6"/>
        <v>422.22695192162996</v>
      </c>
      <c r="AZ55" s="23">
        <f t="shared" si="7"/>
        <v>3.2619380000031839E-4</v>
      </c>
      <c r="BA55" s="103">
        <f t="shared" si="8"/>
        <v>395.87010671094004</v>
      </c>
      <c r="BC55" s="104">
        <f t="shared" si="9"/>
        <v>0.17674511079999999</v>
      </c>
      <c r="BD55" s="105">
        <f t="shared" si="10"/>
        <v>328.39811938887999</v>
      </c>
      <c r="BF55" s="115">
        <f t="shared" si="0"/>
        <v>-1.4424849327999998</v>
      </c>
      <c r="BG55" s="116">
        <f t="shared" si="1"/>
        <v>198.16993468000004</v>
      </c>
    </row>
    <row r="56" spans="1:62" s="101" customFormat="1" ht="14.4" x14ac:dyDescent="0.3">
      <c r="A56" s="101">
        <v>28</v>
      </c>
      <c r="B56" s="101" t="s">
        <v>136</v>
      </c>
      <c r="C56" s="20">
        <v>43675.412280092591</v>
      </c>
      <c r="D56" s="101" t="s">
        <v>25</v>
      </c>
      <c r="E56" s="101" t="s">
        <v>17</v>
      </c>
      <c r="F56" s="101">
        <v>0</v>
      </c>
      <c r="G56" s="101">
        <v>6.0780000000000003</v>
      </c>
      <c r="H56" s="12">
        <v>1748</v>
      </c>
      <c r="I56" s="101">
        <v>2.0129999999999999</v>
      </c>
      <c r="J56" s="101" t="s">
        <v>18</v>
      </c>
      <c r="K56" s="101" t="s">
        <v>18</v>
      </c>
      <c r="L56" s="101" t="s">
        <v>18</v>
      </c>
      <c r="M56" s="101" t="s">
        <v>18</v>
      </c>
      <c r="O56" s="101">
        <v>28</v>
      </c>
      <c r="P56" s="101" t="s">
        <v>136</v>
      </c>
      <c r="Q56" s="20">
        <v>43675.412280092591</v>
      </c>
      <c r="R56" s="101" t="s">
        <v>25</v>
      </c>
      <c r="S56" s="101" t="s">
        <v>17</v>
      </c>
      <c r="T56" s="101">
        <v>0</v>
      </c>
      <c r="U56" s="101" t="s">
        <v>18</v>
      </c>
      <c r="V56" s="101" t="s">
        <v>18</v>
      </c>
      <c r="W56" s="101" t="s">
        <v>18</v>
      </c>
      <c r="X56" s="101" t="s">
        <v>18</v>
      </c>
      <c r="Y56" s="101" t="s">
        <v>18</v>
      </c>
      <c r="Z56" s="101" t="s">
        <v>18</v>
      </c>
      <c r="AA56" s="101" t="s">
        <v>18</v>
      </c>
      <c r="AC56" s="101">
        <v>28</v>
      </c>
      <c r="AD56" s="101" t="s">
        <v>136</v>
      </c>
      <c r="AE56" s="20">
        <v>43675.412280092591</v>
      </c>
      <c r="AF56" s="101" t="s">
        <v>25</v>
      </c>
      <c r="AG56" s="101" t="s">
        <v>17</v>
      </c>
      <c r="AH56" s="101">
        <v>0</v>
      </c>
      <c r="AI56" s="101">
        <v>12.202</v>
      </c>
      <c r="AJ56" s="12">
        <v>1929</v>
      </c>
      <c r="AK56" s="101">
        <v>391.87400000000002</v>
      </c>
      <c r="AL56" s="101" t="s">
        <v>18</v>
      </c>
      <c r="AM56" s="101" t="s">
        <v>18</v>
      </c>
      <c r="AN56" s="101" t="s">
        <v>18</v>
      </c>
      <c r="AO56" s="101" t="s">
        <v>18</v>
      </c>
      <c r="AS56" s="7">
        <v>12</v>
      </c>
      <c r="AT56" s="108">
        <f t="shared" si="2"/>
        <v>1.3272170032320001</v>
      </c>
      <c r="AU56" s="108">
        <f t="shared" si="3"/>
        <v>403.82730837906001</v>
      </c>
      <c r="AV56" s="101">
        <f t="shared" si="4"/>
        <v>1.3272170032320001</v>
      </c>
      <c r="AW56" s="60">
        <f t="shared" si="5"/>
        <v>0.42226945999999987</v>
      </c>
      <c r="AX56" s="61">
        <f t="shared" si="6"/>
        <v>392.23303025643003</v>
      </c>
      <c r="AZ56" s="23">
        <f t="shared" si="7"/>
        <v>-0.20946245679999898</v>
      </c>
      <c r="BA56" s="103">
        <f t="shared" si="8"/>
        <v>364.90629587334001</v>
      </c>
      <c r="BC56" s="104">
        <f t="shared" si="9"/>
        <v>9.8369931199999927E-2</v>
      </c>
      <c r="BD56" s="105">
        <f t="shared" si="10"/>
        <v>294.92933903367998</v>
      </c>
      <c r="BF56" s="115">
        <f t="shared" si="0"/>
        <v>-1.5288307392</v>
      </c>
      <c r="BG56" s="116">
        <f t="shared" si="1"/>
        <v>181.65831148000001</v>
      </c>
    </row>
    <row r="57" spans="1:62" s="101" customFormat="1" ht="14.4" x14ac:dyDescent="0.3">
      <c r="A57" s="101">
        <v>36</v>
      </c>
      <c r="B57" s="101" t="s">
        <v>137</v>
      </c>
      <c r="C57" s="20">
        <v>43676.385439814818</v>
      </c>
      <c r="D57" s="101" t="s">
        <v>25</v>
      </c>
      <c r="E57" s="101" t="s">
        <v>17</v>
      </c>
      <c r="F57" s="101">
        <v>0</v>
      </c>
      <c r="G57" s="101">
        <v>6.0940000000000003</v>
      </c>
      <c r="H57" s="12">
        <v>1659</v>
      </c>
      <c r="I57" s="101">
        <v>1.8109999999999999</v>
      </c>
      <c r="J57" s="101" t="s">
        <v>18</v>
      </c>
      <c r="K57" s="101" t="s">
        <v>18</v>
      </c>
      <c r="L57" s="101" t="s">
        <v>18</v>
      </c>
      <c r="M57" s="101" t="s">
        <v>18</v>
      </c>
      <c r="O57" s="101">
        <v>36</v>
      </c>
      <c r="P57" s="101" t="s">
        <v>137</v>
      </c>
      <c r="Q57" s="20">
        <v>43676.385439814818</v>
      </c>
      <c r="R57" s="101" t="s">
        <v>25</v>
      </c>
      <c r="S57" s="101" t="s">
        <v>17</v>
      </c>
      <c r="T57" s="101">
        <v>0</v>
      </c>
      <c r="U57" s="101" t="s">
        <v>18</v>
      </c>
      <c r="V57" s="101" t="s">
        <v>18</v>
      </c>
      <c r="W57" s="101" t="s">
        <v>18</v>
      </c>
      <c r="X57" s="101" t="s">
        <v>18</v>
      </c>
      <c r="Y57" s="101" t="s">
        <v>18</v>
      </c>
      <c r="Z57" s="101" t="s">
        <v>18</v>
      </c>
      <c r="AA57" s="101" t="s">
        <v>18</v>
      </c>
      <c r="AC57" s="101">
        <v>36</v>
      </c>
      <c r="AD57" s="101" t="s">
        <v>137</v>
      </c>
      <c r="AE57" s="20">
        <v>43676.385439814818</v>
      </c>
      <c r="AF57" s="101" t="s">
        <v>25</v>
      </c>
      <c r="AG57" s="101" t="s">
        <v>17</v>
      </c>
      <c r="AH57" s="101">
        <v>0</v>
      </c>
      <c r="AI57" s="101">
        <v>12.214</v>
      </c>
      <c r="AJ57" s="12">
        <v>1817</v>
      </c>
      <c r="AK57" s="101">
        <v>372.64600000000002</v>
      </c>
      <c r="AL57" s="101" t="s">
        <v>18</v>
      </c>
      <c r="AM57" s="101" t="s">
        <v>18</v>
      </c>
      <c r="AN57" s="101" t="s">
        <v>18</v>
      </c>
      <c r="AO57" s="101" t="s">
        <v>18</v>
      </c>
      <c r="AS57" s="7">
        <v>13</v>
      </c>
      <c r="AT57" s="108">
        <f t="shared" si="2"/>
        <v>1.1162730207980003</v>
      </c>
      <c r="AU57" s="108">
        <f t="shared" si="3"/>
        <v>386.59639685074001</v>
      </c>
      <c r="AV57" s="101">
        <f t="shared" si="4"/>
        <v>1.1162730207980003</v>
      </c>
      <c r="AW57" s="60">
        <f t="shared" si="5"/>
        <v>0.175080971249999</v>
      </c>
      <c r="AX57" s="61">
        <f t="shared" si="6"/>
        <v>371.49456553546997</v>
      </c>
      <c r="AZ57" s="23">
        <f t="shared" si="7"/>
        <v>-0.53213768395000027</v>
      </c>
      <c r="BA57" s="103">
        <f t="shared" si="8"/>
        <v>343.49871778886001</v>
      </c>
      <c r="BC57" s="104">
        <f t="shared" si="9"/>
        <v>-1.9994470699999933E-2</v>
      </c>
      <c r="BD57" s="105">
        <f t="shared" si="10"/>
        <v>271.78964600071998</v>
      </c>
      <c r="BF57" s="115">
        <f t="shared" si="0"/>
        <v>-1.6611280287999999</v>
      </c>
      <c r="BG57" s="116">
        <f t="shared" si="1"/>
        <v>170.19008492</v>
      </c>
    </row>
    <row r="58" spans="1:62" s="101" customFormat="1" ht="14.4" x14ac:dyDescent="0.3">
      <c r="A58" s="101">
        <v>26</v>
      </c>
      <c r="B58" s="101" t="s">
        <v>138</v>
      </c>
      <c r="C58" s="20">
        <v>43678.675104166665</v>
      </c>
      <c r="D58" s="101" t="s">
        <v>25</v>
      </c>
      <c r="E58" s="101" t="s">
        <v>17</v>
      </c>
      <c r="F58" s="101">
        <v>0</v>
      </c>
      <c r="G58" s="101">
        <v>6.0720000000000001</v>
      </c>
      <c r="H58" s="12">
        <v>2906</v>
      </c>
      <c r="I58" s="101">
        <v>4.6520000000000001</v>
      </c>
      <c r="J58" s="101" t="s">
        <v>18</v>
      </c>
      <c r="K58" s="101" t="s">
        <v>18</v>
      </c>
      <c r="L58" s="101" t="s">
        <v>18</v>
      </c>
      <c r="M58" s="101" t="s">
        <v>18</v>
      </c>
      <c r="O58" s="101">
        <v>26</v>
      </c>
      <c r="P58" s="101" t="s">
        <v>138</v>
      </c>
      <c r="Q58" s="20">
        <v>43678.675104166665</v>
      </c>
      <c r="R58" s="101" t="s">
        <v>25</v>
      </c>
      <c r="S58" s="101" t="s">
        <v>17</v>
      </c>
      <c r="T58" s="101">
        <v>0</v>
      </c>
      <c r="U58" s="101" t="s">
        <v>18</v>
      </c>
      <c r="V58" s="101" t="s">
        <v>18</v>
      </c>
      <c r="W58" s="101" t="s">
        <v>18</v>
      </c>
      <c r="X58" s="101" t="s">
        <v>18</v>
      </c>
      <c r="Y58" s="101" t="s">
        <v>18</v>
      </c>
      <c r="Z58" s="101" t="s">
        <v>18</v>
      </c>
      <c r="AA58" s="101" t="s">
        <v>18</v>
      </c>
      <c r="AC58" s="101">
        <v>26</v>
      </c>
      <c r="AD58" s="101" t="s">
        <v>138</v>
      </c>
      <c r="AE58" s="20">
        <v>43678.675104166665</v>
      </c>
      <c r="AF58" s="101" t="s">
        <v>25</v>
      </c>
      <c r="AG58" s="101" t="s">
        <v>17</v>
      </c>
      <c r="AH58" s="101">
        <v>0</v>
      </c>
      <c r="AI58" s="101">
        <v>12.196999999999999</v>
      </c>
      <c r="AJ58" s="12">
        <v>2420</v>
      </c>
      <c r="AK58" s="101">
        <v>476.45499999999998</v>
      </c>
      <c r="AL58" s="101" t="s">
        <v>18</v>
      </c>
      <c r="AM58" s="101" t="s">
        <v>18</v>
      </c>
      <c r="AN58" s="101" t="s">
        <v>18</v>
      </c>
      <c r="AO58" s="101" t="s">
        <v>18</v>
      </c>
      <c r="AS58" s="7">
        <v>14</v>
      </c>
      <c r="AT58" s="108">
        <f t="shared" si="2"/>
        <v>4.0842169064880007</v>
      </c>
      <c r="AU58" s="108">
        <f t="shared" si="3"/>
        <v>479.37014202399996</v>
      </c>
      <c r="AV58" s="101">
        <f t="shared" si="4"/>
        <v>4.0842169064880007</v>
      </c>
      <c r="AW58" s="60">
        <f t="shared" si="5"/>
        <v>3.6691827650000004</v>
      </c>
      <c r="AX58" s="61">
        <f t="shared" si="6"/>
        <v>483.13039377199999</v>
      </c>
      <c r="AZ58" s="23">
        <f t="shared" si="7"/>
        <v>3.9052597538000011</v>
      </c>
      <c r="BA58" s="103">
        <f t="shared" si="8"/>
        <v>458.75077493600003</v>
      </c>
      <c r="BC58" s="104">
        <f t="shared" si="9"/>
        <v>1.8482540708000001</v>
      </c>
      <c r="BD58" s="105">
        <f t="shared" si="10"/>
        <v>396.36454467200002</v>
      </c>
      <c r="BF58" s="115">
        <f t="shared" si="0"/>
        <v>0.21446970720000014</v>
      </c>
      <c r="BG58" s="116">
        <f t="shared" si="1"/>
        <v>231.42495200000002</v>
      </c>
    </row>
    <row r="59" spans="1:62" s="101" customFormat="1" ht="14.4" x14ac:dyDescent="0.3">
      <c r="A59" s="101">
        <v>38</v>
      </c>
      <c r="B59" s="101" t="s">
        <v>139</v>
      </c>
      <c r="C59" s="20">
        <v>43679.381909722222</v>
      </c>
      <c r="D59" s="101" t="s">
        <v>25</v>
      </c>
      <c r="E59" s="101" t="s">
        <v>17</v>
      </c>
      <c r="F59" s="101">
        <v>0</v>
      </c>
      <c r="G59" s="101">
        <v>6.07</v>
      </c>
      <c r="H59" s="12">
        <v>1946</v>
      </c>
      <c r="I59" s="101">
        <v>2.4660000000000002</v>
      </c>
      <c r="J59" s="101" t="s">
        <v>18</v>
      </c>
      <c r="K59" s="101" t="s">
        <v>18</v>
      </c>
      <c r="L59" s="101" t="s">
        <v>18</v>
      </c>
      <c r="M59" s="101" t="s">
        <v>18</v>
      </c>
      <c r="O59" s="101">
        <v>38</v>
      </c>
      <c r="P59" s="101" t="s">
        <v>139</v>
      </c>
      <c r="Q59" s="20">
        <v>43679.381909722222</v>
      </c>
      <c r="R59" s="101" t="s">
        <v>25</v>
      </c>
      <c r="S59" s="101" t="s">
        <v>17</v>
      </c>
      <c r="T59" s="101">
        <v>0</v>
      </c>
      <c r="U59" s="101" t="s">
        <v>18</v>
      </c>
      <c r="V59" s="101" t="s">
        <v>18</v>
      </c>
      <c r="W59" s="101" t="s">
        <v>18</v>
      </c>
      <c r="X59" s="101" t="s">
        <v>18</v>
      </c>
      <c r="Y59" s="101" t="s">
        <v>18</v>
      </c>
      <c r="Z59" s="101" t="s">
        <v>18</v>
      </c>
      <c r="AA59" s="101" t="s">
        <v>18</v>
      </c>
      <c r="AC59" s="101">
        <v>38</v>
      </c>
      <c r="AD59" s="101" t="s">
        <v>139</v>
      </c>
      <c r="AE59" s="20">
        <v>43679.381909722222</v>
      </c>
      <c r="AF59" s="101" t="s">
        <v>25</v>
      </c>
      <c r="AG59" s="101" t="s">
        <v>17</v>
      </c>
      <c r="AH59" s="101">
        <v>0</v>
      </c>
      <c r="AI59" s="101">
        <v>12.199</v>
      </c>
      <c r="AJ59" s="12">
        <v>2616</v>
      </c>
      <c r="AK59" s="101">
        <v>510.27800000000002</v>
      </c>
      <c r="AL59" s="101" t="s">
        <v>18</v>
      </c>
      <c r="AM59" s="101" t="s">
        <v>18</v>
      </c>
      <c r="AN59" s="101" t="s">
        <v>18</v>
      </c>
      <c r="AO59" s="101" t="s">
        <v>18</v>
      </c>
      <c r="AS59" s="7">
        <v>15</v>
      </c>
      <c r="AT59" s="108">
        <f t="shared" si="2"/>
        <v>1.7969944271280007</v>
      </c>
      <c r="AU59" s="108">
        <f t="shared" si="3"/>
        <v>509.52743815296003</v>
      </c>
      <c r="AV59" s="101">
        <f t="shared" si="4"/>
        <v>1.7969944271280007</v>
      </c>
      <c r="AW59" s="60">
        <f t="shared" si="5"/>
        <v>0.97340196499999987</v>
      </c>
      <c r="AX59" s="61">
        <f t="shared" si="6"/>
        <v>519.40683626688008</v>
      </c>
      <c r="AZ59" s="23">
        <f t="shared" si="7"/>
        <v>0.50510621779999987</v>
      </c>
      <c r="BA59" s="103">
        <f t="shared" si="8"/>
        <v>496.20992540544006</v>
      </c>
      <c r="BC59" s="104">
        <f t="shared" si="9"/>
        <v>0.36995429480000008</v>
      </c>
      <c r="BD59" s="105">
        <f t="shared" si="10"/>
        <v>436.85255500288002</v>
      </c>
      <c r="BF59" s="115">
        <f t="shared" si="0"/>
        <v>-1.2336426767999997</v>
      </c>
      <c r="BG59" s="116">
        <f t="shared" si="1"/>
        <v>251.05946368000002</v>
      </c>
    </row>
    <row r="60" spans="1:62" s="101" customFormat="1" ht="14.4" x14ac:dyDescent="0.3">
      <c r="A60" s="101">
        <v>40</v>
      </c>
      <c r="B60" s="101" t="s">
        <v>140</v>
      </c>
      <c r="C60" s="20">
        <v>43683.356608796297</v>
      </c>
      <c r="D60" s="101" t="s">
        <v>25</v>
      </c>
      <c r="E60" s="101" t="s">
        <v>17</v>
      </c>
      <c r="F60" s="101">
        <v>0</v>
      </c>
      <c r="G60" s="101">
        <v>6.0640000000000001</v>
      </c>
      <c r="H60" s="12">
        <v>1872</v>
      </c>
      <c r="I60" s="101">
        <v>2.2970000000000002</v>
      </c>
      <c r="J60" s="101" t="s">
        <v>18</v>
      </c>
      <c r="K60" s="101" t="s">
        <v>18</v>
      </c>
      <c r="L60" s="101" t="s">
        <v>18</v>
      </c>
      <c r="M60" s="101" t="s">
        <v>18</v>
      </c>
      <c r="O60" s="101">
        <v>40</v>
      </c>
      <c r="P60" s="101" t="s">
        <v>140</v>
      </c>
      <c r="Q60" s="20">
        <v>43683.356608796297</v>
      </c>
      <c r="R60" s="101" t="s">
        <v>25</v>
      </c>
      <c r="S60" s="101" t="s">
        <v>17</v>
      </c>
      <c r="T60" s="101">
        <v>0</v>
      </c>
      <c r="U60" s="101" t="s">
        <v>18</v>
      </c>
      <c r="V60" s="101" t="s">
        <v>18</v>
      </c>
      <c r="W60" s="101" t="s">
        <v>18</v>
      </c>
      <c r="X60" s="101" t="s">
        <v>18</v>
      </c>
      <c r="Y60" s="101" t="s">
        <v>18</v>
      </c>
      <c r="Z60" s="101" t="s">
        <v>18</v>
      </c>
      <c r="AA60" s="101" t="s">
        <v>18</v>
      </c>
      <c r="AC60" s="101">
        <v>40</v>
      </c>
      <c r="AD60" s="101" t="s">
        <v>140</v>
      </c>
      <c r="AE60" s="20">
        <v>43683.356608796297</v>
      </c>
      <c r="AF60" s="101" t="s">
        <v>25</v>
      </c>
      <c r="AG60" s="101" t="s">
        <v>17</v>
      </c>
      <c r="AH60" s="101">
        <v>0</v>
      </c>
      <c r="AI60" s="101">
        <v>12.188000000000001</v>
      </c>
      <c r="AJ60" s="12">
        <v>2649</v>
      </c>
      <c r="AK60" s="101">
        <v>515.98099999999999</v>
      </c>
      <c r="AL60" s="101" t="s">
        <v>18</v>
      </c>
      <c r="AM60" s="101" t="s">
        <v>18</v>
      </c>
      <c r="AN60" s="101" t="s">
        <v>18</v>
      </c>
      <c r="AO60" s="101" t="s">
        <v>18</v>
      </c>
      <c r="AS60" s="7">
        <v>16</v>
      </c>
      <c r="AT60" s="108">
        <f t="shared" si="2"/>
        <v>1.6213425182720003</v>
      </c>
      <c r="AU60" s="108">
        <f t="shared" si="3"/>
        <v>514.60503776465998</v>
      </c>
      <c r="AV60" s="101">
        <f t="shared" si="4"/>
        <v>1.6213425182720003</v>
      </c>
      <c r="AW60" s="60">
        <f t="shared" si="5"/>
        <v>0.76722816000000016</v>
      </c>
      <c r="AX60" s="61">
        <f t="shared" si="6"/>
        <v>525.5141302932301</v>
      </c>
      <c r="AZ60" s="23">
        <f t="shared" si="7"/>
        <v>0.23857694720000033</v>
      </c>
      <c r="BA60" s="103">
        <f t="shared" si="8"/>
        <v>502.51670031174001</v>
      </c>
      <c r="BC60" s="104">
        <f t="shared" si="9"/>
        <v>0.26711979519999995</v>
      </c>
      <c r="BD60" s="105">
        <f t="shared" si="10"/>
        <v>443.66922103048006</v>
      </c>
      <c r="BF60" s="115">
        <f t="shared" si="0"/>
        <v>-1.3441049631999999</v>
      </c>
      <c r="BG60" s="116">
        <f t="shared" si="1"/>
        <v>254.35227628000001</v>
      </c>
    </row>
    <row r="61" spans="1:62" s="101" customFormat="1" ht="14.4" x14ac:dyDescent="0.3">
      <c r="A61" s="101">
        <v>42</v>
      </c>
      <c r="B61" s="101" t="s">
        <v>141</v>
      </c>
      <c r="C61" s="20">
        <v>43686.355717592596</v>
      </c>
      <c r="D61" s="101" t="s">
        <v>25</v>
      </c>
      <c r="E61" s="101" t="s">
        <v>17</v>
      </c>
      <c r="F61" s="101">
        <v>0</v>
      </c>
      <c r="G61" s="101">
        <v>6.0659999999999998</v>
      </c>
      <c r="H61" s="12">
        <v>1407</v>
      </c>
      <c r="I61" s="101">
        <v>1.2370000000000001</v>
      </c>
      <c r="J61" s="101" t="s">
        <v>18</v>
      </c>
      <c r="K61" s="101" t="s">
        <v>18</v>
      </c>
      <c r="L61" s="101" t="s">
        <v>18</v>
      </c>
      <c r="M61" s="101" t="s">
        <v>18</v>
      </c>
      <c r="O61" s="101">
        <v>42</v>
      </c>
      <c r="P61" s="101" t="s">
        <v>141</v>
      </c>
      <c r="Q61" s="20">
        <v>43686.355717592596</v>
      </c>
      <c r="R61" s="101" t="s">
        <v>25</v>
      </c>
      <c r="S61" s="101" t="s">
        <v>17</v>
      </c>
      <c r="T61" s="101">
        <v>0</v>
      </c>
      <c r="U61" s="101" t="s">
        <v>18</v>
      </c>
      <c r="V61" s="101" t="s">
        <v>18</v>
      </c>
      <c r="W61" s="101" t="s">
        <v>18</v>
      </c>
      <c r="X61" s="101" t="s">
        <v>18</v>
      </c>
      <c r="Y61" s="101" t="s">
        <v>18</v>
      </c>
      <c r="Z61" s="101" t="s">
        <v>18</v>
      </c>
      <c r="AA61" s="101" t="s">
        <v>18</v>
      </c>
      <c r="AC61" s="101">
        <v>42</v>
      </c>
      <c r="AD61" s="101" t="s">
        <v>141</v>
      </c>
      <c r="AE61" s="20">
        <v>43686.355717592596</v>
      </c>
      <c r="AF61" s="101" t="s">
        <v>25</v>
      </c>
      <c r="AG61" s="101" t="s">
        <v>17</v>
      </c>
      <c r="AH61" s="101">
        <v>0</v>
      </c>
      <c r="AI61" s="101">
        <v>12.205</v>
      </c>
      <c r="AJ61" s="12">
        <v>2916</v>
      </c>
      <c r="AK61" s="101">
        <v>561.96600000000001</v>
      </c>
      <c r="AL61" s="101" t="s">
        <v>18</v>
      </c>
      <c r="AM61" s="101" t="s">
        <v>18</v>
      </c>
      <c r="AN61" s="101" t="s">
        <v>18</v>
      </c>
      <c r="AO61" s="101" t="s">
        <v>18</v>
      </c>
      <c r="AS61" s="7">
        <v>17</v>
      </c>
      <c r="AT61" s="108">
        <f t="shared" si="2"/>
        <v>0.51972883614200072</v>
      </c>
      <c r="AU61" s="108">
        <f t="shared" si="3"/>
        <v>555.68844868895997</v>
      </c>
      <c r="AV61" s="101">
        <f t="shared" si="4"/>
        <v>0.51972883614200072</v>
      </c>
      <c r="AW61" s="60">
        <f t="shared" si="5"/>
        <v>-0.52299745875000081</v>
      </c>
      <c r="AX61" s="61">
        <f t="shared" si="6"/>
        <v>574.92266317488009</v>
      </c>
      <c r="AZ61" s="23">
        <f t="shared" si="7"/>
        <v>-1.4507596595499992</v>
      </c>
      <c r="BA61" s="103">
        <f t="shared" si="8"/>
        <v>553.54294030944016</v>
      </c>
      <c r="BC61" s="104">
        <f t="shared" si="9"/>
        <v>-0.34265270029999995</v>
      </c>
      <c r="BD61" s="105">
        <f t="shared" si="10"/>
        <v>498.82020201088</v>
      </c>
      <c r="BF61" s="115">
        <f t="shared" si="0"/>
        <v>-2.0344164351999998</v>
      </c>
      <c r="BG61" s="116">
        <f t="shared" si="1"/>
        <v>280.85635168000005</v>
      </c>
    </row>
    <row r="62" spans="1:62" s="101" customFormat="1" ht="14.4" x14ac:dyDescent="0.3">
      <c r="A62" s="101">
        <v>44</v>
      </c>
      <c r="B62" s="101" t="s">
        <v>142</v>
      </c>
      <c r="C62" s="20">
        <v>43690.376145833332</v>
      </c>
      <c r="D62" s="101" t="s">
        <v>25</v>
      </c>
      <c r="E62" s="101" t="s">
        <v>17</v>
      </c>
      <c r="F62" s="101">
        <v>0</v>
      </c>
      <c r="G62" s="101">
        <v>6.0720000000000001</v>
      </c>
      <c r="H62" s="12">
        <v>1867</v>
      </c>
      <c r="I62" s="101">
        <v>2.2839999999999998</v>
      </c>
      <c r="J62" s="101" t="s">
        <v>18</v>
      </c>
      <c r="K62" s="101" t="s">
        <v>18</v>
      </c>
      <c r="L62" s="101" t="s">
        <v>18</v>
      </c>
      <c r="M62" s="101" t="s">
        <v>18</v>
      </c>
      <c r="O62" s="101">
        <v>44</v>
      </c>
      <c r="P62" s="101" t="s">
        <v>142</v>
      </c>
      <c r="Q62" s="20">
        <v>43690.376145833332</v>
      </c>
      <c r="R62" s="101" t="s">
        <v>25</v>
      </c>
      <c r="S62" s="101" t="s">
        <v>17</v>
      </c>
      <c r="T62" s="101">
        <v>0</v>
      </c>
      <c r="U62" s="101" t="s">
        <v>18</v>
      </c>
      <c r="V62" s="101" t="s">
        <v>18</v>
      </c>
      <c r="W62" s="101" t="s">
        <v>18</v>
      </c>
      <c r="X62" s="101" t="s">
        <v>18</v>
      </c>
      <c r="Y62" s="101" t="s">
        <v>18</v>
      </c>
      <c r="Z62" s="101" t="s">
        <v>18</v>
      </c>
      <c r="AA62" s="101" t="s">
        <v>18</v>
      </c>
      <c r="AC62" s="101">
        <v>44</v>
      </c>
      <c r="AD62" s="101" t="s">
        <v>142</v>
      </c>
      <c r="AE62" s="20">
        <v>43690.376145833332</v>
      </c>
      <c r="AF62" s="101" t="s">
        <v>25</v>
      </c>
      <c r="AG62" s="101" t="s">
        <v>17</v>
      </c>
      <c r="AH62" s="101">
        <v>0</v>
      </c>
      <c r="AI62" s="101">
        <v>12.199</v>
      </c>
      <c r="AJ62" s="12">
        <v>2611</v>
      </c>
      <c r="AK62" s="101">
        <v>509.39299999999997</v>
      </c>
      <c r="AL62" s="101" t="s">
        <v>18</v>
      </c>
      <c r="AM62" s="101" t="s">
        <v>18</v>
      </c>
      <c r="AN62" s="101" t="s">
        <v>18</v>
      </c>
      <c r="AO62" s="101" t="s">
        <v>18</v>
      </c>
      <c r="AS62" s="7">
        <v>18</v>
      </c>
      <c r="AT62" s="108">
        <f t="shared" si="2"/>
        <v>1.6094775264619998</v>
      </c>
      <c r="AU62" s="108">
        <f t="shared" si="3"/>
        <v>508.75810728386</v>
      </c>
      <c r="AV62" s="101">
        <f t="shared" si="4"/>
        <v>1.6094775264619998</v>
      </c>
      <c r="AW62" s="60">
        <f t="shared" si="5"/>
        <v>0.75330589124999925</v>
      </c>
      <c r="AX62" s="61">
        <f t="shared" si="6"/>
        <v>518.48147676082999</v>
      </c>
      <c r="AZ62" s="23">
        <f t="shared" si="7"/>
        <v>0.22054532244999958</v>
      </c>
      <c r="BA62" s="103">
        <f t="shared" si="8"/>
        <v>495.25435036054</v>
      </c>
      <c r="BC62" s="104">
        <f t="shared" si="9"/>
        <v>0.26022891170000029</v>
      </c>
      <c r="BD62" s="105">
        <f t="shared" si="10"/>
        <v>435.81972196808005</v>
      </c>
      <c r="BF62" s="115">
        <f t="shared" si="0"/>
        <v>-1.3515626271999999</v>
      </c>
      <c r="BG62" s="116">
        <f t="shared" si="1"/>
        <v>250.56022588000002</v>
      </c>
    </row>
    <row r="63" spans="1:62" s="101" customFormat="1" ht="14.4" x14ac:dyDescent="0.3">
      <c r="A63" s="101">
        <v>18</v>
      </c>
      <c r="B63" s="101" t="s">
        <v>143</v>
      </c>
      <c r="C63" s="20">
        <v>43692.643831018519</v>
      </c>
      <c r="D63" s="101" t="s">
        <v>25</v>
      </c>
      <c r="E63" s="101" t="s">
        <v>17</v>
      </c>
      <c r="F63" s="101">
        <v>0</v>
      </c>
      <c r="G63" s="101">
        <v>6.0629999999999997</v>
      </c>
      <c r="H63" s="12">
        <v>2207</v>
      </c>
      <c r="I63" s="101">
        <v>3.0590000000000002</v>
      </c>
      <c r="J63" s="101" t="s">
        <v>18</v>
      </c>
      <c r="K63" s="101" t="s">
        <v>18</v>
      </c>
      <c r="L63" s="101" t="s">
        <v>18</v>
      </c>
      <c r="M63" s="101" t="s">
        <v>18</v>
      </c>
      <c r="O63" s="101">
        <v>18</v>
      </c>
      <c r="P63" s="101" t="s">
        <v>143</v>
      </c>
      <c r="Q63" s="20">
        <v>43692.643831018519</v>
      </c>
      <c r="R63" s="101" t="s">
        <v>25</v>
      </c>
      <c r="S63" s="101" t="s">
        <v>17</v>
      </c>
      <c r="T63" s="101">
        <v>0</v>
      </c>
      <c r="U63" s="101" t="s">
        <v>18</v>
      </c>
      <c r="V63" s="101" t="s">
        <v>18</v>
      </c>
      <c r="W63" s="101" t="s">
        <v>18</v>
      </c>
      <c r="X63" s="101" t="s">
        <v>18</v>
      </c>
      <c r="Y63" s="101" t="s">
        <v>18</v>
      </c>
      <c r="Z63" s="101" t="s">
        <v>18</v>
      </c>
      <c r="AA63" s="101" t="s">
        <v>18</v>
      </c>
      <c r="AC63" s="101">
        <v>18</v>
      </c>
      <c r="AD63" s="101" t="s">
        <v>143</v>
      </c>
      <c r="AE63" s="20">
        <v>43692.643831018519</v>
      </c>
      <c r="AF63" s="101" t="s">
        <v>25</v>
      </c>
      <c r="AG63" s="101" t="s">
        <v>17</v>
      </c>
      <c r="AH63" s="101">
        <v>0</v>
      </c>
      <c r="AI63" s="101">
        <v>12.2</v>
      </c>
      <c r="AJ63" s="12">
        <v>2690</v>
      </c>
      <c r="AK63" s="17">
        <v>522.82500000000005</v>
      </c>
      <c r="AL63" s="101" t="s">
        <v>18</v>
      </c>
      <c r="AM63" s="101" t="s">
        <v>18</v>
      </c>
      <c r="AN63" s="101" t="s">
        <v>18</v>
      </c>
      <c r="AO63" s="101" t="s">
        <v>18</v>
      </c>
      <c r="AS63" s="7">
        <v>19</v>
      </c>
      <c r="AT63" s="108">
        <f t="shared" si="2"/>
        <v>2.4172717257420007</v>
      </c>
      <c r="AU63" s="108">
        <f t="shared" si="3"/>
        <v>520.91360902600002</v>
      </c>
      <c r="AV63" s="101">
        <f t="shared" si="4"/>
        <v>2.4172717257420007</v>
      </c>
      <c r="AW63" s="60">
        <f t="shared" si="5"/>
        <v>1.7024405412499988</v>
      </c>
      <c r="AX63" s="61">
        <f t="shared" si="6"/>
        <v>533.10179000300002</v>
      </c>
      <c r="AZ63" s="23">
        <f t="shared" si="7"/>
        <v>1.4400953004499986</v>
      </c>
      <c r="BA63" s="103">
        <f t="shared" si="8"/>
        <v>510.35234101399993</v>
      </c>
      <c r="BC63" s="104">
        <f t="shared" si="9"/>
        <v>0.74535865970000015</v>
      </c>
      <c r="BD63" s="105">
        <f t="shared" si="10"/>
        <v>452.13833472800007</v>
      </c>
      <c r="BF63" s="115">
        <f t="shared" si="0"/>
        <v>-0.84271019520000001</v>
      </c>
      <c r="BG63" s="116">
        <f t="shared" si="1"/>
        <v>258.43812800000001</v>
      </c>
    </row>
    <row r="64" spans="1:62" s="101" customFormat="1" ht="14.4" x14ac:dyDescent="0.3">
      <c r="A64" s="101">
        <v>48</v>
      </c>
      <c r="B64" s="101" t="s">
        <v>144</v>
      </c>
      <c r="C64" s="20">
        <v>43693.669236111113</v>
      </c>
      <c r="D64" s="101" t="s">
        <v>25</v>
      </c>
      <c r="E64" s="101" t="s">
        <v>17</v>
      </c>
      <c r="F64" s="101">
        <v>0</v>
      </c>
      <c r="G64" s="101">
        <v>6.0869999999999997</v>
      </c>
      <c r="H64" s="12">
        <v>1721</v>
      </c>
      <c r="I64" s="101">
        <v>1.952</v>
      </c>
      <c r="J64" s="101" t="s">
        <v>18</v>
      </c>
      <c r="K64" s="101" t="s">
        <v>18</v>
      </c>
      <c r="L64" s="101" t="s">
        <v>18</v>
      </c>
      <c r="M64" s="101" t="s">
        <v>18</v>
      </c>
      <c r="O64" s="101">
        <v>48</v>
      </c>
      <c r="P64" s="101" t="s">
        <v>144</v>
      </c>
      <c r="Q64" s="20">
        <v>43693.669236111113</v>
      </c>
      <c r="R64" s="101" t="s">
        <v>25</v>
      </c>
      <c r="S64" s="101" t="s">
        <v>17</v>
      </c>
      <c r="T64" s="101">
        <v>0</v>
      </c>
      <c r="U64" s="101" t="s">
        <v>18</v>
      </c>
      <c r="V64" s="101" t="s">
        <v>18</v>
      </c>
      <c r="W64" s="101" t="s">
        <v>18</v>
      </c>
      <c r="X64" s="101" t="s">
        <v>18</v>
      </c>
      <c r="Y64" s="101" t="s">
        <v>18</v>
      </c>
      <c r="Z64" s="101" t="s">
        <v>18</v>
      </c>
      <c r="AA64" s="101" t="s">
        <v>18</v>
      </c>
      <c r="AC64" s="101">
        <v>48</v>
      </c>
      <c r="AD64" s="101" t="s">
        <v>144</v>
      </c>
      <c r="AE64" s="20">
        <v>43693.669236111113</v>
      </c>
      <c r="AF64" s="101" t="s">
        <v>25</v>
      </c>
      <c r="AG64" s="101" t="s">
        <v>17</v>
      </c>
      <c r="AH64" s="101">
        <v>0</v>
      </c>
      <c r="AI64" s="101">
        <v>12.199</v>
      </c>
      <c r="AJ64" s="12">
        <v>2019</v>
      </c>
      <c r="AK64" s="101">
        <v>407.43799999999999</v>
      </c>
      <c r="AL64" s="101" t="s">
        <v>18</v>
      </c>
      <c r="AM64" s="101" t="s">
        <v>18</v>
      </c>
      <c r="AN64" s="101" t="s">
        <v>18</v>
      </c>
      <c r="AO64" s="101" t="s">
        <v>18</v>
      </c>
      <c r="AS64" s="7">
        <v>20</v>
      </c>
      <c r="AT64" s="108">
        <f t="shared" si="2"/>
        <v>1.2632084352780004</v>
      </c>
      <c r="AU64" s="108">
        <f t="shared" si="3"/>
        <v>417.67380673026003</v>
      </c>
      <c r="AV64" s="101">
        <f t="shared" si="4"/>
        <v>1.2632084352780004</v>
      </c>
      <c r="AW64" s="60">
        <f t="shared" si="5"/>
        <v>0.34724412125000015</v>
      </c>
      <c r="AX64" s="61">
        <f t="shared" si="6"/>
        <v>408.89672682002998</v>
      </c>
      <c r="AZ64" s="23">
        <f t="shared" si="7"/>
        <v>-0.30725568594999952</v>
      </c>
      <c r="BA64" s="103">
        <f t="shared" si="8"/>
        <v>382.10851837014002</v>
      </c>
      <c r="BC64" s="104">
        <f t="shared" si="9"/>
        <v>6.2218397300000117E-2</v>
      </c>
      <c r="BD64" s="105">
        <f t="shared" si="10"/>
        <v>313.52327126727999</v>
      </c>
      <c r="BF64" s="115">
        <f t="shared" si="0"/>
        <v>-1.5689913168</v>
      </c>
      <c r="BG64" s="116">
        <f t="shared" si="1"/>
        <v>190.84258108</v>
      </c>
    </row>
    <row r="65" spans="1:59" s="101" customFormat="1" ht="14.4" x14ac:dyDescent="0.3">
      <c r="A65" s="101">
        <v>50</v>
      </c>
      <c r="B65" s="101" t="s">
        <v>145</v>
      </c>
      <c r="C65" s="20">
        <v>43697.383472222224</v>
      </c>
      <c r="D65" s="101" t="s">
        <v>25</v>
      </c>
      <c r="E65" s="101" t="s">
        <v>17</v>
      </c>
      <c r="F65" s="101">
        <v>0</v>
      </c>
      <c r="G65" s="101">
        <v>6.0780000000000003</v>
      </c>
      <c r="H65" s="12">
        <v>1613</v>
      </c>
      <c r="I65" s="101">
        <v>1.706</v>
      </c>
      <c r="J65" s="101" t="s">
        <v>18</v>
      </c>
      <c r="K65" s="101" t="s">
        <v>18</v>
      </c>
      <c r="L65" s="101" t="s">
        <v>18</v>
      </c>
      <c r="M65" s="101" t="s">
        <v>18</v>
      </c>
      <c r="O65" s="101">
        <v>50</v>
      </c>
      <c r="P65" s="101" t="s">
        <v>145</v>
      </c>
      <c r="Q65" s="20">
        <v>43697.383472222224</v>
      </c>
      <c r="R65" s="101" t="s">
        <v>25</v>
      </c>
      <c r="S65" s="101" t="s">
        <v>17</v>
      </c>
      <c r="T65" s="101">
        <v>0</v>
      </c>
      <c r="U65" s="101" t="s">
        <v>18</v>
      </c>
      <c r="V65" s="101" t="s">
        <v>18</v>
      </c>
      <c r="W65" s="101" t="s">
        <v>18</v>
      </c>
      <c r="X65" s="101" t="s">
        <v>18</v>
      </c>
      <c r="Y65" s="101" t="s">
        <v>18</v>
      </c>
      <c r="Z65" s="101" t="s">
        <v>18</v>
      </c>
      <c r="AA65" s="101" t="s">
        <v>18</v>
      </c>
      <c r="AC65" s="101">
        <v>50</v>
      </c>
      <c r="AD65" s="101" t="s">
        <v>145</v>
      </c>
      <c r="AE65" s="20">
        <v>43697.383472222224</v>
      </c>
      <c r="AF65" s="101" t="s">
        <v>25</v>
      </c>
      <c r="AG65" s="101" t="s">
        <v>17</v>
      </c>
      <c r="AH65" s="101">
        <v>0</v>
      </c>
      <c r="AI65" s="101">
        <v>12.196999999999999</v>
      </c>
      <c r="AJ65" s="12">
        <v>2534</v>
      </c>
      <c r="AK65" s="101">
        <v>496.21600000000001</v>
      </c>
      <c r="AL65" s="101" t="s">
        <v>18</v>
      </c>
      <c r="AM65" s="101" t="s">
        <v>18</v>
      </c>
      <c r="AN65" s="101" t="s">
        <v>18</v>
      </c>
      <c r="AO65" s="101" t="s">
        <v>18</v>
      </c>
      <c r="AS65" s="7">
        <v>21</v>
      </c>
      <c r="AT65" s="108">
        <f t="shared" si="2"/>
        <v>1.0072989391020006</v>
      </c>
      <c r="AU65" s="108">
        <f t="shared" si="3"/>
        <v>496.91049183496</v>
      </c>
      <c r="AV65" s="101">
        <f t="shared" si="4"/>
        <v>1.0072989391020006</v>
      </c>
      <c r="AW65" s="60">
        <f t="shared" si="5"/>
        <v>4.745259124999901E-2</v>
      </c>
      <c r="AX65" s="61">
        <f t="shared" si="6"/>
        <v>504.23054403788001</v>
      </c>
      <c r="AZ65" s="23">
        <f t="shared" si="7"/>
        <v>-0.69927351354999967</v>
      </c>
      <c r="BA65" s="103">
        <f t="shared" si="8"/>
        <v>480.53839200344004</v>
      </c>
      <c r="BC65" s="104">
        <f t="shared" si="9"/>
        <v>-8.0269264300000032E-2</v>
      </c>
      <c r="BD65" s="105">
        <f t="shared" si="10"/>
        <v>419.91393209887991</v>
      </c>
      <c r="BF65" s="115">
        <f t="shared" si="0"/>
        <v>-1.7294120112</v>
      </c>
      <c r="BG65" s="116">
        <f t="shared" si="1"/>
        <v>242.86110368000004</v>
      </c>
    </row>
    <row r="66" spans="1:59" s="101" customFormat="1" ht="14.4" x14ac:dyDescent="0.3">
      <c r="A66" s="101">
        <v>24</v>
      </c>
      <c r="B66" s="101" t="s">
        <v>146</v>
      </c>
      <c r="C66" s="20">
        <v>43699.445925925924</v>
      </c>
      <c r="D66" s="101" t="s">
        <v>25</v>
      </c>
      <c r="E66" s="101" t="s">
        <v>17</v>
      </c>
      <c r="F66" s="101">
        <v>0</v>
      </c>
      <c r="G66" s="101">
        <v>6.0919999999999996</v>
      </c>
      <c r="H66" s="12">
        <v>1955</v>
      </c>
      <c r="I66" s="101">
        <v>2.484</v>
      </c>
      <c r="J66" s="101" t="s">
        <v>18</v>
      </c>
      <c r="K66" s="101" t="s">
        <v>18</v>
      </c>
      <c r="L66" s="101" t="s">
        <v>18</v>
      </c>
      <c r="M66" s="101" t="s">
        <v>18</v>
      </c>
      <c r="O66" s="101">
        <v>24</v>
      </c>
      <c r="P66" s="101" t="s">
        <v>146</v>
      </c>
      <c r="Q66" s="20">
        <v>43699.445925925924</v>
      </c>
      <c r="R66" s="101" t="s">
        <v>25</v>
      </c>
      <c r="S66" s="101" t="s">
        <v>17</v>
      </c>
      <c r="T66" s="101">
        <v>0</v>
      </c>
      <c r="U66" s="101" t="s">
        <v>18</v>
      </c>
      <c r="V66" s="101" t="s">
        <v>18</v>
      </c>
      <c r="W66" s="101" t="s">
        <v>18</v>
      </c>
      <c r="X66" s="101" t="s">
        <v>18</v>
      </c>
      <c r="Y66" s="101" t="s">
        <v>18</v>
      </c>
      <c r="Z66" s="101" t="s">
        <v>18</v>
      </c>
      <c r="AA66" s="101" t="s">
        <v>18</v>
      </c>
      <c r="AC66" s="101">
        <v>24</v>
      </c>
      <c r="AD66" s="101" t="s">
        <v>146</v>
      </c>
      <c r="AE66" s="20">
        <v>43699.445925925924</v>
      </c>
      <c r="AF66" s="101" t="s">
        <v>25</v>
      </c>
      <c r="AG66" s="101" t="s">
        <v>17</v>
      </c>
      <c r="AH66" s="101">
        <v>0</v>
      </c>
      <c r="AI66" s="101">
        <v>12.209</v>
      </c>
      <c r="AJ66" s="12">
        <v>2254</v>
      </c>
      <c r="AK66" s="101">
        <v>447.92399999999998</v>
      </c>
      <c r="AL66" s="101" t="s">
        <v>18</v>
      </c>
      <c r="AM66" s="101" t="s">
        <v>18</v>
      </c>
      <c r="AN66" s="101" t="s">
        <v>18</v>
      </c>
      <c r="AO66" s="101" t="s">
        <v>18</v>
      </c>
      <c r="AS66" s="7">
        <v>22</v>
      </c>
      <c r="AT66" s="108">
        <f t="shared" si="2"/>
        <v>1.818363889950001</v>
      </c>
      <c r="AU66" s="108">
        <f t="shared" si="3"/>
        <v>453.82951933255993</v>
      </c>
      <c r="AV66" s="101">
        <f t="shared" si="4"/>
        <v>1.818363889950001</v>
      </c>
      <c r="AW66" s="60">
        <f t="shared" si="5"/>
        <v>0.99849303124999889</v>
      </c>
      <c r="AX66" s="61">
        <f t="shared" si="6"/>
        <v>452.40269601068002</v>
      </c>
      <c r="AZ66" s="23">
        <f t="shared" si="7"/>
        <v>0.53747865124999983</v>
      </c>
      <c r="BA66" s="103">
        <f t="shared" si="8"/>
        <v>427.02419080984004</v>
      </c>
      <c r="BC66" s="104">
        <f t="shared" si="9"/>
        <v>0.38256973250000015</v>
      </c>
      <c r="BD66" s="105">
        <f t="shared" si="10"/>
        <v>362.07214523168</v>
      </c>
      <c r="BF66" s="115">
        <f t="shared" si="0"/>
        <v>-1.2201967200000001</v>
      </c>
      <c r="BG66" s="116">
        <f t="shared" si="1"/>
        <v>214.69236447999998</v>
      </c>
    </row>
    <row r="67" spans="1:59" s="101" customFormat="1" ht="14.4" x14ac:dyDescent="0.3">
      <c r="A67" s="101">
        <v>52</v>
      </c>
      <c r="B67" s="101" t="s">
        <v>147</v>
      </c>
      <c r="C67" s="20">
        <v>43700.742337962962</v>
      </c>
      <c r="D67" s="101" t="s">
        <v>25</v>
      </c>
      <c r="E67" s="101" t="s">
        <v>17</v>
      </c>
      <c r="F67" s="101">
        <v>0</v>
      </c>
      <c r="G67" s="101">
        <v>6.0919999999999996</v>
      </c>
      <c r="H67" s="12">
        <v>1730</v>
      </c>
      <c r="I67" s="101">
        <v>1.9730000000000001</v>
      </c>
      <c r="J67" s="101" t="s">
        <v>18</v>
      </c>
      <c r="K67" s="101" t="s">
        <v>18</v>
      </c>
      <c r="L67" s="101" t="s">
        <v>18</v>
      </c>
      <c r="M67" s="101" t="s">
        <v>18</v>
      </c>
      <c r="O67" s="101">
        <v>52</v>
      </c>
      <c r="P67" s="101" t="s">
        <v>147</v>
      </c>
      <c r="Q67" s="20">
        <v>43700.742337962962</v>
      </c>
      <c r="R67" s="101" t="s">
        <v>25</v>
      </c>
      <c r="S67" s="101" t="s">
        <v>17</v>
      </c>
      <c r="T67" s="101">
        <v>0</v>
      </c>
      <c r="U67" s="101" t="s">
        <v>18</v>
      </c>
      <c r="V67" s="101" t="s">
        <v>18</v>
      </c>
      <c r="W67" s="101" t="s">
        <v>18</v>
      </c>
      <c r="X67" s="101" t="s">
        <v>18</v>
      </c>
      <c r="Y67" s="101" t="s">
        <v>18</v>
      </c>
      <c r="Z67" s="101" t="s">
        <v>18</v>
      </c>
      <c r="AA67" s="101" t="s">
        <v>18</v>
      </c>
      <c r="AC67" s="101">
        <v>52</v>
      </c>
      <c r="AD67" s="101" t="s">
        <v>147</v>
      </c>
      <c r="AE67" s="20">
        <v>43700.742337962962</v>
      </c>
      <c r="AF67" s="101" t="s">
        <v>25</v>
      </c>
      <c r="AG67" s="101" t="s">
        <v>17</v>
      </c>
      <c r="AH67" s="101">
        <v>0</v>
      </c>
      <c r="AI67" s="101">
        <v>12.218999999999999</v>
      </c>
      <c r="AJ67" s="12">
        <v>1825</v>
      </c>
      <c r="AK67" s="101">
        <v>374.02100000000002</v>
      </c>
      <c r="AL67" s="101" t="s">
        <v>18</v>
      </c>
      <c r="AM67" s="101" t="s">
        <v>18</v>
      </c>
      <c r="AN67" s="101" t="s">
        <v>18</v>
      </c>
      <c r="AO67" s="101" t="s">
        <v>18</v>
      </c>
      <c r="AS67" s="7">
        <v>23</v>
      </c>
      <c r="AT67" s="108">
        <f t="shared" si="2"/>
        <v>1.2845432382000008</v>
      </c>
      <c r="AU67" s="108">
        <f t="shared" si="3"/>
        <v>387.8271657125</v>
      </c>
      <c r="AV67" s="101">
        <f t="shared" si="4"/>
        <v>1.2845432382000008</v>
      </c>
      <c r="AW67" s="60">
        <f t="shared" si="5"/>
        <v>0.37224912499999885</v>
      </c>
      <c r="AX67" s="61">
        <f t="shared" si="6"/>
        <v>372.97593666875002</v>
      </c>
      <c r="AZ67" s="23">
        <f t="shared" si="7"/>
        <v>-0.27464855499999974</v>
      </c>
      <c r="BA67" s="103">
        <f t="shared" si="8"/>
        <v>345.02784403750002</v>
      </c>
      <c r="BC67" s="104">
        <f t="shared" si="9"/>
        <v>7.4245370000000088E-2</v>
      </c>
      <c r="BD67" s="105">
        <f t="shared" si="10"/>
        <v>273.44250244999995</v>
      </c>
      <c r="BF67" s="115">
        <f t="shared" si="0"/>
        <v>-1.5556069200000002</v>
      </c>
      <c r="BG67" s="116">
        <f t="shared" si="1"/>
        <v>171.01067499999999</v>
      </c>
    </row>
    <row r="68" spans="1:59" s="101" customFormat="1" ht="14.4" x14ac:dyDescent="0.3">
      <c r="A68" s="101">
        <v>57</v>
      </c>
      <c r="B68" s="101" t="s">
        <v>148</v>
      </c>
      <c r="C68" s="20">
        <v>43710.693437499998</v>
      </c>
      <c r="D68" s="101" t="s">
        <v>25</v>
      </c>
      <c r="E68" s="101" t="s">
        <v>17</v>
      </c>
      <c r="F68" s="101">
        <v>0</v>
      </c>
      <c r="G68" s="101">
        <v>6.0940000000000003</v>
      </c>
      <c r="H68" s="12">
        <v>1586</v>
      </c>
      <c r="I68" s="101">
        <v>1.645</v>
      </c>
      <c r="J68" s="101" t="s">
        <v>18</v>
      </c>
      <c r="K68" s="101" t="s">
        <v>18</v>
      </c>
      <c r="L68" s="101" t="s">
        <v>18</v>
      </c>
      <c r="M68" s="101" t="s">
        <v>18</v>
      </c>
      <c r="O68" s="101">
        <v>57</v>
      </c>
      <c r="P68" s="101" t="s">
        <v>148</v>
      </c>
      <c r="Q68" s="20">
        <v>43710.693437499998</v>
      </c>
      <c r="R68" s="101" t="s">
        <v>25</v>
      </c>
      <c r="S68" s="101" t="s">
        <v>17</v>
      </c>
      <c r="T68" s="101">
        <v>0</v>
      </c>
      <c r="U68" s="101" t="s">
        <v>18</v>
      </c>
      <c r="V68" s="101" t="s">
        <v>18</v>
      </c>
      <c r="W68" s="101" t="s">
        <v>18</v>
      </c>
      <c r="X68" s="101" t="s">
        <v>18</v>
      </c>
      <c r="Y68" s="101" t="s">
        <v>18</v>
      </c>
      <c r="Z68" s="101" t="s">
        <v>18</v>
      </c>
      <c r="AA68" s="101" t="s">
        <v>18</v>
      </c>
      <c r="AC68" s="101">
        <v>57</v>
      </c>
      <c r="AD68" s="101" t="s">
        <v>148</v>
      </c>
      <c r="AE68" s="20">
        <v>43710.693437499998</v>
      </c>
      <c r="AF68" s="101" t="s">
        <v>25</v>
      </c>
      <c r="AG68" s="101" t="s">
        <v>17</v>
      </c>
      <c r="AH68" s="101">
        <v>0</v>
      </c>
      <c r="AI68" s="101">
        <v>12.207000000000001</v>
      </c>
      <c r="AJ68" s="12">
        <v>2034</v>
      </c>
      <c r="AK68" s="101">
        <v>410.01299999999998</v>
      </c>
      <c r="AL68" s="101" t="s">
        <v>18</v>
      </c>
      <c r="AM68" s="101" t="s">
        <v>18</v>
      </c>
      <c r="AN68" s="101" t="s">
        <v>18</v>
      </c>
      <c r="AO68" s="101" t="s">
        <v>18</v>
      </c>
      <c r="AS68" s="7">
        <v>24</v>
      </c>
      <c r="AT68" s="108">
        <f t="shared" si="2"/>
        <v>0.94335275896800042</v>
      </c>
      <c r="AU68" s="108">
        <f t="shared" si="3"/>
        <v>419.98157639495992</v>
      </c>
      <c r="AV68" s="101">
        <f t="shared" si="4"/>
        <v>0.94335275896800042</v>
      </c>
      <c r="AW68" s="60">
        <f t="shared" si="5"/>
        <v>-2.7417835000000501E-2</v>
      </c>
      <c r="AX68" s="61">
        <f t="shared" si="6"/>
        <v>411.67391071788001</v>
      </c>
      <c r="AZ68" s="23">
        <f t="shared" si="7"/>
        <v>-0.79748919819999919</v>
      </c>
      <c r="BA68" s="103">
        <f t="shared" si="8"/>
        <v>384.97552984343997</v>
      </c>
      <c r="BC68" s="104">
        <f t="shared" si="9"/>
        <v>-0.11536156120000007</v>
      </c>
      <c r="BD68" s="105">
        <f t="shared" si="10"/>
        <v>316.62221977887998</v>
      </c>
      <c r="BF68" s="115">
        <f t="shared" si="0"/>
        <v>-1.7694617807999999</v>
      </c>
      <c r="BG68" s="116">
        <f t="shared" si="1"/>
        <v>192.37058368000004</v>
      </c>
    </row>
    <row r="69" spans="1:59" s="101" customFormat="1" ht="14.4" x14ac:dyDescent="0.3">
      <c r="A69" s="101">
        <v>59</v>
      </c>
      <c r="B69" s="101" t="s">
        <v>149</v>
      </c>
      <c r="C69" s="20">
        <v>43713.359664351854</v>
      </c>
      <c r="D69" s="101" t="s">
        <v>25</v>
      </c>
      <c r="E69" s="101" t="s">
        <v>17</v>
      </c>
      <c r="F69" s="101">
        <v>0</v>
      </c>
      <c r="G69" s="101">
        <v>6.0869999999999997</v>
      </c>
      <c r="H69" s="12">
        <v>2155</v>
      </c>
      <c r="I69" s="101">
        <v>2.9409999999999998</v>
      </c>
      <c r="J69" s="101" t="s">
        <v>18</v>
      </c>
      <c r="K69" s="101" t="s">
        <v>18</v>
      </c>
      <c r="L69" s="101" t="s">
        <v>18</v>
      </c>
      <c r="M69" s="101" t="s">
        <v>18</v>
      </c>
      <c r="O69" s="101">
        <v>59</v>
      </c>
      <c r="P69" s="101" t="s">
        <v>149</v>
      </c>
      <c r="Q69" s="20">
        <v>43713.359664351854</v>
      </c>
      <c r="R69" s="101" t="s">
        <v>25</v>
      </c>
      <c r="S69" s="101" t="s">
        <v>17</v>
      </c>
      <c r="T69" s="101">
        <v>0</v>
      </c>
      <c r="U69" s="101" t="s">
        <v>18</v>
      </c>
      <c r="V69" s="101" t="s">
        <v>18</v>
      </c>
      <c r="W69" s="101" t="s">
        <v>18</v>
      </c>
      <c r="X69" s="101" t="s">
        <v>18</v>
      </c>
      <c r="Y69" s="101" t="s">
        <v>18</v>
      </c>
      <c r="Z69" s="101" t="s">
        <v>18</v>
      </c>
      <c r="AA69" s="101" t="s">
        <v>18</v>
      </c>
      <c r="AC69" s="101">
        <v>59</v>
      </c>
      <c r="AD69" s="101" t="s">
        <v>149</v>
      </c>
      <c r="AE69" s="20">
        <v>43713.359664351854</v>
      </c>
      <c r="AF69" s="101" t="s">
        <v>25</v>
      </c>
      <c r="AG69" s="101" t="s">
        <v>17</v>
      </c>
      <c r="AH69" s="101">
        <v>0</v>
      </c>
      <c r="AI69" s="101">
        <v>12.215</v>
      </c>
      <c r="AJ69" s="12">
        <v>2215</v>
      </c>
      <c r="AK69" s="101">
        <v>441.24900000000002</v>
      </c>
      <c r="AL69" s="101" t="s">
        <v>18</v>
      </c>
      <c r="AM69" s="101" t="s">
        <v>18</v>
      </c>
      <c r="AN69" s="101" t="s">
        <v>18</v>
      </c>
      <c r="AO69" s="101" t="s">
        <v>18</v>
      </c>
      <c r="AS69" s="7">
        <v>25</v>
      </c>
      <c r="AT69" s="108">
        <f t="shared" si="2"/>
        <v>2.2935985659500004</v>
      </c>
      <c r="AU69" s="108">
        <f t="shared" si="3"/>
        <v>447.82911280849999</v>
      </c>
      <c r="AV69" s="101">
        <f t="shared" si="4"/>
        <v>2.2935985659500004</v>
      </c>
      <c r="AW69" s="60">
        <f t="shared" si="5"/>
        <v>1.5569605312499997</v>
      </c>
      <c r="AX69" s="61">
        <f t="shared" si="6"/>
        <v>445.18303625674997</v>
      </c>
      <c r="AZ69" s="23">
        <f t="shared" si="7"/>
        <v>1.2544437512499993</v>
      </c>
      <c r="BA69" s="103">
        <f t="shared" si="8"/>
        <v>419.57022478150003</v>
      </c>
      <c r="BC69" s="104">
        <f t="shared" si="9"/>
        <v>0.66898633250000006</v>
      </c>
      <c r="BD69" s="105">
        <f t="shared" si="10"/>
        <v>354.01529313799995</v>
      </c>
      <c r="BF69" s="115">
        <f t="shared" si="0"/>
        <v>-0.92076232000000013</v>
      </c>
      <c r="BG69" s="116">
        <f t="shared" si="1"/>
        <v>210.74746300000004</v>
      </c>
    </row>
    <row r="70" spans="1:59" s="101" customFormat="1" ht="14.4" x14ac:dyDescent="0.3">
      <c r="A70" s="101">
        <v>22</v>
      </c>
      <c r="B70" s="101" t="s">
        <v>150</v>
      </c>
      <c r="C70" s="20">
        <v>43725.396747685183</v>
      </c>
      <c r="D70" s="101" t="s">
        <v>25</v>
      </c>
      <c r="E70" s="101" t="s">
        <v>17</v>
      </c>
      <c r="F70" s="101">
        <v>0</v>
      </c>
      <c r="G70" s="101">
        <v>6.0659999999999998</v>
      </c>
      <c r="H70" s="12">
        <v>2169</v>
      </c>
      <c r="I70" s="101">
        <v>2.9710000000000001</v>
      </c>
      <c r="J70" s="101" t="s">
        <v>18</v>
      </c>
      <c r="K70" s="101" t="s">
        <v>18</v>
      </c>
      <c r="L70" s="101" t="s">
        <v>18</v>
      </c>
      <c r="M70" s="101" t="s">
        <v>18</v>
      </c>
      <c r="O70" s="101">
        <v>22</v>
      </c>
      <c r="P70" s="101" t="s">
        <v>150</v>
      </c>
      <c r="Q70" s="20">
        <v>43725.396747685183</v>
      </c>
      <c r="R70" s="101" t="s">
        <v>25</v>
      </c>
      <c r="S70" s="101" t="s">
        <v>17</v>
      </c>
      <c r="T70" s="101">
        <v>0</v>
      </c>
      <c r="U70" s="101" t="s">
        <v>18</v>
      </c>
      <c r="V70" s="101" t="s">
        <v>18</v>
      </c>
      <c r="W70" s="101" t="s">
        <v>18</v>
      </c>
      <c r="X70" s="101" t="s">
        <v>18</v>
      </c>
      <c r="Y70" s="101" t="s">
        <v>18</v>
      </c>
      <c r="Z70" s="101" t="s">
        <v>18</v>
      </c>
      <c r="AA70" s="101" t="s">
        <v>18</v>
      </c>
      <c r="AC70" s="101">
        <v>22</v>
      </c>
      <c r="AD70" s="101" t="s">
        <v>150</v>
      </c>
      <c r="AE70" s="20">
        <v>43725.396747685183</v>
      </c>
      <c r="AF70" s="101" t="s">
        <v>25</v>
      </c>
      <c r="AG70" s="101" t="s">
        <v>17</v>
      </c>
      <c r="AH70" s="101">
        <v>0</v>
      </c>
      <c r="AI70" s="101">
        <v>12.202999999999999</v>
      </c>
      <c r="AJ70" s="12">
        <v>2572</v>
      </c>
      <c r="AK70" s="101">
        <v>502.67399999999998</v>
      </c>
      <c r="AL70" s="101" t="s">
        <v>18</v>
      </c>
      <c r="AM70" s="101" t="s">
        <v>18</v>
      </c>
      <c r="AN70" s="101" t="s">
        <v>18</v>
      </c>
      <c r="AO70" s="101" t="s">
        <v>18</v>
      </c>
      <c r="AS70" s="7">
        <v>26</v>
      </c>
      <c r="AT70" s="108">
        <f t="shared" si="2"/>
        <v>2.3268906330380008</v>
      </c>
      <c r="AU70" s="108">
        <f t="shared" si="3"/>
        <v>502.75734822944003</v>
      </c>
      <c r="AV70" s="101">
        <f t="shared" si="4"/>
        <v>2.3268906330380008</v>
      </c>
      <c r="AW70" s="60">
        <f t="shared" si="5"/>
        <v>1.5961169212499993</v>
      </c>
      <c r="AX70" s="61">
        <f t="shared" si="6"/>
        <v>511.26356490032003</v>
      </c>
      <c r="AZ70" s="23">
        <f t="shared" si="7"/>
        <v>1.3044576900500005</v>
      </c>
      <c r="BA70" s="103">
        <f t="shared" si="8"/>
        <v>487.80083710816001</v>
      </c>
      <c r="BC70" s="104">
        <f t="shared" si="9"/>
        <v>0.68947081330000004</v>
      </c>
      <c r="BD70" s="105">
        <f t="shared" si="10"/>
        <v>427.76358050431992</v>
      </c>
      <c r="BF70" s="115">
        <f t="shared" si="0"/>
        <v>-0.8997563728000002</v>
      </c>
      <c r="BG70" s="116">
        <f t="shared" si="1"/>
        <v>246.66321951999998</v>
      </c>
    </row>
    <row r="71" spans="1:59" s="101" customFormat="1" ht="14.4" x14ac:dyDescent="0.3">
      <c r="A71" s="101">
        <v>63</v>
      </c>
      <c r="B71" s="101" t="s">
        <v>151</v>
      </c>
      <c r="C71" s="20">
        <v>43731.419814814813</v>
      </c>
      <c r="D71" s="101" t="s">
        <v>25</v>
      </c>
      <c r="E71" s="101" t="s">
        <v>17</v>
      </c>
      <c r="F71" s="101">
        <v>0</v>
      </c>
      <c r="G71" s="101">
        <v>6.0830000000000002</v>
      </c>
      <c r="H71" s="12">
        <v>1924</v>
      </c>
      <c r="I71" s="101">
        <v>2.415</v>
      </c>
      <c r="J71" s="101" t="s">
        <v>18</v>
      </c>
      <c r="K71" s="101" t="s">
        <v>18</v>
      </c>
      <c r="L71" s="101" t="s">
        <v>18</v>
      </c>
      <c r="M71" s="101" t="s">
        <v>18</v>
      </c>
      <c r="O71" s="101">
        <v>63</v>
      </c>
      <c r="P71" s="101" t="s">
        <v>151</v>
      </c>
      <c r="Q71" s="20">
        <v>43731.419814814813</v>
      </c>
      <c r="R71" s="101" t="s">
        <v>25</v>
      </c>
      <c r="S71" s="101" t="s">
        <v>17</v>
      </c>
      <c r="T71" s="101">
        <v>0</v>
      </c>
      <c r="U71" s="101" t="s">
        <v>18</v>
      </c>
      <c r="V71" s="101" t="s">
        <v>18</v>
      </c>
      <c r="W71" s="101" t="s">
        <v>18</v>
      </c>
      <c r="X71" s="101" t="s">
        <v>18</v>
      </c>
      <c r="Y71" s="101" t="s">
        <v>18</v>
      </c>
      <c r="Z71" s="101" t="s">
        <v>18</v>
      </c>
      <c r="AA71" s="101" t="s">
        <v>18</v>
      </c>
      <c r="AC71" s="101">
        <v>63</v>
      </c>
      <c r="AD71" s="101" t="s">
        <v>151</v>
      </c>
      <c r="AE71" s="20">
        <v>43731.419814814813</v>
      </c>
      <c r="AF71" s="101" t="s">
        <v>25</v>
      </c>
      <c r="AG71" s="101" t="s">
        <v>17</v>
      </c>
      <c r="AH71" s="101">
        <v>0</v>
      </c>
      <c r="AI71" s="101">
        <v>12.22</v>
      </c>
      <c r="AJ71" s="12">
        <v>2770</v>
      </c>
      <c r="AK71" s="101">
        <v>536.84299999999996</v>
      </c>
      <c r="AL71" s="101" t="s">
        <v>18</v>
      </c>
      <c r="AM71" s="101" t="s">
        <v>18</v>
      </c>
      <c r="AN71" s="101" t="s">
        <v>18</v>
      </c>
      <c r="AO71" s="101" t="s">
        <v>18</v>
      </c>
      <c r="AS71" s="7">
        <v>27</v>
      </c>
      <c r="AT71" s="108">
        <f t="shared" si="2"/>
        <v>1.7447637990080005</v>
      </c>
      <c r="AU71" s="108">
        <f t="shared" si="3"/>
        <v>533.22313891399995</v>
      </c>
      <c r="AV71" s="101">
        <f t="shared" si="4"/>
        <v>1.7447637990080005</v>
      </c>
      <c r="AW71" s="60">
        <f t="shared" si="5"/>
        <v>0.91208273999999978</v>
      </c>
      <c r="AX71" s="61">
        <f t="shared" si="6"/>
        <v>547.90637206700001</v>
      </c>
      <c r="AZ71" s="23">
        <f t="shared" si="7"/>
        <v>0.42593408079999939</v>
      </c>
      <c r="BA71" s="103">
        <f t="shared" si="8"/>
        <v>525.64123864600003</v>
      </c>
      <c r="BC71" s="104">
        <f t="shared" si="9"/>
        <v>0.33921565279999988</v>
      </c>
      <c r="BD71" s="105">
        <f t="shared" si="10"/>
        <v>468.66318759199993</v>
      </c>
      <c r="BF71" s="115">
        <f t="shared" si="0"/>
        <v>-1.2665002047999998</v>
      </c>
      <c r="BG71" s="116">
        <f t="shared" si="1"/>
        <v>266.39387200000004</v>
      </c>
    </row>
    <row r="72" spans="1:59" s="101" customFormat="1" ht="14.4" x14ac:dyDescent="0.3">
      <c r="A72" s="101">
        <v>65</v>
      </c>
      <c r="B72" s="101" t="s">
        <v>152</v>
      </c>
      <c r="C72" s="20">
        <v>43738.392766203702</v>
      </c>
      <c r="D72" s="101" t="s">
        <v>25</v>
      </c>
      <c r="E72" s="101" t="s">
        <v>17</v>
      </c>
      <c r="F72" s="101">
        <v>0</v>
      </c>
      <c r="G72" s="101">
        <v>6.085</v>
      </c>
      <c r="H72" s="12">
        <v>2329</v>
      </c>
      <c r="I72" s="101">
        <v>3.3370000000000002</v>
      </c>
      <c r="J72" s="101" t="s">
        <v>18</v>
      </c>
      <c r="K72" s="101" t="s">
        <v>18</v>
      </c>
      <c r="L72" s="101" t="s">
        <v>18</v>
      </c>
      <c r="M72" s="101" t="s">
        <v>18</v>
      </c>
      <c r="O72" s="101">
        <v>65</v>
      </c>
      <c r="P72" s="101" t="s">
        <v>152</v>
      </c>
      <c r="Q72" s="20">
        <v>43738.392766203702</v>
      </c>
      <c r="R72" s="101" t="s">
        <v>25</v>
      </c>
      <c r="S72" s="101" t="s">
        <v>17</v>
      </c>
      <c r="T72" s="101">
        <v>0</v>
      </c>
      <c r="U72" s="101" t="s">
        <v>18</v>
      </c>
      <c r="V72" s="101" t="s">
        <v>18</v>
      </c>
      <c r="W72" s="101" t="s">
        <v>18</v>
      </c>
      <c r="X72" s="101" t="s">
        <v>18</v>
      </c>
      <c r="Y72" s="101" t="s">
        <v>18</v>
      </c>
      <c r="Z72" s="101" t="s">
        <v>18</v>
      </c>
      <c r="AA72" s="101" t="s">
        <v>18</v>
      </c>
      <c r="AC72" s="101">
        <v>65</v>
      </c>
      <c r="AD72" s="101" t="s">
        <v>152</v>
      </c>
      <c r="AE72" s="20">
        <v>43738.392766203702</v>
      </c>
      <c r="AF72" s="101" t="s">
        <v>25</v>
      </c>
      <c r="AG72" s="101" t="s">
        <v>17</v>
      </c>
      <c r="AH72" s="101">
        <v>0</v>
      </c>
      <c r="AI72" s="101">
        <v>12.222</v>
      </c>
      <c r="AJ72" s="12">
        <v>2201</v>
      </c>
      <c r="AK72" s="101">
        <v>438.78699999999998</v>
      </c>
      <c r="AL72" s="101" t="s">
        <v>18</v>
      </c>
      <c r="AM72" s="101" t="s">
        <v>18</v>
      </c>
      <c r="AN72" s="101" t="s">
        <v>18</v>
      </c>
      <c r="AO72" s="101" t="s">
        <v>18</v>
      </c>
      <c r="AS72" s="7">
        <v>28</v>
      </c>
      <c r="AT72" s="108">
        <f t="shared" si="2"/>
        <v>2.7076096544780008</v>
      </c>
      <c r="AU72" s="108">
        <f t="shared" si="3"/>
        <v>445.67513011665994</v>
      </c>
      <c r="AV72" s="101">
        <f t="shared" si="4"/>
        <v>2.7076096544780008</v>
      </c>
      <c r="AW72" s="60">
        <f t="shared" si="5"/>
        <v>2.0442101212499999</v>
      </c>
      <c r="AX72" s="61">
        <f t="shared" si="6"/>
        <v>442.59131694923002</v>
      </c>
      <c r="AZ72" s="23">
        <f t="shared" si="7"/>
        <v>1.8744322340500013</v>
      </c>
      <c r="BA72" s="103">
        <f t="shared" si="8"/>
        <v>416.89443003974003</v>
      </c>
      <c r="BC72" s="104">
        <f t="shared" si="9"/>
        <v>0.92762431730000006</v>
      </c>
      <c r="BD72" s="105">
        <f t="shared" si="10"/>
        <v>351.12307088647998</v>
      </c>
      <c r="BF72" s="115">
        <f t="shared" si="0"/>
        <v>-0.65926523680000004</v>
      </c>
      <c r="BG72" s="116">
        <f t="shared" si="1"/>
        <v>209.33006827999998</v>
      </c>
    </row>
    <row r="73" spans="1:59" s="101" customFormat="1" ht="14.4" x14ac:dyDescent="0.3">
      <c r="A73" s="101">
        <v>67</v>
      </c>
      <c r="B73" s="101" t="s">
        <v>153</v>
      </c>
      <c r="C73" s="20">
        <v>43745.365636574075</v>
      </c>
      <c r="D73" s="101" t="s">
        <v>25</v>
      </c>
      <c r="E73" s="101" t="s">
        <v>17</v>
      </c>
      <c r="F73" s="101">
        <v>0</v>
      </c>
      <c r="G73" s="101">
        <v>6.117</v>
      </c>
      <c r="H73" s="12">
        <v>1809</v>
      </c>
      <c r="I73" s="101">
        <v>2.153</v>
      </c>
      <c r="J73" s="101" t="s">
        <v>18</v>
      </c>
      <c r="K73" s="101" t="s">
        <v>18</v>
      </c>
      <c r="L73" s="101" t="s">
        <v>18</v>
      </c>
      <c r="M73" s="101" t="s">
        <v>18</v>
      </c>
      <c r="O73" s="101">
        <v>67</v>
      </c>
      <c r="P73" s="101" t="s">
        <v>153</v>
      </c>
      <c r="Q73" s="20">
        <v>43745.365636574075</v>
      </c>
      <c r="R73" s="101" t="s">
        <v>25</v>
      </c>
      <c r="S73" s="101" t="s">
        <v>17</v>
      </c>
      <c r="T73" s="101">
        <v>0</v>
      </c>
      <c r="U73" s="101" t="s">
        <v>18</v>
      </c>
      <c r="V73" s="101" t="s">
        <v>18</v>
      </c>
      <c r="W73" s="101" t="s">
        <v>18</v>
      </c>
      <c r="X73" s="101" t="s">
        <v>18</v>
      </c>
      <c r="Y73" s="101" t="s">
        <v>18</v>
      </c>
      <c r="Z73" s="101" t="s">
        <v>18</v>
      </c>
      <c r="AA73" s="101" t="s">
        <v>18</v>
      </c>
      <c r="AC73" s="101">
        <v>67</v>
      </c>
      <c r="AD73" s="101" t="s">
        <v>153</v>
      </c>
      <c r="AE73" s="20">
        <v>43745.365636574075</v>
      </c>
      <c r="AF73" s="101" t="s">
        <v>25</v>
      </c>
      <c r="AG73" s="101" t="s">
        <v>17</v>
      </c>
      <c r="AH73" s="101">
        <v>0</v>
      </c>
      <c r="AI73" s="101">
        <v>12.244</v>
      </c>
      <c r="AJ73" s="12">
        <v>2374</v>
      </c>
      <c r="AK73" s="101">
        <v>468.63900000000001</v>
      </c>
      <c r="AL73" s="101" t="s">
        <v>18</v>
      </c>
      <c r="AM73" s="101" t="s">
        <v>18</v>
      </c>
      <c r="AN73" s="101" t="s">
        <v>18</v>
      </c>
      <c r="AO73" s="101" t="s">
        <v>18</v>
      </c>
      <c r="AS73" s="7">
        <v>29</v>
      </c>
      <c r="AT73" s="108">
        <f t="shared" si="2"/>
        <v>1.471874892398001</v>
      </c>
      <c r="AU73" s="108">
        <f t="shared" si="3"/>
        <v>472.29255019016</v>
      </c>
      <c r="AV73" s="101">
        <f t="shared" si="4"/>
        <v>1.471874892398001</v>
      </c>
      <c r="AW73" s="60">
        <f t="shared" si="5"/>
        <v>0.5918852212499992</v>
      </c>
      <c r="AX73" s="61">
        <f t="shared" si="6"/>
        <v>474.61583606348</v>
      </c>
      <c r="AZ73" s="23">
        <f t="shared" si="7"/>
        <v>1.1166726049999909E-2</v>
      </c>
      <c r="BA73" s="103">
        <f t="shared" si="8"/>
        <v>449.95916065624004</v>
      </c>
      <c r="BC73" s="104">
        <f t="shared" si="9"/>
        <v>0.18082558929999992</v>
      </c>
      <c r="BD73" s="105">
        <f t="shared" si="10"/>
        <v>386.86197244448005</v>
      </c>
      <c r="BF73" s="115">
        <f t="shared" si="0"/>
        <v>-1.4380159888000001</v>
      </c>
      <c r="BG73" s="116">
        <f t="shared" si="1"/>
        <v>226.79770528</v>
      </c>
    </row>
    <row r="74" spans="1:59" s="101" customFormat="1" ht="14.4" x14ac:dyDescent="0.3">
      <c r="A74" s="101">
        <v>20</v>
      </c>
      <c r="B74" s="101" t="s">
        <v>154</v>
      </c>
      <c r="C74" s="20">
        <v>43747.433749999997</v>
      </c>
      <c r="D74" s="101" t="s">
        <v>25</v>
      </c>
      <c r="E74" s="101" t="s">
        <v>17</v>
      </c>
      <c r="F74" s="101">
        <v>0</v>
      </c>
      <c r="G74" s="101">
        <v>6.1260000000000003</v>
      </c>
      <c r="H74" s="12">
        <v>2430</v>
      </c>
      <c r="I74" s="101">
        <v>3.5670000000000002</v>
      </c>
      <c r="J74" s="101" t="s">
        <v>18</v>
      </c>
      <c r="K74" s="101" t="s">
        <v>18</v>
      </c>
      <c r="L74" s="101" t="s">
        <v>18</v>
      </c>
      <c r="M74" s="101" t="s">
        <v>18</v>
      </c>
      <c r="O74" s="101">
        <v>20</v>
      </c>
      <c r="P74" s="101" t="s">
        <v>154</v>
      </c>
      <c r="Q74" s="20">
        <v>43747.433749999997</v>
      </c>
      <c r="R74" s="101" t="s">
        <v>25</v>
      </c>
      <c r="S74" s="101" t="s">
        <v>17</v>
      </c>
      <c r="T74" s="101">
        <v>0</v>
      </c>
      <c r="U74" s="101" t="s">
        <v>18</v>
      </c>
      <c r="V74" s="101" t="s">
        <v>18</v>
      </c>
      <c r="W74" s="101" t="s">
        <v>18</v>
      </c>
      <c r="X74" s="101" t="s">
        <v>18</v>
      </c>
      <c r="Y74" s="101" t="s">
        <v>18</v>
      </c>
      <c r="Z74" s="101" t="s">
        <v>18</v>
      </c>
      <c r="AA74" s="101" t="s">
        <v>18</v>
      </c>
      <c r="AC74" s="101">
        <v>20</v>
      </c>
      <c r="AD74" s="101" t="s">
        <v>154</v>
      </c>
      <c r="AE74" s="20">
        <v>43747.433749999997</v>
      </c>
      <c r="AF74" s="101" t="s">
        <v>25</v>
      </c>
      <c r="AG74" s="101" t="s">
        <v>17</v>
      </c>
      <c r="AH74" s="101">
        <v>0</v>
      </c>
      <c r="AI74" s="101">
        <v>12.21</v>
      </c>
      <c r="AJ74" s="12">
        <v>3207</v>
      </c>
      <c r="AK74" s="101">
        <v>612.20699999999999</v>
      </c>
      <c r="AL74" s="101" t="s">
        <v>18</v>
      </c>
      <c r="AM74" s="101" t="s">
        <v>18</v>
      </c>
      <c r="AN74" s="101" t="s">
        <v>18</v>
      </c>
      <c r="AO74" s="101" t="s">
        <v>18</v>
      </c>
      <c r="AS74" s="7">
        <v>30</v>
      </c>
      <c r="AT74" s="108">
        <f t="shared" si="2"/>
        <v>2.9481641342000011</v>
      </c>
      <c r="AU74" s="108">
        <f t="shared" si="3"/>
        <v>600.46680618834</v>
      </c>
      <c r="AV74" s="101">
        <f t="shared" si="4"/>
        <v>2.9481641342000011</v>
      </c>
      <c r="AW74" s="60">
        <f t="shared" si="5"/>
        <v>2.3276291249999996</v>
      </c>
      <c r="AX74" s="61">
        <f t="shared" si="6"/>
        <v>628.76222002827012</v>
      </c>
      <c r="AZ74" s="23">
        <f t="shared" si="7"/>
        <v>2.2327010450000007</v>
      </c>
      <c r="BA74" s="103">
        <f t="shared" si="8"/>
        <v>609.15316835526005</v>
      </c>
      <c r="BC74" s="104">
        <f t="shared" si="9"/>
        <v>1.0817889700000001</v>
      </c>
      <c r="BD74" s="105">
        <f t="shared" si="10"/>
        <v>558.92443065351995</v>
      </c>
      <c r="BF74" s="115">
        <f t="shared" si="0"/>
        <v>-0.50705452000000006</v>
      </c>
      <c r="BG74" s="116">
        <f t="shared" si="1"/>
        <v>309.46352572000001</v>
      </c>
    </row>
    <row r="75" spans="1:59" s="101" customFormat="1" ht="14.4" x14ac:dyDescent="0.3">
      <c r="A75" s="101">
        <v>69</v>
      </c>
      <c r="B75" s="101" t="s">
        <v>155</v>
      </c>
      <c r="C75" s="20">
        <v>43752.377430555556</v>
      </c>
      <c r="D75" s="101" t="s">
        <v>25</v>
      </c>
      <c r="E75" s="101" t="s">
        <v>17</v>
      </c>
      <c r="F75" s="101">
        <v>0</v>
      </c>
      <c r="G75" s="101">
        <v>6.2510000000000003</v>
      </c>
      <c r="H75" s="12">
        <v>1985</v>
      </c>
      <c r="I75" s="101">
        <v>2.5539999999999998</v>
      </c>
      <c r="J75" s="101" t="s">
        <v>18</v>
      </c>
      <c r="K75" s="101" t="s">
        <v>18</v>
      </c>
      <c r="L75" s="101" t="s">
        <v>18</v>
      </c>
      <c r="M75" s="101" t="s">
        <v>18</v>
      </c>
      <c r="O75" s="101">
        <v>69</v>
      </c>
      <c r="P75" s="101" t="s">
        <v>155</v>
      </c>
      <c r="Q75" s="20">
        <v>43752.377430555556</v>
      </c>
      <c r="R75" s="101" t="s">
        <v>25</v>
      </c>
      <c r="S75" s="101" t="s">
        <v>17</v>
      </c>
      <c r="T75" s="101">
        <v>0</v>
      </c>
      <c r="U75" s="101" t="s">
        <v>18</v>
      </c>
      <c r="V75" s="101" t="s">
        <v>18</v>
      </c>
      <c r="W75" s="101" t="s">
        <v>18</v>
      </c>
      <c r="X75" s="101" t="s">
        <v>18</v>
      </c>
      <c r="Y75" s="101" t="s">
        <v>18</v>
      </c>
      <c r="Z75" s="101" t="s">
        <v>18</v>
      </c>
      <c r="AA75" s="101" t="s">
        <v>18</v>
      </c>
      <c r="AC75" s="101">
        <v>69</v>
      </c>
      <c r="AD75" s="101" t="s">
        <v>155</v>
      </c>
      <c r="AE75" s="20">
        <v>43752.377430555556</v>
      </c>
      <c r="AF75" s="101" t="s">
        <v>25</v>
      </c>
      <c r="AG75" s="101" t="s">
        <v>17</v>
      </c>
      <c r="AH75" s="101">
        <v>0</v>
      </c>
      <c r="AI75" s="101">
        <v>12.243</v>
      </c>
      <c r="AJ75" s="12">
        <v>1641</v>
      </c>
      <c r="AK75" s="101">
        <v>342.29300000000001</v>
      </c>
      <c r="AL75" s="101" t="s">
        <v>18</v>
      </c>
      <c r="AM75" s="101" t="s">
        <v>18</v>
      </c>
      <c r="AN75" s="101" t="s">
        <v>18</v>
      </c>
      <c r="AO75" s="101" t="s">
        <v>18</v>
      </c>
      <c r="AS75" s="7">
        <v>31</v>
      </c>
      <c r="AT75" s="108">
        <f t="shared" si="2"/>
        <v>1.8896054455500004</v>
      </c>
      <c r="AU75" s="108">
        <f t="shared" si="3"/>
        <v>359.51989187345998</v>
      </c>
      <c r="AV75" s="101">
        <f t="shared" si="4"/>
        <v>1.8896054455500004</v>
      </c>
      <c r="AW75" s="60">
        <f t="shared" si="5"/>
        <v>1.082154781249999</v>
      </c>
      <c r="AX75" s="61">
        <f t="shared" si="6"/>
        <v>338.90236785962998</v>
      </c>
      <c r="AZ75" s="23">
        <f t="shared" si="7"/>
        <v>0.6453189612500001</v>
      </c>
      <c r="BA75" s="103">
        <f t="shared" si="8"/>
        <v>309.85741375494001</v>
      </c>
      <c r="BC75" s="104">
        <f t="shared" si="9"/>
        <v>0.42479119250000008</v>
      </c>
      <c r="BD75" s="105">
        <f t="shared" si="10"/>
        <v>235.42597767688</v>
      </c>
      <c r="BF75" s="115">
        <f t="shared" si="0"/>
        <v>-1.1753590799999998</v>
      </c>
      <c r="BG75" s="116">
        <f t="shared" si="1"/>
        <v>152.08140268</v>
      </c>
    </row>
    <row r="76" spans="1:59" s="101" customFormat="1" ht="14.4" x14ac:dyDescent="0.3">
      <c r="A76" s="101">
        <v>71</v>
      </c>
      <c r="B76" s="101" t="s">
        <v>156</v>
      </c>
      <c r="C76" s="20">
        <v>43755.388819444444</v>
      </c>
      <c r="D76" s="101" t="s">
        <v>25</v>
      </c>
      <c r="E76" s="101" t="s">
        <v>17</v>
      </c>
      <c r="F76" s="101">
        <v>0</v>
      </c>
      <c r="G76" s="101">
        <v>6.1239999999999997</v>
      </c>
      <c r="H76" s="12">
        <v>2377</v>
      </c>
      <c r="I76" s="101">
        <v>3.4449999999999998</v>
      </c>
      <c r="J76" s="101" t="s">
        <v>18</v>
      </c>
      <c r="K76" s="101" t="s">
        <v>18</v>
      </c>
      <c r="L76" s="101" t="s">
        <v>18</v>
      </c>
      <c r="M76" s="101" t="s">
        <v>18</v>
      </c>
      <c r="O76" s="101">
        <v>71</v>
      </c>
      <c r="P76" s="101" t="s">
        <v>156</v>
      </c>
      <c r="Q76" s="20">
        <v>43755.388819444444</v>
      </c>
      <c r="R76" s="101" t="s">
        <v>25</v>
      </c>
      <c r="S76" s="101" t="s">
        <v>17</v>
      </c>
      <c r="T76" s="101">
        <v>0</v>
      </c>
      <c r="U76" s="101" t="s">
        <v>18</v>
      </c>
      <c r="V76" s="101" t="s">
        <v>18</v>
      </c>
      <c r="W76" s="101" t="s">
        <v>18</v>
      </c>
      <c r="X76" s="101" t="s">
        <v>18</v>
      </c>
      <c r="Y76" s="101" t="s">
        <v>18</v>
      </c>
      <c r="Z76" s="101" t="s">
        <v>18</v>
      </c>
      <c r="AA76" s="101" t="s">
        <v>18</v>
      </c>
      <c r="AC76" s="101">
        <v>71</v>
      </c>
      <c r="AD76" s="101" t="s">
        <v>156</v>
      </c>
      <c r="AE76" s="20">
        <v>43755.388819444444</v>
      </c>
      <c r="AF76" s="101" t="s">
        <v>25</v>
      </c>
      <c r="AG76" s="101" t="s">
        <v>17</v>
      </c>
      <c r="AH76" s="101">
        <v>0</v>
      </c>
      <c r="AI76" s="101">
        <v>12.254</v>
      </c>
      <c r="AJ76" s="12">
        <v>2102</v>
      </c>
      <c r="AK76" s="101">
        <v>421.63499999999999</v>
      </c>
      <c r="AL76" s="101" t="s">
        <v>18</v>
      </c>
      <c r="AM76" s="101" t="s">
        <v>18</v>
      </c>
      <c r="AN76" s="101" t="s">
        <v>18</v>
      </c>
      <c r="AO76" s="101" t="s">
        <v>18</v>
      </c>
      <c r="AS76" s="7">
        <v>32</v>
      </c>
      <c r="AT76" s="108">
        <f t="shared" si="2"/>
        <v>2.8219108039820004</v>
      </c>
      <c r="AU76" s="108">
        <f t="shared" si="3"/>
        <v>430.44353699464</v>
      </c>
      <c r="AV76" s="101">
        <f t="shared" si="4"/>
        <v>2.8219108039820004</v>
      </c>
      <c r="AW76" s="60">
        <f t="shared" si="5"/>
        <v>2.1788502412499993</v>
      </c>
      <c r="AX76" s="61">
        <f t="shared" si="6"/>
        <v>424.26345678091997</v>
      </c>
      <c r="AZ76" s="23">
        <f t="shared" si="7"/>
        <v>2.0448460244499991</v>
      </c>
      <c r="BA76" s="103">
        <f t="shared" si="8"/>
        <v>397.97255675096</v>
      </c>
      <c r="BC76" s="104">
        <f t="shared" si="9"/>
        <v>1.0005210436999998</v>
      </c>
      <c r="BD76" s="105">
        <f t="shared" si="10"/>
        <v>330.67064232992004</v>
      </c>
      <c r="BF76" s="115">
        <f t="shared" si="0"/>
        <v>-0.58696613919999985</v>
      </c>
      <c r="BG76" s="116">
        <f t="shared" si="1"/>
        <v>199.28782111999999</v>
      </c>
    </row>
    <row r="77" spans="1:59" s="101" customFormat="1" ht="14.4" x14ac:dyDescent="0.3">
      <c r="A77" s="101">
        <v>75</v>
      </c>
      <c r="B77" s="101" t="s">
        <v>157</v>
      </c>
      <c r="C77" s="20">
        <v>43759.360185185185</v>
      </c>
      <c r="D77" s="101" t="s">
        <v>25</v>
      </c>
      <c r="E77" s="101" t="s">
        <v>17</v>
      </c>
      <c r="F77" s="101">
        <v>0</v>
      </c>
      <c r="G77" s="101">
        <v>6.1070000000000002</v>
      </c>
      <c r="H77" s="12">
        <v>2563</v>
      </c>
      <c r="I77" s="101">
        <v>3.8690000000000002</v>
      </c>
      <c r="J77" s="101" t="s">
        <v>18</v>
      </c>
      <c r="K77" s="101" t="s">
        <v>18</v>
      </c>
      <c r="L77" s="101" t="s">
        <v>18</v>
      </c>
      <c r="M77" s="101" t="s">
        <v>18</v>
      </c>
      <c r="O77" s="101">
        <v>75</v>
      </c>
      <c r="P77" s="101" t="s">
        <v>157</v>
      </c>
      <c r="Q77" s="20">
        <v>43759.360185185185</v>
      </c>
      <c r="R77" s="101" t="s">
        <v>25</v>
      </c>
      <c r="S77" s="101" t="s">
        <v>17</v>
      </c>
      <c r="T77" s="101">
        <v>0</v>
      </c>
      <c r="U77" s="101" t="s">
        <v>18</v>
      </c>
      <c r="V77" s="101" t="s">
        <v>18</v>
      </c>
      <c r="W77" s="101" t="s">
        <v>18</v>
      </c>
      <c r="X77" s="101" t="s">
        <v>18</v>
      </c>
      <c r="Y77" s="101" t="s">
        <v>18</v>
      </c>
      <c r="Z77" s="101" t="s">
        <v>18</v>
      </c>
      <c r="AA77" s="101" t="s">
        <v>18</v>
      </c>
      <c r="AC77" s="101">
        <v>75</v>
      </c>
      <c r="AD77" s="101" t="s">
        <v>157</v>
      </c>
      <c r="AE77" s="20">
        <v>43759.360185185185</v>
      </c>
      <c r="AF77" s="101" t="s">
        <v>25</v>
      </c>
      <c r="AG77" s="101" t="s">
        <v>17</v>
      </c>
      <c r="AH77" s="101">
        <v>0</v>
      </c>
      <c r="AI77" s="101">
        <v>12.238</v>
      </c>
      <c r="AJ77" s="12">
        <v>2078</v>
      </c>
      <c r="AK77" s="101">
        <v>417.54500000000002</v>
      </c>
      <c r="AL77" s="101" t="s">
        <v>18</v>
      </c>
      <c r="AM77" s="101" t="s">
        <v>18</v>
      </c>
      <c r="AN77" s="101" t="s">
        <v>18</v>
      </c>
      <c r="AO77" s="101" t="s">
        <v>18</v>
      </c>
      <c r="AS77" s="7">
        <v>33</v>
      </c>
      <c r="AT77" s="108">
        <f t="shared" si="2"/>
        <v>3.2652002367020008</v>
      </c>
      <c r="AU77" s="108">
        <f t="shared" si="3"/>
        <v>426.75106694343992</v>
      </c>
      <c r="AV77" s="101">
        <f t="shared" si="4"/>
        <v>3.2652002367020008</v>
      </c>
      <c r="AW77" s="60">
        <f t="shared" si="5"/>
        <v>2.7015055912499992</v>
      </c>
      <c r="AX77" s="61">
        <f t="shared" si="6"/>
        <v>419.82015386732002</v>
      </c>
      <c r="AZ77" s="23">
        <f t="shared" si="7"/>
        <v>2.7026772464499995</v>
      </c>
      <c r="BA77" s="103">
        <f t="shared" si="8"/>
        <v>393.38538795416002</v>
      </c>
      <c r="BC77" s="104">
        <f t="shared" si="9"/>
        <v>1.2893198957000001</v>
      </c>
      <c r="BD77" s="105">
        <f t="shared" si="10"/>
        <v>325.71240249632001</v>
      </c>
      <c r="BF77" s="115">
        <f t="shared" si="0"/>
        <v>-0.30614557120000008</v>
      </c>
      <c r="BG77" s="116">
        <f t="shared" si="1"/>
        <v>196.84825952</v>
      </c>
    </row>
    <row r="78" spans="1:59" s="101" customFormat="1" ht="14.4" x14ac:dyDescent="0.3">
      <c r="A78" s="101">
        <v>18</v>
      </c>
      <c r="B78" s="101" t="s">
        <v>158</v>
      </c>
      <c r="C78" s="20">
        <v>43761.448819444442</v>
      </c>
      <c r="D78" s="101" t="s">
        <v>25</v>
      </c>
      <c r="E78" s="101" t="s">
        <v>17</v>
      </c>
      <c r="F78" s="101">
        <v>0</v>
      </c>
      <c r="G78" s="101">
        <v>6.1779999999999999</v>
      </c>
      <c r="H78" s="12">
        <v>2002</v>
      </c>
      <c r="I78" s="101">
        <v>2.593</v>
      </c>
      <c r="J78" s="101" t="s">
        <v>18</v>
      </c>
      <c r="K78" s="101" t="s">
        <v>18</v>
      </c>
      <c r="L78" s="101" t="s">
        <v>18</v>
      </c>
      <c r="M78" s="101" t="s">
        <v>18</v>
      </c>
      <c r="O78" s="101">
        <v>18</v>
      </c>
      <c r="P78" s="101" t="s">
        <v>158</v>
      </c>
      <c r="Q78" s="20">
        <v>43761.448819444442</v>
      </c>
      <c r="R78" s="101" t="s">
        <v>25</v>
      </c>
      <c r="S78" s="101" t="s">
        <v>17</v>
      </c>
      <c r="T78" s="101">
        <v>0</v>
      </c>
      <c r="U78" s="101" t="s">
        <v>18</v>
      </c>
      <c r="V78" s="101" t="s">
        <v>18</v>
      </c>
      <c r="W78" s="101" t="s">
        <v>18</v>
      </c>
      <c r="X78" s="101" t="s">
        <v>18</v>
      </c>
      <c r="Y78" s="101" t="s">
        <v>18</v>
      </c>
      <c r="Z78" s="101" t="s">
        <v>18</v>
      </c>
      <c r="AA78" s="101" t="s">
        <v>18</v>
      </c>
      <c r="AC78" s="101">
        <v>18</v>
      </c>
      <c r="AD78" s="101" t="s">
        <v>158</v>
      </c>
      <c r="AE78" s="20">
        <v>43761.448819444442</v>
      </c>
      <c r="AF78" s="101" t="s">
        <v>25</v>
      </c>
      <c r="AG78" s="101" t="s">
        <v>17</v>
      </c>
      <c r="AH78" s="101">
        <v>0</v>
      </c>
      <c r="AI78" s="101">
        <v>12.257999999999999</v>
      </c>
      <c r="AJ78" s="12">
        <v>1780</v>
      </c>
      <c r="AK78" s="101">
        <v>366.178</v>
      </c>
      <c r="AL78" s="101" t="s">
        <v>18</v>
      </c>
      <c r="AM78" s="101" t="s">
        <v>18</v>
      </c>
      <c r="AN78" s="101" t="s">
        <v>18</v>
      </c>
      <c r="AO78" s="101" t="s">
        <v>18</v>
      </c>
      <c r="AS78" s="7">
        <v>34</v>
      </c>
      <c r="AT78" s="108">
        <f t="shared" si="2"/>
        <v>1.929982498232</v>
      </c>
      <c r="AU78" s="108">
        <f t="shared" si="3"/>
        <v>380.90411194399996</v>
      </c>
      <c r="AV78" s="101">
        <f t="shared" si="4"/>
        <v>1.929982498232</v>
      </c>
      <c r="AW78" s="60">
        <f t="shared" si="5"/>
        <v>1.1295800849999988</v>
      </c>
      <c r="AX78" s="61">
        <f t="shared" si="6"/>
        <v>364.64311953199996</v>
      </c>
      <c r="AZ78" s="23">
        <f t="shared" si="7"/>
        <v>0.70638216820000022</v>
      </c>
      <c r="BA78" s="103">
        <f t="shared" si="8"/>
        <v>336.42648181600003</v>
      </c>
      <c r="BC78" s="104">
        <f t="shared" si="9"/>
        <v>0.44883278119999992</v>
      </c>
      <c r="BD78" s="105">
        <f t="shared" si="10"/>
        <v>264.145142432</v>
      </c>
      <c r="BF78" s="115">
        <f t="shared" si="0"/>
        <v>-1.1499389391999997</v>
      </c>
      <c r="BG78" s="116">
        <f t="shared" si="1"/>
        <v>166.39199200000002</v>
      </c>
    </row>
    <row r="79" spans="1:59" s="101" customFormat="1" ht="14.4" x14ac:dyDescent="0.3">
      <c r="A79" s="101">
        <v>29</v>
      </c>
      <c r="B79" s="101" t="s">
        <v>159</v>
      </c>
      <c r="C79" s="20">
        <v>43762.734317129631</v>
      </c>
      <c r="D79" s="101" t="s">
        <v>25</v>
      </c>
      <c r="E79" s="101" t="s">
        <v>17</v>
      </c>
      <c r="F79" s="101">
        <v>0</v>
      </c>
      <c r="G79" s="101">
        <v>6.165</v>
      </c>
      <c r="H79" s="12">
        <v>2250</v>
      </c>
      <c r="I79" s="101">
        <v>3.1560000000000001</v>
      </c>
      <c r="J79" s="101" t="s">
        <v>18</v>
      </c>
      <c r="K79" s="101" t="s">
        <v>18</v>
      </c>
      <c r="L79" s="101" t="s">
        <v>18</v>
      </c>
      <c r="M79" s="101" t="s">
        <v>18</v>
      </c>
      <c r="O79" s="101">
        <v>29</v>
      </c>
      <c r="P79" s="101" t="s">
        <v>159</v>
      </c>
      <c r="Q79" s="20">
        <v>43762.734317129631</v>
      </c>
      <c r="R79" s="101" t="s">
        <v>25</v>
      </c>
      <c r="S79" s="101" t="s">
        <v>17</v>
      </c>
      <c r="T79" s="101">
        <v>0</v>
      </c>
      <c r="U79" s="101" t="s">
        <v>18</v>
      </c>
      <c r="V79" s="101" t="s">
        <v>18</v>
      </c>
      <c r="W79" s="101" t="s">
        <v>18</v>
      </c>
      <c r="X79" s="101" t="s">
        <v>18</v>
      </c>
      <c r="Y79" s="101" t="s">
        <v>18</v>
      </c>
      <c r="Z79" s="101" t="s">
        <v>18</v>
      </c>
      <c r="AA79" s="101" t="s">
        <v>18</v>
      </c>
      <c r="AC79" s="101">
        <v>29</v>
      </c>
      <c r="AD79" s="101" t="s">
        <v>159</v>
      </c>
      <c r="AE79" s="20">
        <v>43762.734317129631</v>
      </c>
      <c r="AF79" s="101" t="s">
        <v>25</v>
      </c>
      <c r="AG79" s="101" t="s">
        <v>17</v>
      </c>
      <c r="AH79" s="101">
        <v>0</v>
      </c>
      <c r="AI79" s="101">
        <v>12.262</v>
      </c>
      <c r="AJ79" s="12">
        <v>2060</v>
      </c>
      <c r="AK79" s="101">
        <v>414.48700000000002</v>
      </c>
      <c r="AL79" s="101" t="s">
        <v>18</v>
      </c>
      <c r="AM79" s="101" t="s">
        <v>18</v>
      </c>
      <c r="AN79" s="101" t="s">
        <v>18</v>
      </c>
      <c r="AO79" s="101" t="s">
        <v>18</v>
      </c>
      <c r="AS79" s="7">
        <v>35</v>
      </c>
      <c r="AT79" s="108">
        <f t="shared" si="2"/>
        <v>2.5195748750000004</v>
      </c>
      <c r="AU79" s="108">
        <f t="shared" si="3"/>
        <v>423.98172397600001</v>
      </c>
      <c r="AV79" s="101">
        <f t="shared" si="4"/>
        <v>2.5195748750000004</v>
      </c>
      <c r="AW79" s="60">
        <f t="shared" si="5"/>
        <v>1.8228281249999991</v>
      </c>
      <c r="AX79" s="61">
        <f t="shared" si="6"/>
        <v>416.487629228</v>
      </c>
      <c r="AZ79" s="23">
        <f t="shared" si="7"/>
        <v>1.593378125000001</v>
      </c>
      <c r="BA79" s="103">
        <f t="shared" si="8"/>
        <v>389.944999064</v>
      </c>
      <c r="BC79" s="104">
        <f t="shared" si="9"/>
        <v>0.80910624999999992</v>
      </c>
      <c r="BD79" s="105">
        <f t="shared" si="10"/>
        <v>321.99370332799998</v>
      </c>
      <c r="BF79" s="115">
        <f t="shared" si="0"/>
        <v>-0.77810500000000005</v>
      </c>
      <c r="BG79" s="116">
        <f t="shared" si="1"/>
        <v>195.01728800000001</v>
      </c>
    </row>
    <row r="80" spans="1:59" s="101" customFormat="1" ht="14.4" x14ac:dyDescent="0.3">
      <c r="A80" s="101">
        <v>25</v>
      </c>
      <c r="B80" s="101" t="s">
        <v>160</v>
      </c>
      <c r="C80" s="20">
        <v>43781.379062499997</v>
      </c>
      <c r="D80" s="101" t="s">
        <v>25</v>
      </c>
      <c r="E80" s="101" t="s">
        <v>17</v>
      </c>
      <c r="F80" s="101">
        <v>0</v>
      </c>
      <c r="G80" s="101">
        <v>6.1879999999999997</v>
      </c>
      <c r="H80" s="12">
        <v>1821</v>
      </c>
      <c r="I80" s="101">
        <v>2.1789999999999998</v>
      </c>
      <c r="J80" s="101" t="s">
        <v>18</v>
      </c>
      <c r="K80" s="101" t="s">
        <v>18</v>
      </c>
      <c r="L80" s="101" t="s">
        <v>18</v>
      </c>
      <c r="M80" s="101" t="s">
        <v>18</v>
      </c>
      <c r="O80" s="101">
        <v>25</v>
      </c>
      <c r="P80" s="101" t="s">
        <v>160</v>
      </c>
      <c r="Q80" s="20">
        <v>43781.379062499997</v>
      </c>
      <c r="R80" s="101" t="s">
        <v>25</v>
      </c>
      <c r="S80" s="101" t="s">
        <v>17</v>
      </c>
      <c r="T80" s="101">
        <v>0</v>
      </c>
      <c r="U80" s="101" t="s">
        <v>18</v>
      </c>
      <c r="V80" s="101" t="s">
        <v>18</v>
      </c>
      <c r="W80" s="101" t="s">
        <v>18</v>
      </c>
      <c r="X80" s="101" t="s">
        <v>18</v>
      </c>
      <c r="Y80" s="101" t="s">
        <v>18</v>
      </c>
      <c r="Z80" s="101" t="s">
        <v>18</v>
      </c>
      <c r="AA80" s="101" t="s">
        <v>18</v>
      </c>
      <c r="AC80" s="101">
        <v>25</v>
      </c>
      <c r="AD80" s="101" t="s">
        <v>160</v>
      </c>
      <c r="AE80" s="20">
        <v>43781.379062499997</v>
      </c>
      <c r="AF80" s="101" t="s">
        <v>25</v>
      </c>
      <c r="AG80" s="101" t="s">
        <v>17</v>
      </c>
      <c r="AH80" s="101">
        <v>0</v>
      </c>
      <c r="AI80" s="101">
        <v>12.275</v>
      </c>
      <c r="AJ80" s="12">
        <v>1503</v>
      </c>
      <c r="AK80" s="101">
        <v>318.41300000000001</v>
      </c>
      <c r="AL80" s="101" t="s">
        <v>18</v>
      </c>
      <c r="AM80" s="101" t="s">
        <v>18</v>
      </c>
      <c r="AN80" s="101" t="s">
        <v>18</v>
      </c>
      <c r="AO80" s="101" t="s">
        <v>18</v>
      </c>
      <c r="AS80" s="7">
        <v>36</v>
      </c>
      <c r="AT80" s="108">
        <f t="shared" si="2"/>
        <v>1.5003396788780008</v>
      </c>
      <c r="AU80" s="108">
        <f t="shared" si="3"/>
        <v>338.28999905393999</v>
      </c>
      <c r="AV80" s="101">
        <f t="shared" si="4"/>
        <v>1.5003396788780008</v>
      </c>
      <c r="AW80" s="60">
        <f t="shared" si="5"/>
        <v>0.62527087124999881</v>
      </c>
      <c r="AX80" s="61">
        <f t="shared" si="6"/>
        <v>313.34440200506998</v>
      </c>
      <c r="AZ80" s="23">
        <f t="shared" si="7"/>
        <v>5.4518424050000291E-2</v>
      </c>
      <c r="BA80" s="103">
        <f t="shared" si="8"/>
        <v>283.47886851366002</v>
      </c>
      <c r="BC80" s="104">
        <f t="shared" si="9"/>
        <v>0.19717365730000025</v>
      </c>
      <c r="BD80" s="105">
        <f t="shared" si="10"/>
        <v>206.91245009032002</v>
      </c>
      <c r="BF80" s="115">
        <f t="shared" si="0"/>
        <v>-1.4201374767999999</v>
      </c>
      <c r="BG80" s="116">
        <f t="shared" si="1"/>
        <v>137.80801852000002</v>
      </c>
    </row>
    <row r="81" spans="1:59" s="101" customFormat="1" ht="14.4" x14ac:dyDescent="0.3">
      <c r="A81" s="101">
        <v>23</v>
      </c>
      <c r="B81" s="101" t="s">
        <v>161</v>
      </c>
      <c r="C81" s="20">
        <v>43784.775092592594</v>
      </c>
      <c r="D81" s="101" t="s">
        <v>25</v>
      </c>
      <c r="E81" s="101" t="s">
        <v>17</v>
      </c>
      <c r="F81" s="101">
        <v>0</v>
      </c>
      <c r="G81" s="101">
        <v>6.1779999999999999</v>
      </c>
      <c r="H81" s="12">
        <v>2200</v>
      </c>
      <c r="I81" s="101">
        <v>3.0419999999999998</v>
      </c>
      <c r="J81" s="101" t="s">
        <v>18</v>
      </c>
      <c r="K81" s="101" t="s">
        <v>18</v>
      </c>
      <c r="L81" s="101" t="s">
        <v>18</v>
      </c>
      <c r="M81" s="101" t="s">
        <v>18</v>
      </c>
      <c r="O81" s="101">
        <v>23</v>
      </c>
      <c r="P81" s="101" t="s">
        <v>161</v>
      </c>
      <c r="Q81" s="20">
        <v>43784.775092592594</v>
      </c>
      <c r="R81" s="101" t="s">
        <v>25</v>
      </c>
      <c r="S81" s="101" t="s">
        <v>17</v>
      </c>
      <c r="T81" s="101">
        <v>0</v>
      </c>
      <c r="U81" s="101" t="s">
        <v>18</v>
      </c>
      <c r="V81" s="101" t="s">
        <v>18</v>
      </c>
      <c r="W81" s="101" t="s">
        <v>18</v>
      </c>
      <c r="X81" s="101" t="s">
        <v>18</v>
      </c>
      <c r="Y81" s="101" t="s">
        <v>18</v>
      </c>
      <c r="Z81" s="101" t="s">
        <v>18</v>
      </c>
      <c r="AA81" s="101" t="s">
        <v>18</v>
      </c>
      <c r="AC81" s="101">
        <v>23</v>
      </c>
      <c r="AD81" s="101" t="s">
        <v>161</v>
      </c>
      <c r="AE81" s="20">
        <v>43784.775092592594</v>
      </c>
      <c r="AF81" s="101" t="s">
        <v>25</v>
      </c>
      <c r="AG81" s="101" t="s">
        <v>17</v>
      </c>
      <c r="AH81" s="101">
        <v>0</v>
      </c>
      <c r="AI81" s="101">
        <v>12.295999999999999</v>
      </c>
      <c r="AJ81" s="12">
        <v>1725</v>
      </c>
      <c r="AK81" s="101">
        <v>356.70299999999997</v>
      </c>
      <c r="AL81" s="101" t="s">
        <v>18</v>
      </c>
      <c r="AM81" s="101" t="s">
        <v>18</v>
      </c>
      <c r="AN81" s="101" t="s">
        <v>18</v>
      </c>
      <c r="AO81" s="101" t="s">
        <v>18</v>
      </c>
      <c r="AS81" s="7">
        <v>37</v>
      </c>
      <c r="AT81" s="108">
        <f t="shared" si="2"/>
        <v>2.4006207200000005</v>
      </c>
      <c r="AU81" s="108">
        <f t="shared" si="3"/>
        <v>372.44267141249998</v>
      </c>
      <c r="AV81" s="101">
        <f t="shared" si="4"/>
        <v>2.4006207200000005</v>
      </c>
      <c r="AW81" s="60">
        <f t="shared" si="5"/>
        <v>1.6828499999999993</v>
      </c>
      <c r="AX81" s="61">
        <f t="shared" si="6"/>
        <v>354.45822001874996</v>
      </c>
      <c r="AZ81" s="23">
        <f t="shared" si="7"/>
        <v>1.4151220000000002</v>
      </c>
      <c r="BA81" s="103">
        <f t="shared" si="8"/>
        <v>325.9136163375</v>
      </c>
      <c r="BC81" s="104">
        <f t="shared" si="9"/>
        <v>0.73503200000000013</v>
      </c>
      <c r="BD81" s="105">
        <f t="shared" si="10"/>
        <v>252.78156204999999</v>
      </c>
      <c r="BF81" s="115">
        <f t="shared" si="0"/>
        <v>-0.85322200000000015</v>
      </c>
      <c r="BG81" s="116">
        <f t="shared" si="1"/>
        <v>160.73747500000002</v>
      </c>
    </row>
    <row r="82" spans="1:59" s="101" customFormat="1" ht="14.4" x14ac:dyDescent="0.3">
      <c r="A82" s="101">
        <v>21</v>
      </c>
      <c r="B82" s="101" t="s">
        <v>162</v>
      </c>
      <c r="C82" s="20">
        <v>43790.362037037034</v>
      </c>
      <c r="D82" s="101" t="s">
        <v>25</v>
      </c>
      <c r="E82" s="101" t="s">
        <v>17</v>
      </c>
      <c r="F82" s="101">
        <v>0</v>
      </c>
      <c r="G82" s="101">
        <v>6.0979999999999999</v>
      </c>
      <c r="H82" s="12">
        <v>2528</v>
      </c>
      <c r="I82" s="101">
        <v>3.79</v>
      </c>
      <c r="J82" s="101" t="s">
        <v>18</v>
      </c>
      <c r="K82" s="101" t="s">
        <v>18</v>
      </c>
      <c r="L82" s="101" t="s">
        <v>18</v>
      </c>
      <c r="M82" s="101" t="s">
        <v>18</v>
      </c>
      <c r="O82" s="101">
        <v>21</v>
      </c>
      <c r="P82" s="101" t="s">
        <v>162</v>
      </c>
      <c r="Q82" s="20">
        <v>43790.362037037034</v>
      </c>
      <c r="R82" s="101" t="s">
        <v>25</v>
      </c>
      <c r="S82" s="101" t="s">
        <v>17</v>
      </c>
      <c r="T82" s="101">
        <v>0</v>
      </c>
      <c r="U82" s="101" t="s">
        <v>18</v>
      </c>
      <c r="V82" s="101" t="s">
        <v>18</v>
      </c>
      <c r="W82" s="101" t="s">
        <v>18</v>
      </c>
      <c r="X82" s="101" t="s">
        <v>18</v>
      </c>
      <c r="Y82" s="101" t="s">
        <v>18</v>
      </c>
      <c r="Z82" s="101" t="s">
        <v>18</v>
      </c>
      <c r="AA82" s="101" t="s">
        <v>18</v>
      </c>
      <c r="AC82" s="101">
        <v>21</v>
      </c>
      <c r="AD82" s="101" t="s">
        <v>162</v>
      </c>
      <c r="AE82" s="20">
        <v>43790.362037037034</v>
      </c>
      <c r="AF82" s="101" t="s">
        <v>25</v>
      </c>
      <c r="AG82" s="101" t="s">
        <v>17</v>
      </c>
      <c r="AH82" s="101">
        <v>0</v>
      </c>
      <c r="AI82" s="101">
        <v>12.244</v>
      </c>
      <c r="AJ82" s="12">
        <v>2134</v>
      </c>
      <c r="AK82" s="101">
        <v>427.26900000000001</v>
      </c>
      <c r="AL82" s="101" t="s">
        <v>18</v>
      </c>
      <c r="AM82" s="101" t="s">
        <v>18</v>
      </c>
      <c r="AN82" s="101" t="s">
        <v>18</v>
      </c>
      <c r="AO82" s="101" t="s">
        <v>18</v>
      </c>
      <c r="AS82" s="7">
        <v>38</v>
      </c>
      <c r="AT82" s="108">
        <f t="shared" si="2"/>
        <v>3.1817403294720008</v>
      </c>
      <c r="AU82" s="108">
        <f t="shared" si="3"/>
        <v>435.36685308296001</v>
      </c>
      <c r="AV82" s="101">
        <f t="shared" si="4"/>
        <v>3.1817403294720008</v>
      </c>
      <c r="AW82" s="60">
        <f t="shared" si="5"/>
        <v>2.6030441599999996</v>
      </c>
      <c r="AX82" s="61">
        <f t="shared" si="6"/>
        <v>430.18774818187995</v>
      </c>
      <c r="AZ82" s="23">
        <f t="shared" si="7"/>
        <v>2.5791980672000001</v>
      </c>
      <c r="BA82" s="103">
        <f t="shared" si="8"/>
        <v>404.08875267543999</v>
      </c>
      <c r="BC82" s="104">
        <f t="shared" si="9"/>
        <v>1.2342081151999997</v>
      </c>
      <c r="BD82" s="105">
        <f t="shared" si="10"/>
        <v>337.28158304288002</v>
      </c>
      <c r="BF82" s="115">
        <f t="shared" si="0"/>
        <v>-0.35906848319999973</v>
      </c>
      <c r="BG82" s="116">
        <f t="shared" si="1"/>
        <v>202.53748768000003</v>
      </c>
    </row>
    <row r="83" spans="1:59" s="101" customFormat="1" ht="14.4" x14ac:dyDescent="0.3">
      <c r="A83" s="101">
        <v>22</v>
      </c>
      <c r="B83" s="101" t="s">
        <v>163</v>
      </c>
      <c r="C83" s="20">
        <v>43858.485798611109</v>
      </c>
      <c r="D83" s="101" t="s">
        <v>25</v>
      </c>
      <c r="E83" s="101" t="s">
        <v>17</v>
      </c>
      <c r="F83" s="101">
        <v>0</v>
      </c>
      <c r="G83" s="101">
        <v>6.1150000000000002</v>
      </c>
      <c r="H83" s="12">
        <v>2101</v>
      </c>
      <c r="I83" s="101">
        <v>2.8170000000000002</v>
      </c>
      <c r="J83" s="101" t="s">
        <v>18</v>
      </c>
      <c r="K83" s="101" t="s">
        <v>18</v>
      </c>
      <c r="L83" s="101" t="s">
        <v>18</v>
      </c>
      <c r="M83" s="101" t="s">
        <v>18</v>
      </c>
      <c r="O83" s="101">
        <v>22</v>
      </c>
      <c r="P83" s="101" t="s">
        <v>163</v>
      </c>
      <c r="Q83" s="20">
        <v>43858.485798611109</v>
      </c>
      <c r="R83" s="101" t="s">
        <v>25</v>
      </c>
      <c r="S83" s="101" t="s">
        <v>17</v>
      </c>
      <c r="T83" s="101">
        <v>0</v>
      </c>
      <c r="U83" s="101" t="s">
        <v>18</v>
      </c>
      <c r="V83" s="101" t="s">
        <v>18</v>
      </c>
      <c r="W83" s="101" t="s">
        <v>18</v>
      </c>
      <c r="X83" s="101" t="s">
        <v>18</v>
      </c>
      <c r="Y83" s="101" t="s">
        <v>18</v>
      </c>
      <c r="Z83" s="101" t="s">
        <v>18</v>
      </c>
      <c r="AA83" s="101" t="s">
        <v>18</v>
      </c>
      <c r="AC83" s="101">
        <v>22</v>
      </c>
      <c r="AD83" s="101" t="s">
        <v>163</v>
      </c>
      <c r="AE83" s="20">
        <v>43858.485798611109</v>
      </c>
      <c r="AF83" s="101" t="s">
        <v>25</v>
      </c>
      <c r="AG83" s="101" t="s">
        <v>17</v>
      </c>
      <c r="AH83" s="101">
        <v>0</v>
      </c>
      <c r="AI83" s="101">
        <v>12.308</v>
      </c>
      <c r="AJ83" s="12">
        <v>1862</v>
      </c>
      <c r="AK83" s="101">
        <v>380.40100000000001</v>
      </c>
      <c r="AL83" s="101" t="s">
        <v>18</v>
      </c>
      <c r="AM83" s="101" t="s">
        <v>18</v>
      </c>
      <c r="AN83" s="101" t="s">
        <v>18</v>
      </c>
      <c r="AO83" s="101" t="s">
        <v>18</v>
      </c>
      <c r="AS83" s="7">
        <v>39</v>
      </c>
      <c r="AT83" s="108">
        <f t="shared" si="2"/>
        <v>2.1652177321580006</v>
      </c>
      <c r="AU83" s="108">
        <f t="shared" si="3"/>
        <v>393.51949277704</v>
      </c>
      <c r="AV83" s="101">
        <f t="shared" si="4"/>
        <v>2.1652177321580006</v>
      </c>
      <c r="AW83" s="60">
        <f t="shared" si="5"/>
        <v>1.4060067712499995</v>
      </c>
      <c r="AX83" s="61">
        <f t="shared" si="6"/>
        <v>379.82717364811998</v>
      </c>
      <c r="AZ83" s="23">
        <f t="shared" si="7"/>
        <v>1.0613200520500001</v>
      </c>
      <c r="BA83" s="103">
        <f t="shared" si="8"/>
        <v>352.10002586456</v>
      </c>
      <c r="BC83" s="104">
        <f t="shared" si="9"/>
        <v>0.59050830529999998</v>
      </c>
      <c r="BD83" s="105">
        <f t="shared" si="10"/>
        <v>281.08692103712002</v>
      </c>
      <c r="BF83" s="115">
        <f t="shared" si="0"/>
        <v>-1.0017294448</v>
      </c>
      <c r="BG83" s="116">
        <f t="shared" si="1"/>
        <v>174.80304032000004</v>
      </c>
    </row>
    <row r="84" spans="1:59" s="101" customFormat="1" ht="14.4" x14ac:dyDescent="0.3">
      <c r="A84" s="101">
        <v>20</v>
      </c>
      <c r="B84" s="101" t="s">
        <v>164</v>
      </c>
      <c r="C84" s="20">
        <v>43873.561620370368</v>
      </c>
      <c r="D84" s="101" t="s">
        <v>25</v>
      </c>
      <c r="E84" s="101" t="s">
        <v>17</v>
      </c>
      <c r="F84" s="101">
        <v>0</v>
      </c>
      <c r="G84" s="101">
        <v>6.0970000000000004</v>
      </c>
      <c r="H84" s="12">
        <v>2054</v>
      </c>
      <c r="I84" s="101">
        <v>2.7109999999999999</v>
      </c>
      <c r="J84" s="101" t="s">
        <v>18</v>
      </c>
      <c r="K84" s="101" t="s">
        <v>18</v>
      </c>
      <c r="L84" s="101" t="s">
        <v>18</v>
      </c>
      <c r="M84" s="101" t="s">
        <v>18</v>
      </c>
      <c r="O84" s="101">
        <v>20</v>
      </c>
      <c r="P84" s="101" t="s">
        <v>164</v>
      </c>
      <c r="Q84" s="20">
        <v>43873.561620370368</v>
      </c>
      <c r="R84" s="101" t="s">
        <v>25</v>
      </c>
      <c r="S84" s="101" t="s">
        <v>17</v>
      </c>
      <c r="T84" s="101">
        <v>0</v>
      </c>
      <c r="U84" s="101" t="s">
        <v>18</v>
      </c>
      <c r="V84" s="101" t="s">
        <v>18</v>
      </c>
      <c r="W84" s="101" t="s">
        <v>18</v>
      </c>
      <c r="X84" s="101" t="s">
        <v>18</v>
      </c>
      <c r="Y84" s="101" t="s">
        <v>18</v>
      </c>
      <c r="Z84" s="101" t="s">
        <v>18</v>
      </c>
      <c r="AA84" s="101" t="s">
        <v>18</v>
      </c>
      <c r="AC84" s="101">
        <v>20</v>
      </c>
      <c r="AD84" s="101" t="s">
        <v>164</v>
      </c>
      <c r="AE84" s="20">
        <v>43873.561620370368</v>
      </c>
      <c r="AF84" s="101" t="s">
        <v>25</v>
      </c>
      <c r="AG84" s="101" t="s">
        <v>17</v>
      </c>
      <c r="AH84" s="101">
        <v>0</v>
      </c>
      <c r="AI84" s="101">
        <v>12.279</v>
      </c>
      <c r="AJ84" s="12">
        <v>3107</v>
      </c>
      <c r="AK84" s="101">
        <v>594.92200000000003</v>
      </c>
      <c r="AL84" s="101" t="s">
        <v>18</v>
      </c>
      <c r="AM84" s="101" t="s">
        <v>18</v>
      </c>
      <c r="AN84" s="101" t="s">
        <v>18</v>
      </c>
      <c r="AO84" s="101" t="s">
        <v>18</v>
      </c>
      <c r="AS84" s="7">
        <v>40</v>
      </c>
      <c r="AT84" s="108">
        <f t="shared" si="2"/>
        <v>2.0535194831279999</v>
      </c>
      <c r="AU84" s="108">
        <f t="shared" si="3"/>
        <v>585.07881266433992</v>
      </c>
      <c r="AV84" s="101">
        <f t="shared" si="4"/>
        <v>2.0535194831279999</v>
      </c>
      <c r="AW84" s="60">
        <f t="shared" si="5"/>
        <v>1.2747219649999995</v>
      </c>
      <c r="AX84" s="61">
        <f t="shared" si="6"/>
        <v>610.26185300627014</v>
      </c>
      <c r="AZ84" s="23">
        <f t="shared" si="7"/>
        <v>0.89295581779999988</v>
      </c>
      <c r="BA84" s="103">
        <f t="shared" si="8"/>
        <v>590.04343491926011</v>
      </c>
      <c r="BC84" s="104">
        <f t="shared" si="9"/>
        <v>0.52289309480000035</v>
      </c>
      <c r="BD84" s="105">
        <f t="shared" si="10"/>
        <v>538.27054398151995</v>
      </c>
      <c r="BF84" s="115">
        <f t="shared" si="0"/>
        <v>-1.0721286768000002</v>
      </c>
      <c r="BG84" s="116">
        <f t="shared" si="1"/>
        <v>299.66573372000005</v>
      </c>
    </row>
    <row r="85" spans="1:59" s="101" customFormat="1" ht="14.4" x14ac:dyDescent="0.3">
      <c r="A85" s="101">
        <v>18</v>
      </c>
      <c r="B85" s="101" t="s">
        <v>163</v>
      </c>
      <c r="C85" s="20">
        <v>43880.510497685187</v>
      </c>
      <c r="D85" s="101" t="s">
        <v>25</v>
      </c>
      <c r="E85" s="101" t="s">
        <v>17</v>
      </c>
      <c r="F85" s="101">
        <v>0</v>
      </c>
      <c r="G85" s="101">
        <v>6.0890000000000004</v>
      </c>
      <c r="H85" s="12">
        <v>2067</v>
      </c>
      <c r="I85" s="101">
        <v>2.7389999999999999</v>
      </c>
      <c r="J85" s="101" t="s">
        <v>18</v>
      </c>
      <c r="K85" s="101" t="s">
        <v>18</v>
      </c>
      <c r="L85" s="101" t="s">
        <v>18</v>
      </c>
      <c r="M85" s="101" t="s">
        <v>18</v>
      </c>
      <c r="O85" s="101">
        <v>18</v>
      </c>
      <c r="P85" s="101" t="s">
        <v>163</v>
      </c>
      <c r="Q85" s="20">
        <v>43880.510497685187</v>
      </c>
      <c r="R85" s="101" t="s">
        <v>25</v>
      </c>
      <c r="S85" s="101" t="s">
        <v>17</v>
      </c>
      <c r="T85" s="101">
        <v>0</v>
      </c>
      <c r="U85" s="101" t="s">
        <v>18</v>
      </c>
      <c r="V85" s="101" t="s">
        <v>18</v>
      </c>
      <c r="W85" s="101" t="s">
        <v>18</v>
      </c>
      <c r="X85" s="101" t="s">
        <v>18</v>
      </c>
      <c r="Y85" s="101" t="s">
        <v>18</v>
      </c>
      <c r="Z85" s="101" t="s">
        <v>18</v>
      </c>
      <c r="AA85" s="101" t="s">
        <v>18</v>
      </c>
      <c r="AC85" s="101">
        <v>18</v>
      </c>
      <c r="AD85" s="101" t="s">
        <v>163</v>
      </c>
      <c r="AE85" s="20">
        <v>43880.510497685187</v>
      </c>
      <c r="AF85" s="101" t="s">
        <v>25</v>
      </c>
      <c r="AG85" s="101" t="s">
        <v>17</v>
      </c>
      <c r="AH85" s="101">
        <v>0</v>
      </c>
      <c r="AI85" s="101">
        <v>12.286</v>
      </c>
      <c r="AJ85" s="12">
        <v>2227</v>
      </c>
      <c r="AK85" s="101">
        <v>443.2</v>
      </c>
      <c r="AL85" s="101" t="s">
        <v>18</v>
      </c>
      <c r="AM85" s="101" t="s">
        <v>18</v>
      </c>
      <c r="AN85" s="101" t="s">
        <v>18</v>
      </c>
      <c r="AO85" s="101" t="s">
        <v>18</v>
      </c>
      <c r="AS85" s="7">
        <v>41</v>
      </c>
      <c r="AT85" s="108">
        <f t="shared" si="2"/>
        <v>2.0844109608620003</v>
      </c>
      <c r="AU85" s="108">
        <f t="shared" si="3"/>
        <v>449.67538763713992</v>
      </c>
      <c r="AV85" s="101">
        <f t="shared" si="4"/>
        <v>2.0844109608620003</v>
      </c>
      <c r="AW85" s="60">
        <f t="shared" si="5"/>
        <v>1.3110253912499994</v>
      </c>
      <c r="AX85" s="61">
        <f t="shared" si="6"/>
        <v>447.40449036466998</v>
      </c>
      <c r="AZ85" s="23">
        <f t="shared" si="7"/>
        <v>0.93955026245000006</v>
      </c>
      <c r="BA85" s="103">
        <f t="shared" si="8"/>
        <v>421.86375805846001</v>
      </c>
      <c r="BC85" s="104">
        <f t="shared" si="9"/>
        <v>0.54153095170000021</v>
      </c>
      <c r="BD85" s="105">
        <f t="shared" si="10"/>
        <v>356.49433281992003</v>
      </c>
      <c r="BF85" s="115">
        <f t="shared" si="0"/>
        <v>-1.0526632671999998</v>
      </c>
      <c r="BG85" s="116">
        <f t="shared" si="1"/>
        <v>211.96183611999999</v>
      </c>
    </row>
    <row r="86" spans="1:59" s="101" customFormat="1" ht="14.4" x14ac:dyDescent="0.3">
      <c r="A86" s="101">
        <v>19</v>
      </c>
      <c r="B86" s="101" t="s">
        <v>165</v>
      </c>
      <c r="C86" s="20">
        <v>43893.655358796299</v>
      </c>
      <c r="D86" s="101" t="s">
        <v>25</v>
      </c>
      <c r="E86" s="101" t="s">
        <v>17</v>
      </c>
      <c r="F86" s="101">
        <v>0</v>
      </c>
      <c r="G86" s="101">
        <v>6.0970000000000004</v>
      </c>
      <c r="H86" s="12">
        <v>1795</v>
      </c>
      <c r="I86" s="101">
        <v>2.121</v>
      </c>
      <c r="J86" s="101" t="s">
        <v>18</v>
      </c>
      <c r="K86" s="101" t="s">
        <v>18</v>
      </c>
      <c r="L86" s="101" t="s">
        <v>18</v>
      </c>
      <c r="M86" s="101" t="s">
        <v>18</v>
      </c>
      <c r="O86" s="101">
        <v>19</v>
      </c>
      <c r="P86" s="101" t="s">
        <v>165</v>
      </c>
      <c r="Q86" s="20">
        <v>43893.655358796299</v>
      </c>
      <c r="R86" s="101" t="s">
        <v>25</v>
      </c>
      <c r="S86" s="101" t="s">
        <v>17</v>
      </c>
      <c r="T86" s="101">
        <v>0</v>
      </c>
      <c r="U86" s="101" t="s">
        <v>18</v>
      </c>
      <c r="V86" s="101" t="s">
        <v>18</v>
      </c>
      <c r="W86" s="101" t="s">
        <v>18</v>
      </c>
      <c r="X86" s="101" t="s">
        <v>18</v>
      </c>
      <c r="Y86" s="101" t="s">
        <v>18</v>
      </c>
      <c r="Z86" s="101" t="s">
        <v>18</v>
      </c>
      <c r="AA86" s="101" t="s">
        <v>18</v>
      </c>
      <c r="AC86" s="101">
        <v>19</v>
      </c>
      <c r="AD86" s="101" t="s">
        <v>165</v>
      </c>
      <c r="AE86" s="20">
        <v>43893.655358796299</v>
      </c>
      <c r="AF86" s="101" t="s">
        <v>25</v>
      </c>
      <c r="AG86" s="101" t="s">
        <v>17</v>
      </c>
      <c r="AH86" s="101">
        <v>0</v>
      </c>
      <c r="AI86" s="101">
        <v>12.260999999999999</v>
      </c>
      <c r="AJ86" s="12">
        <v>3195</v>
      </c>
      <c r="AK86" s="101">
        <v>610.11900000000003</v>
      </c>
      <c r="AL86" s="101" t="s">
        <v>18</v>
      </c>
      <c r="AM86" s="101" t="s">
        <v>18</v>
      </c>
      <c r="AN86" s="101" t="s">
        <v>18</v>
      </c>
      <c r="AO86" s="101" t="s">
        <v>18</v>
      </c>
      <c r="AS86" s="7">
        <v>42</v>
      </c>
      <c r="AT86" s="108">
        <f t="shared" si="2"/>
        <v>1.4386690899499999</v>
      </c>
      <c r="AU86" s="108">
        <f t="shared" si="3"/>
        <v>598.62023359649993</v>
      </c>
      <c r="AV86" s="101">
        <f t="shared" si="4"/>
        <v>1.4386690899499999</v>
      </c>
      <c r="AW86" s="60">
        <f t="shared" si="5"/>
        <v>0.55294303124999988</v>
      </c>
      <c r="AX86" s="61">
        <f t="shared" si="6"/>
        <v>626.54224227075008</v>
      </c>
      <c r="AZ86" s="23">
        <f t="shared" si="7"/>
        <v>-3.9431348749999984E-2</v>
      </c>
      <c r="BA86" s="103">
        <f t="shared" si="8"/>
        <v>606.86001751350011</v>
      </c>
      <c r="BC86" s="104">
        <f t="shared" si="9"/>
        <v>0.16180573249999997</v>
      </c>
      <c r="BD86" s="105">
        <f t="shared" si="10"/>
        <v>556.44599120199985</v>
      </c>
      <c r="BF86" s="115">
        <f t="shared" si="0"/>
        <v>-1.4588687199999999</v>
      </c>
      <c r="BG86" s="116">
        <f t="shared" si="1"/>
        <v>308.28960700000005</v>
      </c>
    </row>
    <row r="87" spans="1:59" s="101" customFormat="1" ht="14.4" x14ac:dyDescent="0.3">
      <c r="A87" s="101">
        <v>30</v>
      </c>
      <c r="B87" s="101" t="s">
        <v>166</v>
      </c>
      <c r="C87" s="20">
        <v>43899.56391203704</v>
      </c>
      <c r="D87" s="101" t="s">
        <v>25</v>
      </c>
      <c r="E87" s="101" t="s">
        <v>17</v>
      </c>
      <c r="F87" s="101">
        <v>0</v>
      </c>
      <c r="G87" s="101">
        <v>6.1159999999999997</v>
      </c>
      <c r="H87" s="12">
        <v>1922</v>
      </c>
      <c r="I87" s="101">
        <v>2.41</v>
      </c>
      <c r="J87" s="101" t="s">
        <v>18</v>
      </c>
      <c r="K87" s="101" t="s">
        <v>18</v>
      </c>
      <c r="L87" s="101" t="s">
        <v>18</v>
      </c>
      <c r="M87" s="101" t="s">
        <v>18</v>
      </c>
      <c r="O87" s="101">
        <v>30</v>
      </c>
      <c r="P87" s="101" t="s">
        <v>166</v>
      </c>
      <c r="Q87" s="20">
        <v>43899.56391203704</v>
      </c>
      <c r="R87" s="101" t="s">
        <v>25</v>
      </c>
      <c r="S87" s="101" t="s">
        <v>17</v>
      </c>
      <c r="T87" s="101">
        <v>0</v>
      </c>
      <c r="U87" s="101" t="s">
        <v>18</v>
      </c>
      <c r="V87" s="101" t="s">
        <v>18</v>
      </c>
      <c r="W87" s="101" t="s">
        <v>18</v>
      </c>
      <c r="X87" s="101" t="s">
        <v>18</v>
      </c>
      <c r="Y87" s="101" t="s">
        <v>18</v>
      </c>
      <c r="Z87" s="101" t="s">
        <v>18</v>
      </c>
      <c r="AA87" s="101" t="s">
        <v>18</v>
      </c>
      <c r="AC87" s="101">
        <v>30</v>
      </c>
      <c r="AD87" s="101" t="s">
        <v>166</v>
      </c>
      <c r="AE87" s="20">
        <v>43899.56391203704</v>
      </c>
      <c r="AF87" s="101" t="s">
        <v>25</v>
      </c>
      <c r="AG87" s="101" t="s">
        <v>17</v>
      </c>
      <c r="AH87" s="101">
        <v>0</v>
      </c>
      <c r="AI87" s="101">
        <v>12.308999999999999</v>
      </c>
      <c r="AJ87" s="12">
        <v>2441</v>
      </c>
      <c r="AK87" s="101">
        <v>480.07</v>
      </c>
      <c r="AL87" s="101" t="s">
        <v>18</v>
      </c>
      <c r="AM87" s="101" t="s">
        <v>18</v>
      </c>
      <c r="AN87" s="101" t="s">
        <v>18</v>
      </c>
      <c r="AO87" s="101" t="s">
        <v>18</v>
      </c>
      <c r="AS87" s="7">
        <v>43</v>
      </c>
      <c r="AT87" s="108">
        <f t="shared" si="2"/>
        <v>1.7400159708720007</v>
      </c>
      <c r="AU87" s="108">
        <f t="shared" si="3"/>
        <v>482.60123436946003</v>
      </c>
      <c r="AV87" s="101">
        <f t="shared" si="4"/>
        <v>1.7400159708720007</v>
      </c>
      <c r="AW87" s="60">
        <f t="shared" si="5"/>
        <v>0.90650928499999939</v>
      </c>
      <c r="AX87" s="61">
        <f t="shared" si="6"/>
        <v>487.01738614763002</v>
      </c>
      <c r="AZ87" s="23">
        <f t="shared" si="7"/>
        <v>0.41873383220000004</v>
      </c>
      <c r="BA87" s="103">
        <f t="shared" si="8"/>
        <v>462.76431509894002</v>
      </c>
      <c r="BC87" s="104">
        <f t="shared" si="9"/>
        <v>0.33642820520000005</v>
      </c>
      <c r="BD87" s="105">
        <f t="shared" si="10"/>
        <v>400.70263956487997</v>
      </c>
      <c r="BF87" s="115">
        <f t="shared" si="0"/>
        <v>-1.2694865231999999</v>
      </c>
      <c r="BG87" s="116">
        <f t="shared" si="1"/>
        <v>233.53497068000001</v>
      </c>
    </row>
    <row r="88" spans="1:59" s="101" customFormat="1" ht="14.4" x14ac:dyDescent="0.3">
      <c r="A88" s="101">
        <v>92</v>
      </c>
      <c r="B88" s="101" t="s">
        <v>167</v>
      </c>
      <c r="C88" s="20">
        <v>43907.483217592591</v>
      </c>
      <c r="D88" s="101" t="s">
        <v>25</v>
      </c>
      <c r="E88" s="101" t="s">
        <v>17</v>
      </c>
      <c r="F88" s="101">
        <v>0</v>
      </c>
      <c r="G88" s="101">
        <v>6.1</v>
      </c>
      <c r="H88" s="12">
        <v>2213</v>
      </c>
      <c r="I88" s="101">
        <v>3.0720000000000001</v>
      </c>
      <c r="J88" s="101" t="s">
        <v>18</v>
      </c>
      <c r="K88" s="101" t="s">
        <v>18</v>
      </c>
      <c r="L88" s="101" t="s">
        <v>18</v>
      </c>
      <c r="M88" s="101" t="s">
        <v>18</v>
      </c>
      <c r="O88" s="101">
        <v>92</v>
      </c>
      <c r="P88" s="101" t="s">
        <v>167</v>
      </c>
      <c r="Q88" s="20">
        <v>43907.483217592591</v>
      </c>
      <c r="R88" s="101" t="s">
        <v>25</v>
      </c>
      <c r="S88" s="101" t="s">
        <v>17</v>
      </c>
      <c r="T88" s="101">
        <v>0</v>
      </c>
      <c r="U88" s="101" t="s">
        <v>18</v>
      </c>
      <c r="V88" s="101" t="s">
        <v>18</v>
      </c>
      <c r="W88" s="101" t="s">
        <v>18</v>
      </c>
      <c r="X88" s="101" t="s">
        <v>18</v>
      </c>
      <c r="Y88" s="101" t="s">
        <v>18</v>
      </c>
      <c r="Z88" s="101" t="s">
        <v>18</v>
      </c>
      <c r="AA88" s="101" t="s">
        <v>18</v>
      </c>
      <c r="AC88" s="101">
        <v>92</v>
      </c>
      <c r="AD88" s="101" t="s">
        <v>167</v>
      </c>
      <c r="AE88" s="20">
        <v>43907.483217592591</v>
      </c>
      <c r="AF88" s="101" t="s">
        <v>25</v>
      </c>
      <c r="AG88" s="101" t="s">
        <v>17</v>
      </c>
      <c r="AH88" s="101">
        <v>0</v>
      </c>
      <c r="AI88" s="101">
        <v>12.268000000000001</v>
      </c>
      <c r="AJ88" s="12">
        <v>2680</v>
      </c>
      <c r="AK88" s="101">
        <v>521.30899999999997</v>
      </c>
      <c r="AL88" s="101" t="s">
        <v>18</v>
      </c>
      <c r="AM88" s="101" t="s">
        <v>18</v>
      </c>
      <c r="AN88" s="101" t="s">
        <v>18</v>
      </c>
      <c r="AO88" s="101" t="s">
        <v>18</v>
      </c>
      <c r="AS88" s="7">
        <v>44</v>
      </c>
      <c r="AT88" s="108">
        <f t="shared" si="2"/>
        <v>2.4315446839020001</v>
      </c>
      <c r="AU88" s="108">
        <f t="shared" si="3"/>
        <v>519.37492918399994</v>
      </c>
      <c r="AV88" s="101">
        <f t="shared" si="4"/>
        <v>2.4315446839020001</v>
      </c>
      <c r="AW88" s="60">
        <f t="shared" si="5"/>
        <v>1.7192340912499997</v>
      </c>
      <c r="AX88" s="61">
        <f t="shared" si="6"/>
        <v>531.25116075200003</v>
      </c>
      <c r="AZ88" s="23">
        <f t="shared" si="7"/>
        <v>1.4614964664500008</v>
      </c>
      <c r="BA88" s="103">
        <f t="shared" si="8"/>
        <v>508.44121417600007</v>
      </c>
      <c r="BC88" s="104">
        <f t="shared" si="9"/>
        <v>0.75422141569999979</v>
      </c>
      <c r="BD88" s="105">
        <f t="shared" si="10"/>
        <v>450.07270515200008</v>
      </c>
      <c r="BF88" s="115">
        <f t="shared" si="0"/>
        <v>-0.83369889120000007</v>
      </c>
      <c r="BG88" s="116">
        <f t="shared" si="1"/>
        <v>257.44211200000001</v>
      </c>
    </row>
    <row r="89" spans="1:59" s="101" customFormat="1" ht="14.4" x14ac:dyDescent="0.3">
      <c r="A89" s="101">
        <v>59</v>
      </c>
      <c r="B89" s="101" t="s">
        <v>168</v>
      </c>
      <c r="C89" s="20">
        <v>43908.43346064815</v>
      </c>
      <c r="D89" s="101" t="s">
        <v>25</v>
      </c>
      <c r="E89" s="101" t="s">
        <v>17</v>
      </c>
      <c r="F89" s="101">
        <v>0</v>
      </c>
      <c r="G89" s="101">
        <v>6.1079999999999997</v>
      </c>
      <c r="H89" s="12">
        <v>2474</v>
      </c>
      <c r="I89" s="101">
        <v>3.6659999999999999</v>
      </c>
      <c r="J89" s="101" t="s">
        <v>18</v>
      </c>
      <c r="K89" s="101" t="s">
        <v>18</v>
      </c>
      <c r="L89" s="101" t="s">
        <v>18</v>
      </c>
      <c r="M89" s="101" t="s">
        <v>18</v>
      </c>
      <c r="O89" s="101">
        <v>59</v>
      </c>
      <c r="P89" s="101" t="s">
        <v>168</v>
      </c>
      <c r="Q89" s="20">
        <v>43908.43346064815</v>
      </c>
      <c r="R89" s="101" t="s">
        <v>25</v>
      </c>
      <c r="S89" s="101" t="s">
        <v>17</v>
      </c>
      <c r="T89" s="101">
        <v>0</v>
      </c>
      <c r="U89" s="101" t="s">
        <v>18</v>
      </c>
      <c r="V89" s="101" t="s">
        <v>18</v>
      </c>
      <c r="W89" s="101" t="s">
        <v>18</v>
      </c>
      <c r="X89" s="101" t="s">
        <v>18</v>
      </c>
      <c r="Y89" s="101" t="s">
        <v>18</v>
      </c>
      <c r="Z89" s="101" t="s">
        <v>18</v>
      </c>
      <c r="AA89" s="101" t="s">
        <v>18</v>
      </c>
      <c r="AC89" s="101">
        <v>59</v>
      </c>
      <c r="AD89" s="101" t="s">
        <v>168</v>
      </c>
      <c r="AE89" s="20">
        <v>43908.43346064815</v>
      </c>
      <c r="AF89" s="101" t="s">
        <v>25</v>
      </c>
      <c r="AG89" s="101" t="s">
        <v>17</v>
      </c>
      <c r="AH89" s="101">
        <v>0</v>
      </c>
      <c r="AI89" s="101">
        <v>12.252000000000001</v>
      </c>
      <c r="AJ89" s="12">
        <v>2690</v>
      </c>
      <c r="AK89" s="101">
        <v>523.08699999999999</v>
      </c>
      <c r="AL89" s="101" t="s">
        <v>18</v>
      </c>
      <c r="AM89" s="101" t="s">
        <v>18</v>
      </c>
      <c r="AN89" s="101" t="s">
        <v>18</v>
      </c>
      <c r="AO89" s="101" t="s">
        <v>18</v>
      </c>
      <c r="AS89" s="7">
        <v>45</v>
      </c>
      <c r="AT89" s="108">
        <f t="shared" si="2"/>
        <v>3.0530147452079999</v>
      </c>
      <c r="AU89" s="108">
        <f t="shared" si="3"/>
        <v>520.91360902600002</v>
      </c>
      <c r="AV89" s="101">
        <f t="shared" si="4"/>
        <v>3.0530147452079999</v>
      </c>
      <c r="AW89" s="60">
        <f t="shared" si="5"/>
        <v>2.4512343649999995</v>
      </c>
      <c r="AX89" s="61">
        <f t="shared" si="6"/>
        <v>533.10179000300002</v>
      </c>
      <c r="AZ89" s="23">
        <f t="shared" si="7"/>
        <v>2.3884088258000009</v>
      </c>
      <c r="BA89" s="103">
        <f t="shared" si="8"/>
        <v>510.35234101399993</v>
      </c>
      <c r="BC89" s="104">
        <f t="shared" si="9"/>
        <v>1.1498768228000003</v>
      </c>
      <c r="BD89" s="105">
        <f t="shared" si="10"/>
        <v>452.13833472800007</v>
      </c>
      <c r="BF89" s="115">
        <f t="shared" si="0"/>
        <v>-0.44064792479999992</v>
      </c>
      <c r="BG89" s="116">
        <f t="shared" si="1"/>
        <v>258.43812800000001</v>
      </c>
    </row>
    <row r="90" spans="1:59" s="101" customFormat="1" ht="14.4" x14ac:dyDescent="0.3">
      <c r="A90" s="101">
        <v>18</v>
      </c>
      <c r="B90" s="101" t="s">
        <v>169</v>
      </c>
      <c r="C90" s="20">
        <v>44004.477708333332</v>
      </c>
      <c r="D90" s="101" t="s">
        <v>25</v>
      </c>
      <c r="E90" s="101" t="s">
        <v>17</v>
      </c>
      <c r="F90" s="101">
        <v>0</v>
      </c>
      <c r="G90" s="101">
        <v>6.0519999999999996</v>
      </c>
      <c r="H90" s="12">
        <v>2051</v>
      </c>
      <c r="I90" s="101">
        <v>0</v>
      </c>
      <c r="J90" s="101" t="s">
        <v>18</v>
      </c>
      <c r="K90" s="101" t="s">
        <v>18</v>
      </c>
      <c r="L90" s="101" t="s">
        <v>18</v>
      </c>
      <c r="M90" s="101" t="s">
        <v>18</v>
      </c>
      <c r="O90" s="101">
        <v>18</v>
      </c>
      <c r="P90" s="101" t="s">
        <v>169</v>
      </c>
      <c r="Q90" s="20">
        <v>44004.477708333332</v>
      </c>
      <c r="R90" s="101" t="s">
        <v>25</v>
      </c>
      <c r="S90" s="101" t="s">
        <v>17</v>
      </c>
      <c r="T90" s="101">
        <v>0</v>
      </c>
      <c r="U90" s="101" t="s">
        <v>18</v>
      </c>
      <c r="V90" s="101" t="s">
        <v>18</v>
      </c>
      <c r="W90" s="101" t="s">
        <v>18</v>
      </c>
      <c r="X90" s="101" t="s">
        <v>18</v>
      </c>
      <c r="Y90" s="101" t="s">
        <v>18</v>
      </c>
      <c r="Z90" s="101" t="s">
        <v>18</v>
      </c>
      <c r="AA90" s="101" t="s">
        <v>18</v>
      </c>
      <c r="AC90" s="101">
        <v>18</v>
      </c>
      <c r="AD90" s="101" t="s">
        <v>169</v>
      </c>
      <c r="AE90" s="20">
        <v>44004.477708333332</v>
      </c>
      <c r="AF90" s="101" t="s">
        <v>25</v>
      </c>
      <c r="AG90" s="101" t="s">
        <v>17</v>
      </c>
      <c r="AH90" s="101">
        <v>0</v>
      </c>
      <c r="AI90" s="101">
        <v>12.189</v>
      </c>
      <c r="AJ90" s="12">
        <v>3785</v>
      </c>
      <c r="AK90" s="101">
        <v>0</v>
      </c>
      <c r="AL90" s="101" t="s">
        <v>18</v>
      </c>
      <c r="AM90" s="101" t="s">
        <v>18</v>
      </c>
      <c r="AN90" s="101" t="s">
        <v>18</v>
      </c>
      <c r="AO90" s="101" t="s">
        <v>18</v>
      </c>
      <c r="AS90" s="7">
        <v>46</v>
      </c>
      <c r="AT90" s="60">
        <f t="shared" ref="AT90:AT97" si="11">IF(H90&lt;15000,((0.00000002125*H90^2)+(0.002705*H90)+(-4.371)),(IF(H90&lt;700000,((-0.0000000008162*H90^2)+(0.003141*H90)+(0.4702)), ((0.000000003285*V90^2)+(0.1899*V90)+(559.5)))))</f>
        <v>1.2663452712499996</v>
      </c>
      <c r="AU90" s="61">
        <f t="shared" ref="AU90:AU97" si="12">((-0.00000006277*AJ90^2)+(0.1854*AJ90)+(34.83))</f>
        <v>735.66974285675008</v>
      </c>
      <c r="AV90" s="101">
        <f t="shared" si="4"/>
        <v>1.2663452712499996</v>
      </c>
      <c r="AW90" s="60">
        <f t="shared" si="5"/>
        <v>1.2663452712499996</v>
      </c>
      <c r="AX90" s="61">
        <f t="shared" si="6"/>
        <v>735.66974285675008</v>
      </c>
      <c r="AZ90" s="23">
        <f t="shared" si="7"/>
        <v>0.88220047205000007</v>
      </c>
      <c r="BA90" s="103">
        <f t="shared" si="8"/>
        <v>719.60105558150008</v>
      </c>
      <c r="BC90" s="104">
        <f t="shared" si="9"/>
        <v>0.51859902530000013</v>
      </c>
      <c r="BD90" s="105">
        <f t="shared" si="10"/>
        <v>678.29389473799995</v>
      </c>
      <c r="BF90" s="115">
        <f t="shared" si="0"/>
        <v>-1.0766199647999999</v>
      </c>
      <c r="BG90" s="116">
        <f t="shared" si="1"/>
        <v>365.42072300000007</v>
      </c>
    </row>
    <row r="91" spans="1:59" ht="14.4" x14ac:dyDescent="0.3">
      <c r="A91" s="101">
        <v>27</v>
      </c>
      <c r="B91" s="101" t="s">
        <v>170</v>
      </c>
      <c r="C91" s="20">
        <v>44004.543912037036</v>
      </c>
      <c r="D91" s="101" t="s">
        <v>25</v>
      </c>
      <c r="E91" s="101" t="s">
        <v>17</v>
      </c>
      <c r="F91" s="101">
        <v>0</v>
      </c>
      <c r="G91" s="101">
        <v>6.0590000000000002</v>
      </c>
      <c r="H91" s="12">
        <v>2269</v>
      </c>
      <c r="I91" s="101">
        <v>1E-3</v>
      </c>
      <c r="J91" s="101" t="s">
        <v>18</v>
      </c>
      <c r="K91" s="101" t="s">
        <v>18</v>
      </c>
      <c r="L91" s="101" t="s">
        <v>18</v>
      </c>
      <c r="M91" s="101" t="s">
        <v>18</v>
      </c>
      <c r="N91" s="101"/>
      <c r="O91" s="101">
        <v>27</v>
      </c>
      <c r="P91" s="101" t="s">
        <v>170</v>
      </c>
      <c r="Q91" s="20">
        <v>44004.543912037036</v>
      </c>
      <c r="R91" s="101" t="s">
        <v>25</v>
      </c>
      <c r="S91" s="101" t="s">
        <v>17</v>
      </c>
      <c r="T91" s="101">
        <v>0</v>
      </c>
      <c r="U91" s="101" t="s">
        <v>18</v>
      </c>
      <c r="V91" s="101" t="s">
        <v>18</v>
      </c>
      <c r="W91" s="101" t="s">
        <v>18</v>
      </c>
      <c r="X91" s="101" t="s">
        <v>18</v>
      </c>
      <c r="Y91" s="101" t="s">
        <v>18</v>
      </c>
      <c r="Z91" s="101" t="s">
        <v>18</v>
      </c>
      <c r="AA91" s="101" t="s">
        <v>18</v>
      </c>
      <c r="AB91" s="101"/>
      <c r="AC91" s="101">
        <v>27</v>
      </c>
      <c r="AD91" s="101" t="s">
        <v>170</v>
      </c>
      <c r="AE91" s="20">
        <v>44004.543912037036</v>
      </c>
      <c r="AF91" s="101" t="s">
        <v>25</v>
      </c>
      <c r="AG91" s="101" t="s">
        <v>17</v>
      </c>
      <c r="AH91" s="101">
        <v>0</v>
      </c>
      <c r="AI91" s="101">
        <v>12.205</v>
      </c>
      <c r="AJ91" s="12">
        <v>1936</v>
      </c>
      <c r="AK91" s="101">
        <v>0.379</v>
      </c>
      <c r="AL91" s="101" t="s">
        <v>18</v>
      </c>
      <c r="AM91" s="101" t="s">
        <v>18</v>
      </c>
      <c r="AN91" s="101" t="s">
        <v>18</v>
      </c>
      <c r="AO91" s="101" t="s">
        <v>18</v>
      </c>
      <c r="AR91" s="56"/>
      <c r="AS91" s="7">
        <v>47</v>
      </c>
      <c r="AT91" s="60">
        <f t="shared" si="11"/>
        <v>1.8760476712499994</v>
      </c>
      <c r="AU91" s="61">
        <f t="shared" si="12"/>
        <v>393.52913201408001</v>
      </c>
      <c r="AV91" s="101">
        <f t="shared" si="4"/>
        <v>1.8760476712499994</v>
      </c>
      <c r="AW91" s="60">
        <f t="shared" si="5"/>
        <v>1.8760476712499994</v>
      </c>
      <c r="AX91" s="61">
        <f t="shared" si="6"/>
        <v>393.52913201408001</v>
      </c>
      <c r="AZ91" s="23">
        <f t="shared" si="7"/>
        <v>1.6610394800500003</v>
      </c>
      <c r="BA91" s="103">
        <f t="shared" si="8"/>
        <v>366.24425595904</v>
      </c>
      <c r="BC91" s="104">
        <f t="shared" si="9"/>
        <v>0.83744495330000013</v>
      </c>
      <c r="BD91" s="105">
        <f t="shared" si="10"/>
        <v>296.37554859008003</v>
      </c>
      <c r="BF91" s="115">
        <f t="shared" si="0"/>
        <v>-0.74954061279999973</v>
      </c>
      <c r="BG91" s="116">
        <f t="shared" si="1"/>
        <v>182.37364288000003</v>
      </c>
    </row>
    <row r="92" spans="1:59" s="101" customFormat="1" ht="14.4" x14ac:dyDescent="0.3">
      <c r="A92" s="101">
        <v>28</v>
      </c>
      <c r="B92" s="101" t="s">
        <v>171</v>
      </c>
      <c r="C92" s="20">
        <v>44004.565127314818</v>
      </c>
      <c r="D92" s="101" t="s">
        <v>25</v>
      </c>
      <c r="E92" s="101" t="s">
        <v>17</v>
      </c>
      <c r="F92" s="101">
        <v>0</v>
      </c>
      <c r="G92" s="101">
        <v>6.0469999999999997</v>
      </c>
      <c r="H92" s="12">
        <v>2299</v>
      </c>
      <c r="I92" s="101">
        <v>1E-3</v>
      </c>
      <c r="J92" s="101" t="s">
        <v>18</v>
      </c>
      <c r="K92" s="101" t="s">
        <v>18</v>
      </c>
      <c r="L92" s="101" t="s">
        <v>18</v>
      </c>
      <c r="M92" s="101" t="s">
        <v>18</v>
      </c>
      <c r="O92" s="101">
        <v>28</v>
      </c>
      <c r="P92" s="101" t="s">
        <v>171</v>
      </c>
      <c r="Q92" s="20">
        <v>44004.565127314818</v>
      </c>
      <c r="R92" s="101" t="s">
        <v>25</v>
      </c>
      <c r="S92" s="101" t="s">
        <v>17</v>
      </c>
      <c r="T92" s="101">
        <v>0</v>
      </c>
      <c r="U92" s="101" t="s">
        <v>18</v>
      </c>
      <c r="V92" s="101" t="s">
        <v>18</v>
      </c>
      <c r="W92" s="101" t="s">
        <v>18</v>
      </c>
      <c r="X92" s="101" t="s">
        <v>18</v>
      </c>
      <c r="Y92" s="101" t="s">
        <v>18</v>
      </c>
      <c r="Z92" s="101" t="s">
        <v>18</v>
      </c>
      <c r="AA92" s="101" t="s">
        <v>18</v>
      </c>
      <c r="AC92" s="101">
        <v>28</v>
      </c>
      <c r="AD92" s="101" t="s">
        <v>171</v>
      </c>
      <c r="AE92" s="20">
        <v>44004.565127314818</v>
      </c>
      <c r="AF92" s="101" t="s">
        <v>25</v>
      </c>
      <c r="AG92" s="101" t="s">
        <v>17</v>
      </c>
      <c r="AH92" s="101">
        <v>0</v>
      </c>
      <c r="AI92" s="101">
        <v>12.179</v>
      </c>
      <c r="AJ92" s="12">
        <v>2219</v>
      </c>
      <c r="AK92" s="101">
        <v>0.438</v>
      </c>
      <c r="AL92" s="101" t="s">
        <v>18</v>
      </c>
      <c r="AM92" s="101" t="s">
        <v>18</v>
      </c>
      <c r="AN92" s="101" t="s">
        <v>18</v>
      </c>
      <c r="AO92" s="101" t="s">
        <v>18</v>
      </c>
      <c r="AS92" s="7">
        <v>48</v>
      </c>
      <c r="AT92" s="60">
        <f t="shared" si="11"/>
        <v>1.96010977125</v>
      </c>
      <c r="AU92" s="61">
        <f t="shared" si="12"/>
        <v>445.92352296803</v>
      </c>
      <c r="AV92" s="101">
        <f t="shared" si="4"/>
        <v>1.96010977125</v>
      </c>
      <c r="AW92" s="60">
        <f t="shared" si="5"/>
        <v>1.96010977125</v>
      </c>
      <c r="AX92" s="61">
        <f t="shared" si="6"/>
        <v>445.92352296803</v>
      </c>
      <c r="AZ92" s="23">
        <f t="shared" si="7"/>
        <v>1.7677880120500014</v>
      </c>
      <c r="BA92" s="103">
        <f t="shared" si="8"/>
        <v>420.33473639414001</v>
      </c>
      <c r="BC92" s="104">
        <f t="shared" si="9"/>
        <v>0.88240386529999992</v>
      </c>
      <c r="BD92" s="105">
        <f t="shared" si="10"/>
        <v>354.84164051528001</v>
      </c>
      <c r="BF92" s="115">
        <f t="shared" si="0"/>
        <v>-0.70441660480000001</v>
      </c>
      <c r="BG92" s="116">
        <f t="shared" si="1"/>
        <v>211.15230908000001</v>
      </c>
    </row>
    <row r="93" spans="1:59" s="101" customFormat="1" ht="14.4" x14ac:dyDescent="0.3">
      <c r="A93" s="101">
        <v>29</v>
      </c>
      <c r="B93" s="101" t="s">
        <v>172</v>
      </c>
      <c r="C93" s="20">
        <v>44004.586342592593</v>
      </c>
      <c r="D93" s="101" t="s">
        <v>25</v>
      </c>
      <c r="E93" s="101" t="s">
        <v>17</v>
      </c>
      <c r="F93" s="101">
        <v>0</v>
      </c>
      <c r="G93" s="101">
        <v>6.0460000000000003</v>
      </c>
      <c r="H93" s="12">
        <v>2212</v>
      </c>
      <c r="I93" s="101">
        <v>1E-3</v>
      </c>
      <c r="J93" s="101" t="s">
        <v>18</v>
      </c>
      <c r="K93" s="101" t="s">
        <v>18</v>
      </c>
      <c r="L93" s="101" t="s">
        <v>18</v>
      </c>
      <c r="M93" s="101" t="s">
        <v>18</v>
      </c>
      <c r="O93" s="101">
        <v>29</v>
      </c>
      <c r="P93" s="101" t="s">
        <v>172</v>
      </c>
      <c r="Q93" s="20">
        <v>44004.586342592593</v>
      </c>
      <c r="R93" s="101" t="s">
        <v>25</v>
      </c>
      <c r="S93" s="101" t="s">
        <v>17</v>
      </c>
      <c r="T93" s="101">
        <v>0</v>
      </c>
      <c r="U93" s="101" t="s">
        <v>18</v>
      </c>
      <c r="V93" s="101" t="s">
        <v>18</v>
      </c>
      <c r="W93" s="101" t="s">
        <v>18</v>
      </c>
      <c r="X93" s="101" t="s">
        <v>18</v>
      </c>
      <c r="Y93" s="101" t="s">
        <v>18</v>
      </c>
      <c r="Z93" s="101" t="s">
        <v>18</v>
      </c>
      <c r="AA93" s="101" t="s">
        <v>18</v>
      </c>
      <c r="AC93" s="101">
        <v>29</v>
      </c>
      <c r="AD93" s="101" t="s">
        <v>172</v>
      </c>
      <c r="AE93" s="20">
        <v>44004.586342592593</v>
      </c>
      <c r="AF93" s="101" t="s">
        <v>25</v>
      </c>
      <c r="AG93" s="101" t="s">
        <v>17</v>
      </c>
      <c r="AH93" s="101">
        <v>0</v>
      </c>
      <c r="AI93" s="101">
        <v>12.151</v>
      </c>
      <c r="AJ93" s="12">
        <v>2045</v>
      </c>
      <c r="AK93" s="101">
        <v>0.40200000000000002</v>
      </c>
      <c r="AL93" s="101" t="s">
        <v>18</v>
      </c>
      <c r="AM93" s="101" t="s">
        <v>18</v>
      </c>
      <c r="AN93" s="101" t="s">
        <v>18</v>
      </c>
      <c r="AO93" s="101" t="s">
        <v>18</v>
      </c>
      <c r="AS93" s="7">
        <v>49</v>
      </c>
      <c r="AT93" s="60">
        <f t="shared" si="11"/>
        <v>1.7164350599999993</v>
      </c>
      <c r="AU93" s="61">
        <f t="shared" si="12"/>
        <v>413.71049429075003</v>
      </c>
      <c r="AV93" s="101">
        <f t="shared" si="4"/>
        <v>1.7164350599999993</v>
      </c>
      <c r="AW93" s="60">
        <f t="shared" si="5"/>
        <v>1.7164350599999993</v>
      </c>
      <c r="AX93" s="61">
        <f t="shared" si="6"/>
        <v>413.71049429075003</v>
      </c>
      <c r="AZ93" s="23">
        <f t="shared" si="7"/>
        <v>1.4579298952000013</v>
      </c>
      <c r="BA93" s="103">
        <f t="shared" si="8"/>
        <v>387.07800027350004</v>
      </c>
      <c r="BC93" s="104">
        <f t="shared" si="9"/>
        <v>0.75274356319999991</v>
      </c>
      <c r="BD93" s="105">
        <f t="shared" si="10"/>
        <v>318.89477472200002</v>
      </c>
      <c r="BF93" s="115">
        <f t="shared" si="0"/>
        <v>-0.83520085119999976</v>
      </c>
      <c r="BG93" s="116">
        <f t="shared" si="1"/>
        <v>193.49062700000002</v>
      </c>
    </row>
    <row r="94" spans="1:59" s="101" customFormat="1" ht="14.4" x14ac:dyDescent="0.3">
      <c r="A94" s="101">
        <v>44</v>
      </c>
      <c r="B94" s="101" t="s">
        <v>173</v>
      </c>
      <c r="C94" s="20">
        <v>44005.428136574075</v>
      </c>
      <c r="D94" s="101" t="s">
        <v>25</v>
      </c>
      <c r="E94" s="101" t="s">
        <v>17</v>
      </c>
      <c r="F94" s="101">
        <v>0</v>
      </c>
      <c r="G94" s="101">
        <v>6.0720000000000001</v>
      </c>
      <c r="H94" s="12">
        <v>2336</v>
      </c>
      <c r="I94" s="101">
        <v>1E-3</v>
      </c>
      <c r="J94" s="101" t="s">
        <v>18</v>
      </c>
      <c r="K94" s="101" t="s">
        <v>18</v>
      </c>
      <c r="L94" s="101" t="s">
        <v>18</v>
      </c>
      <c r="M94" s="101" t="s">
        <v>18</v>
      </c>
      <c r="O94" s="101">
        <v>44</v>
      </c>
      <c r="P94" s="101" t="s">
        <v>173</v>
      </c>
      <c r="Q94" s="20">
        <v>44005.428136574075</v>
      </c>
      <c r="R94" s="101" t="s">
        <v>25</v>
      </c>
      <c r="S94" s="101" t="s">
        <v>17</v>
      </c>
      <c r="T94" s="101">
        <v>0</v>
      </c>
      <c r="U94" s="101" t="s">
        <v>18</v>
      </c>
      <c r="V94" s="101" t="s">
        <v>18</v>
      </c>
      <c r="W94" s="101" t="s">
        <v>18</v>
      </c>
      <c r="X94" s="101" t="s">
        <v>18</v>
      </c>
      <c r="Y94" s="101" t="s">
        <v>18</v>
      </c>
      <c r="Z94" s="101" t="s">
        <v>18</v>
      </c>
      <c r="AA94" s="101" t="s">
        <v>18</v>
      </c>
      <c r="AC94" s="101">
        <v>44</v>
      </c>
      <c r="AD94" s="101" t="s">
        <v>173</v>
      </c>
      <c r="AE94" s="20">
        <v>44005.428136574075</v>
      </c>
      <c r="AF94" s="101" t="s">
        <v>25</v>
      </c>
      <c r="AG94" s="101" t="s">
        <v>17</v>
      </c>
      <c r="AH94" s="101">
        <v>0</v>
      </c>
      <c r="AI94" s="101">
        <v>12.221</v>
      </c>
      <c r="AJ94" s="12">
        <v>3573</v>
      </c>
      <c r="AK94" s="101">
        <v>0.71799999999999997</v>
      </c>
      <c r="AL94" s="101" t="s">
        <v>18</v>
      </c>
      <c r="AM94" s="101" t="s">
        <v>18</v>
      </c>
      <c r="AN94" s="101" t="s">
        <v>18</v>
      </c>
      <c r="AO94" s="101" t="s">
        <v>18</v>
      </c>
      <c r="AS94" s="7">
        <v>50</v>
      </c>
      <c r="AT94" s="60">
        <f t="shared" si="11"/>
        <v>2.0638390399999995</v>
      </c>
      <c r="AU94" s="61">
        <f t="shared" si="12"/>
        <v>696.46285752867004</v>
      </c>
      <c r="AV94" s="101">
        <f t="shared" si="4"/>
        <v>2.0638390399999995</v>
      </c>
      <c r="AW94" s="60">
        <f t="shared" si="5"/>
        <v>2.0638390399999995</v>
      </c>
      <c r="AX94" s="61">
        <f t="shared" si="6"/>
        <v>696.46285752867004</v>
      </c>
      <c r="AZ94" s="23">
        <f t="shared" si="7"/>
        <v>1.8993008768000017</v>
      </c>
      <c r="BA94" s="103">
        <f t="shared" si="8"/>
        <v>679.09201949046007</v>
      </c>
      <c r="BC94" s="104">
        <f t="shared" si="9"/>
        <v>0.93821338880000016</v>
      </c>
      <c r="BD94" s="105">
        <f t="shared" si="10"/>
        <v>634.51330328391987</v>
      </c>
      <c r="BF94" s="115">
        <f t="shared" si="0"/>
        <v>-0.64872598079999966</v>
      </c>
      <c r="BG94" s="116">
        <f t="shared" si="1"/>
        <v>345.03008812000002</v>
      </c>
    </row>
    <row r="95" spans="1:59" s="101" customFormat="1" ht="14.4" x14ac:dyDescent="0.3">
      <c r="A95" s="101">
        <v>40</v>
      </c>
      <c r="B95" s="101" t="s">
        <v>174</v>
      </c>
      <c r="C95" s="20">
        <v>44006.384895833333</v>
      </c>
      <c r="D95" s="101" t="s">
        <v>25</v>
      </c>
      <c r="E95" s="101" t="s">
        <v>17</v>
      </c>
      <c r="F95" s="101">
        <v>0</v>
      </c>
      <c r="G95" s="101">
        <v>6.0730000000000004</v>
      </c>
      <c r="H95" s="12">
        <v>2469</v>
      </c>
      <c r="I95" s="101">
        <v>2E-3</v>
      </c>
      <c r="J95" s="101" t="s">
        <v>18</v>
      </c>
      <c r="K95" s="101" t="s">
        <v>18</v>
      </c>
      <c r="L95" s="101" t="s">
        <v>18</v>
      </c>
      <c r="M95" s="101" t="s">
        <v>18</v>
      </c>
      <c r="O95" s="101">
        <v>40</v>
      </c>
      <c r="P95" s="101" t="s">
        <v>174</v>
      </c>
      <c r="Q95" s="20">
        <v>44006.384895833333</v>
      </c>
      <c r="R95" s="101" t="s">
        <v>25</v>
      </c>
      <c r="S95" s="101" t="s">
        <v>17</v>
      </c>
      <c r="T95" s="101">
        <v>0</v>
      </c>
      <c r="U95" s="101" t="s">
        <v>18</v>
      </c>
      <c r="V95" s="101" t="s">
        <v>18</v>
      </c>
      <c r="W95" s="101" t="s">
        <v>18</v>
      </c>
      <c r="X95" s="101" t="s">
        <v>18</v>
      </c>
      <c r="Y95" s="101" t="s">
        <v>18</v>
      </c>
      <c r="Z95" s="101" t="s">
        <v>18</v>
      </c>
      <c r="AA95" s="101" t="s">
        <v>18</v>
      </c>
      <c r="AC95" s="101">
        <v>40</v>
      </c>
      <c r="AD95" s="101" t="s">
        <v>174</v>
      </c>
      <c r="AE95" s="20">
        <v>44006.384895833333</v>
      </c>
      <c r="AF95" s="101" t="s">
        <v>25</v>
      </c>
      <c r="AG95" s="101" t="s">
        <v>17</v>
      </c>
      <c r="AH95" s="101">
        <v>0</v>
      </c>
      <c r="AI95" s="101">
        <v>12.215999999999999</v>
      </c>
      <c r="AJ95" s="12">
        <v>2982</v>
      </c>
      <c r="AK95" s="101">
        <v>0.59599999999999997</v>
      </c>
      <c r="AL95" s="101" t="s">
        <v>18</v>
      </c>
      <c r="AM95" s="101" t="s">
        <v>18</v>
      </c>
      <c r="AN95" s="101" t="s">
        <v>18</v>
      </c>
      <c r="AO95" s="101" t="s">
        <v>18</v>
      </c>
      <c r="AS95" s="7">
        <v>51</v>
      </c>
      <c r="AT95" s="60">
        <f t="shared" si="11"/>
        <v>2.4371841712499993</v>
      </c>
      <c r="AU95" s="61">
        <f t="shared" si="12"/>
        <v>587.13462882252009</v>
      </c>
      <c r="AV95" s="101">
        <f t="shared" si="4"/>
        <v>2.4371841712499993</v>
      </c>
      <c r="AW95" s="60">
        <f t="shared" si="5"/>
        <v>2.4371841712499993</v>
      </c>
      <c r="AX95" s="61">
        <f t="shared" si="6"/>
        <v>587.13462882252009</v>
      </c>
      <c r="AZ95" s="23">
        <f t="shared" si="7"/>
        <v>2.3707260600500017</v>
      </c>
      <c r="BA95" s="103">
        <f t="shared" si="8"/>
        <v>566.15581081176003</v>
      </c>
      <c r="BC95" s="104">
        <f t="shared" si="9"/>
        <v>1.1421112332999999</v>
      </c>
      <c r="BD95" s="105">
        <f t="shared" si="10"/>
        <v>512.45246789151997</v>
      </c>
      <c r="BF95" s="115">
        <f t="shared" si="0"/>
        <v>-0.44819709279999964</v>
      </c>
      <c r="BG95" s="116">
        <f t="shared" si="1"/>
        <v>287.37011871999999</v>
      </c>
    </row>
    <row r="96" spans="1:59" s="101" customFormat="1" ht="14.4" x14ac:dyDescent="0.3">
      <c r="A96" s="101">
        <v>13</v>
      </c>
      <c r="B96" s="101" t="s">
        <v>175</v>
      </c>
      <c r="C96" s="20">
        <v>44007.444143518522</v>
      </c>
      <c r="D96" s="101" t="s">
        <v>25</v>
      </c>
      <c r="E96" s="101" t="s">
        <v>17</v>
      </c>
      <c r="F96" s="101">
        <v>0</v>
      </c>
      <c r="G96" s="101">
        <v>6.0830000000000002</v>
      </c>
      <c r="H96" s="12">
        <v>2364</v>
      </c>
      <c r="I96" s="101">
        <v>0.123</v>
      </c>
      <c r="J96" s="101" t="s">
        <v>18</v>
      </c>
      <c r="K96" s="101" t="s">
        <v>18</v>
      </c>
      <c r="L96" s="101" t="s">
        <v>18</v>
      </c>
      <c r="M96" s="101" t="s">
        <v>18</v>
      </c>
      <c r="O96" s="101">
        <v>13</v>
      </c>
      <c r="P96" s="101" t="s">
        <v>175</v>
      </c>
      <c r="Q96" s="20">
        <v>44007.444143518522</v>
      </c>
      <c r="R96" s="101" t="s">
        <v>25</v>
      </c>
      <c r="S96" s="101" t="s">
        <v>17</v>
      </c>
      <c r="T96" s="101">
        <v>0</v>
      </c>
      <c r="U96" s="101" t="s">
        <v>18</v>
      </c>
      <c r="V96" s="101" t="s">
        <v>18</v>
      </c>
      <c r="W96" s="101" t="s">
        <v>18</v>
      </c>
      <c r="X96" s="101" t="s">
        <v>18</v>
      </c>
      <c r="Y96" s="101" t="s">
        <v>18</v>
      </c>
      <c r="Z96" s="101" t="s">
        <v>18</v>
      </c>
      <c r="AA96" s="101" t="s">
        <v>18</v>
      </c>
      <c r="AC96" s="101">
        <v>13</v>
      </c>
      <c r="AD96" s="101" t="s">
        <v>175</v>
      </c>
      <c r="AE96" s="20">
        <v>44007.444143518522</v>
      </c>
      <c r="AF96" s="101" t="s">
        <v>25</v>
      </c>
      <c r="AG96" s="101" t="s">
        <v>17</v>
      </c>
      <c r="AH96" s="101">
        <v>0</v>
      </c>
      <c r="AI96" s="101">
        <v>12.215</v>
      </c>
      <c r="AJ96" s="12">
        <v>2285</v>
      </c>
      <c r="AK96" s="101">
        <v>0.47099999999999997</v>
      </c>
      <c r="AL96" s="101" t="s">
        <v>18</v>
      </c>
      <c r="AM96" s="101" t="s">
        <v>18</v>
      </c>
      <c r="AN96" s="101" t="s">
        <v>18</v>
      </c>
      <c r="AO96" s="101" t="s">
        <v>18</v>
      </c>
      <c r="AS96" s="7">
        <v>52</v>
      </c>
      <c r="AT96" s="60">
        <f t="shared" si="11"/>
        <v>2.1423755399999997</v>
      </c>
      <c r="AU96" s="61">
        <f t="shared" si="12"/>
        <v>458.14126370675001</v>
      </c>
      <c r="AV96" s="101">
        <f t="shared" si="4"/>
        <v>2.1423755399999997</v>
      </c>
      <c r="AW96" s="60">
        <f t="shared" si="5"/>
        <v>2.1423755399999997</v>
      </c>
      <c r="AX96" s="61">
        <f t="shared" si="6"/>
        <v>458.14126370675001</v>
      </c>
      <c r="AZ96" s="23">
        <f t="shared" si="7"/>
        <v>1.9987186568000013</v>
      </c>
      <c r="BA96" s="103">
        <f t="shared" si="8"/>
        <v>432.94910288149998</v>
      </c>
      <c r="BC96" s="104">
        <f t="shared" si="9"/>
        <v>0.98071206880000017</v>
      </c>
      <c r="BD96" s="105">
        <f t="shared" si="10"/>
        <v>368.47625433800005</v>
      </c>
      <c r="BF96" s="115">
        <f t="shared" si="0"/>
        <v>-0.60655406080000018</v>
      </c>
      <c r="BG96" s="116">
        <f t="shared" si="1"/>
        <v>217.82432299999999</v>
      </c>
    </row>
    <row r="97" spans="1:59" s="101" customFormat="1" ht="14.4" x14ac:dyDescent="0.3">
      <c r="A97" s="101">
        <v>37</v>
      </c>
      <c r="B97" s="101" t="s">
        <v>176</v>
      </c>
      <c r="C97" s="20">
        <v>44008.458078703705</v>
      </c>
      <c r="D97" s="101" t="s">
        <v>25</v>
      </c>
      <c r="E97" s="101" t="s">
        <v>17</v>
      </c>
      <c r="F97" s="101">
        <v>0</v>
      </c>
      <c r="G97" s="101">
        <v>6.0709999999999997</v>
      </c>
      <c r="H97" s="12">
        <v>2944</v>
      </c>
      <c r="I97" s="101">
        <v>3.0000000000000001E-3</v>
      </c>
      <c r="J97" s="101" t="s">
        <v>18</v>
      </c>
      <c r="K97" s="101" t="s">
        <v>18</v>
      </c>
      <c r="L97" s="101" t="s">
        <v>18</v>
      </c>
      <c r="M97" s="101" t="s">
        <v>18</v>
      </c>
      <c r="O97" s="101">
        <v>37</v>
      </c>
      <c r="P97" s="101" t="s">
        <v>176</v>
      </c>
      <c r="Q97" s="20">
        <v>44008.458078703705</v>
      </c>
      <c r="R97" s="101" t="s">
        <v>25</v>
      </c>
      <c r="S97" s="101" t="s">
        <v>17</v>
      </c>
      <c r="T97" s="101">
        <v>0</v>
      </c>
      <c r="U97" s="101" t="s">
        <v>18</v>
      </c>
      <c r="V97" s="101" t="s">
        <v>18</v>
      </c>
      <c r="W97" s="101" t="s">
        <v>18</v>
      </c>
      <c r="X97" s="101" t="s">
        <v>18</v>
      </c>
      <c r="Y97" s="101" t="s">
        <v>18</v>
      </c>
      <c r="Z97" s="101" t="s">
        <v>18</v>
      </c>
      <c r="AA97" s="101" t="s">
        <v>18</v>
      </c>
      <c r="AC97" s="101">
        <v>37</v>
      </c>
      <c r="AD97" s="101" t="s">
        <v>176</v>
      </c>
      <c r="AE97" s="20">
        <v>44008.458078703705</v>
      </c>
      <c r="AF97" s="101" t="s">
        <v>25</v>
      </c>
      <c r="AG97" s="101" t="s">
        <v>17</v>
      </c>
      <c r="AH97" s="101">
        <v>0</v>
      </c>
      <c r="AI97" s="101">
        <v>12.212999999999999</v>
      </c>
      <c r="AJ97" s="12">
        <v>2092</v>
      </c>
      <c r="AK97" s="101">
        <v>0.46</v>
      </c>
      <c r="AL97" s="101" t="s">
        <v>18</v>
      </c>
      <c r="AM97" s="101" t="s">
        <v>18</v>
      </c>
      <c r="AN97" s="101" t="s">
        <v>18</v>
      </c>
      <c r="AO97" s="101" t="s">
        <v>18</v>
      </c>
      <c r="AS97" s="7">
        <v>53</v>
      </c>
      <c r="AT97" s="60">
        <f t="shared" si="11"/>
        <v>3.7766966399999991</v>
      </c>
      <c r="AU97" s="61">
        <f t="shared" si="12"/>
        <v>422.41208935472002</v>
      </c>
      <c r="AV97" s="101">
        <f t="shared" si="4"/>
        <v>3.7766966399999991</v>
      </c>
      <c r="AW97" s="60">
        <f t="shared" si="5"/>
        <v>3.7766966399999991</v>
      </c>
      <c r="AX97" s="61">
        <f t="shared" si="6"/>
        <v>422.41208935472002</v>
      </c>
      <c r="AZ97" s="23">
        <f t="shared" si="7"/>
        <v>4.0376514688000018</v>
      </c>
      <c r="BA97" s="103">
        <f t="shared" si="8"/>
        <v>396.06123869536003</v>
      </c>
      <c r="BC97" s="104">
        <f t="shared" si="9"/>
        <v>1.9122804608000001</v>
      </c>
      <c r="BD97" s="105">
        <f t="shared" si="10"/>
        <v>328.60471263872</v>
      </c>
      <c r="BF97" s="115">
        <f t="shared" si="0"/>
        <v>0.27236726719999993</v>
      </c>
      <c r="BG97" s="116">
        <f t="shared" si="1"/>
        <v>198.27157792000003</v>
      </c>
    </row>
    <row r="98" spans="1:59" s="101" customFormat="1" ht="14.4" x14ac:dyDescent="0.3">
      <c r="A98" s="101">
        <v>37</v>
      </c>
      <c r="B98" s="101" t="s">
        <v>177</v>
      </c>
      <c r="C98" s="20">
        <v>44012.426736111112</v>
      </c>
      <c r="D98" s="101" t="s">
        <v>25</v>
      </c>
      <c r="E98" s="101" t="s">
        <v>17</v>
      </c>
      <c r="F98" s="101">
        <v>0</v>
      </c>
      <c r="G98" s="101">
        <v>6.0720000000000001</v>
      </c>
      <c r="H98" s="12">
        <v>2324</v>
      </c>
      <c r="I98" s="101">
        <v>2E-3</v>
      </c>
      <c r="J98" s="101" t="s">
        <v>18</v>
      </c>
      <c r="K98" s="101" t="s">
        <v>18</v>
      </c>
      <c r="L98" s="101" t="s">
        <v>18</v>
      </c>
      <c r="M98" s="101" t="s">
        <v>18</v>
      </c>
      <c r="O98" s="101">
        <v>37</v>
      </c>
      <c r="P98" s="101" t="s">
        <v>177</v>
      </c>
      <c r="Q98" s="20">
        <v>44012.426736111112</v>
      </c>
      <c r="R98" s="101" t="s">
        <v>25</v>
      </c>
      <c r="S98" s="101" t="s">
        <v>17</v>
      </c>
      <c r="T98" s="101">
        <v>0</v>
      </c>
      <c r="U98" s="101" t="s">
        <v>18</v>
      </c>
      <c r="V98" s="101" t="s">
        <v>18</v>
      </c>
      <c r="W98" s="101" t="s">
        <v>18</v>
      </c>
      <c r="X98" s="101" t="s">
        <v>18</v>
      </c>
      <c r="Y98" s="101" t="s">
        <v>18</v>
      </c>
      <c r="Z98" s="101" t="s">
        <v>18</v>
      </c>
      <c r="AA98" s="101" t="s">
        <v>18</v>
      </c>
      <c r="AC98" s="101">
        <v>37</v>
      </c>
      <c r="AD98" s="101" t="s">
        <v>177</v>
      </c>
      <c r="AE98" s="20">
        <v>44012.426736111112</v>
      </c>
      <c r="AF98" s="101" t="s">
        <v>25</v>
      </c>
      <c r="AG98" s="101" t="s">
        <v>17</v>
      </c>
      <c r="AH98" s="101">
        <v>0</v>
      </c>
      <c r="AI98" s="101">
        <v>12.224</v>
      </c>
      <c r="AJ98" s="12">
        <v>2233</v>
      </c>
      <c r="AK98" s="101">
        <v>0.47899999999999998</v>
      </c>
      <c r="AL98" s="101" t="s">
        <v>18</v>
      </c>
      <c r="AM98" s="101" t="s">
        <v>18</v>
      </c>
      <c r="AN98" s="101" t="s">
        <v>18</v>
      </c>
      <c r="AO98" s="101" t="s">
        <v>18</v>
      </c>
      <c r="AS98" s="7">
        <v>54</v>
      </c>
      <c r="AT98" s="60">
        <f>IF(H98&lt;15000,((0.00000002125*H98^2)+(0.002705*H98)+(-4.371)),(IF(H98&lt;700000,((-0.0000000008162*H98^2)+(0.003141*H98)+(0.4702)), ((0.000000003285*V98^2)+(0.1899*V98)+(559.5)))))</f>
        <v>2.0301907399999992</v>
      </c>
      <c r="AU98" s="61">
        <f>((-0.00000006277*AJ98^2)+(0.1854*AJ98)+(34.83))</f>
        <v>448.51521063946996</v>
      </c>
      <c r="AV98" s="101">
        <f t="shared" si="4"/>
        <v>2.0301907399999992</v>
      </c>
      <c r="AW98" s="60">
        <f t="shared" si="5"/>
        <v>2.0301907399999992</v>
      </c>
      <c r="AX98" s="61">
        <f t="shared" si="6"/>
        <v>448.51521063946996</v>
      </c>
      <c r="AZ98" s="23">
        <f t="shared" si="7"/>
        <v>1.8566654408000005</v>
      </c>
      <c r="BA98" s="103">
        <f t="shared" si="8"/>
        <v>423.01052294086003</v>
      </c>
      <c r="BC98" s="104">
        <f t="shared" si="9"/>
        <v>0.92006941279999999</v>
      </c>
      <c r="BD98" s="105">
        <f t="shared" si="10"/>
        <v>357.73384990472005</v>
      </c>
      <c r="BF98" s="115">
        <f t="shared" si="0"/>
        <v>-0.66679236480000004</v>
      </c>
      <c r="BG98" s="116">
        <f t="shared" si="1"/>
        <v>212.56883692000002</v>
      </c>
    </row>
    <row r="99" spans="1:59" s="101" customFormat="1" ht="14.4" x14ac:dyDescent="0.3">
      <c r="A99" s="101">
        <v>37</v>
      </c>
      <c r="B99" s="101" t="s">
        <v>178</v>
      </c>
      <c r="C99" s="20">
        <v>44015.431793981479</v>
      </c>
      <c r="D99" s="101" t="s">
        <v>25</v>
      </c>
      <c r="E99" s="101" t="s">
        <v>17</v>
      </c>
      <c r="F99" s="101">
        <v>0</v>
      </c>
      <c r="G99" s="101">
        <v>6.0780000000000003</v>
      </c>
      <c r="H99" s="12">
        <v>2388</v>
      </c>
      <c r="I99" s="101">
        <v>2E-3</v>
      </c>
      <c r="J99" s="101" t="s">
        <v>18</v>
      </c>
      <c r="K99" s="101" t="s">
        <v>18</v>
      </c>
      <c r="L99" s="101" t="s">
        <v>18</v>
      </c>
      <c r="M99" s="101" t="s">
        <v>18</v>
      </c>
      <c r="O99" s="101">
        <v>37</v>
      </c>
      <c r="P99" s="101" t="s">
        <v>178</v>
      </c>
      <c r="Q99" s="20">
        <v>44015.431793981479</v>
      </c>
      <c r="R99" s="101" t="s">
        <v>25</v>
      </c>
      <c r="S99" s="101" t="s">
        <v>17</v>
      </c>
      <c r="T99" s="101">
        <v>0</v>
      </c>
      <c r="U99" s="101" t="s">
        <v>18</v>
      </c>
      <c r="V99" s="101" t="s">
        <v>18</v>
      </c>
      <c r="W99" s="101" t="s">
        <v>18</v>
      </c>
      <c r="X99" s="101" t="s">
        <v>18</v>
      </c>
      <c r="Y99" s="101" t="s">
        <v>18</v>
      </c>
      <c r="Z99" s="101" t="s">
        <v>18</v>
      </c>
      <c r="AA99" s="101" t="s">
        <v>18</v>
      </c>
      <c r="AC99" s="101">
        <v>37</v>
      </c>
      <c r="AD99" s="101" t="s">
        <v>178</v>
      </c>
      <c r="AE99" s="20">
        <v>44015.431793981479</v>
      </c>
      <c r="AF99" s="101" t="s">
        <v>25</v>
      </c>
      <c r="AG99" s="101" t="s">
        <v>17</v>
      </c>
      <c r="AH99" s="101">
        <v>0</v>
      </c>
      <c r="AI99" s="101">
        <v>12.222</v>
      </c>
      <c r="AJ99" s="12">
        <v>1715</v>
      </c>
      <c r="AK99" s="101">
        <v>0.40799999999999997</v>
      </c>
      <c r="AL99" s="101" t="s">
        <v>18</v>
      </c>
      <c r="AM99" s="101" t="s">
        <v>18</v>
      </c>
      <c r="AN99" s="101" t="s">
        <v>18</v>
      </c>
      <c r="AO99" s="101" t="s">
        <v>18</v>
      </c>
      <c r="AS99" s="7">
        <v>55</v>
      </c>
      <c r="AT99" s="60">
        <f>IF(H99&lt;15000,((0.00000002125*H99^2)+(0.002705*H99)+(-4.371)),(IF(H99&lt;700000,((-0.0000000008162*H99^2)+(0.003141*H99)+(0.4702)), ((0.000000003285*V99^2)+(0.1899*V99)+(559.5)))))</f>
        <v>2.2097190599999994</v>
      </c>
      <c r="AU99" s="61">
        <f>((-0.00000006277*AJ99^2)+(0.1854*AJ99)+(34.83))</f>
        <v>352.60637930675</v>
      </c>
      <c r="AV99" s="101">
        <f t="shared" si="4"/>
        <v>2.2097190599999994</v>
      </c>
      <c r="AW99" s="60">
        <f t="shared" si="5"/>
        <v>2.2097190599999994</v>
      </c>
      <c r="AX99" s="61">
        <f t="shared" si="6"/>
        <v>352.60637930675</v>
      </c>
      <c r="AZ99" s="23">
        <f t="shared" si="7"/>
        <v>2.0838615752000003</v>
      </c>
      <c r="BA99" s="103">
        <f t="shared" si="8"/>
        <v>324.00217568150003</v>
      </c>
      <c r="BC99" s="104">
        <f t="shared" si="9"/>
        <v>1.0173208432</v>
      </c>
      <c r="BD99" s="105">
        <f t="shared" si="10"/>
        <v>250.71543993800003</v>
      </c>
      <c r="BF99" s="115">
        <f t="shared" si="0"/>
        <v>-0.57038773119999986</v>
      </c>
      <c r="BG99" s="116">
        <f t="shared" si="1"/>
        <v>159.70826299999999</v>
      </c>
    </row>
    <row r="100" spans="1:59" s="101" customFormat="1" ht="14.4" x14ac:dyDescent="0.3">
      <c r="A100" s="101">
        <v>37</v>
      </c>
      <c r="B100" s="101" t="s">
        <v>179</v>
      </c>
      <c r="C100" s="20">
        <v>44019.450856481482</v>
      </c>
      <c r="D100" s="101" t="s">
        <v>25</v>
      </c>
      <c r="E100" s="101" t="s">
        <v>17</v>
      </c>
      <c r="F100" s="101">
        <v>0</v>
      </c>
      <c r="G100" s="101">
        <v>6.0709999999999997</v>
      </c>
      <c r="H100" s="12">
        <v>2693</v>
      </c>
      <c r="I100" s="101">
        <v>2E-3</v>
      </c>
      <c r="J100" s="101" t="s">
        <v>18</v>
      </c>
      <c r="K100" s="101" t="s">
        <v>18</v>
      </c>
      <c r="L100" s="101" t="s">
        <v>18</v>
      </c>
      <c r="M100" s="101" t="s">
        <v>18</v>
      </c>
      <c r="O100" s="101">
        <v>37</v>
      </c>
      <c r="P100" s="101" t="s">
        <v>179</v>
      </c>
      <c r="Q100" s="20">
        <v>44019.450856481482</v>
      </c>
      <c r="R100" s="101" t="s">
        <v>25</v>
      </c>
      <c r="S100" s="101" t="s">
        <v>17</v>
      </c>
      <c r="T100" s="101">
        <v>0</v>
      </c>
      <c r="U100" s="101" t="s">
        <v>18</v>
      </c>
      <c r="V100" s="101" t="s">
        <v>18</v>
      </c>
      <c r="W100" s="101" t="s">
        <v>18</v>
      </c>
      <c r="X100" s="101" t="s">
        <v>18</v>
      </c>
      <c r="Y100" s="101" t="s">
        <v>18</v>
      </c>
      <c r="Z100" s="101" t="s">
        <v>18</v>
      </c>
      <c r="AA100" s="101" t="s">
        <v>18</v>
      </c>
      <c r="AC100" s="101">
        <v>37</v>
      </c>
      <c r="AD100" s="101" t="s">
        <v>179</v>
      </c>
      <c r="AE100" s="20">
        <v>44019.450856481482</v>
      </c>
      <c r="AF100" s="101" t="s">
        <v>25</v>
      </c>
      <c r="AG100" s="101" t="s">
        <v>17</v>
      </c>
      <c r="AH100" s="101">
        <v>0</v>
      </c>
      <c r="AI100" s="101">
        <v>12.239000000000001</v>
      </c>
      <c r="AJ100" s="12">
        <v>2284</v>
      </c>
      <c r="AK100" s="101">
        <v>0.48599999999999999</v>
      </c>
      <c r="AL100" s="101" t="s">
        <v>18</v>
      </c>
      <c r="AM100" s="101" t="s">
        <v>18</v>
      </c>
      <c r="AN100" s="101" t="s">
        <v>18</v>
      </c>
      <c r="AO100" s="101" t="s">
        <v>18</v>
      </c>
      <c r="AS100" s="7">
        <v>56</v>
      </c>
      <c r="AT100" s="60">
        <f>IF(H100&lt;15000,((0.00000002125*H100^2)+(0.002705*H100)+(-4.371)),(IF(H100&lt;700000,((-0.0000000008162*H100^2)+(0.003141*H100)+(0.4702)), ((0.000000003285*V100^2)+(0.1899*V100)+(559.5)))))</f>
        <v>3.0676752912499996</v>
      </c>
      <c r="AU100" s="61">
        <f>((-0.00000006277*AJ100^2)+(0.1854*AJ100)+(34.83))</f>
        <v>457.95615050287995</v>
      </c>
      <c r="AV100" s="101">
        <f t="shared" si="4"/>
        <v>3.0676752912499996</v>
      </c>
      <c r="AW100" s="60">
        <f t="shared" si="5"/>
        <v>3.0676752912499996</v>
      </c>
      <c r="AX100" s="61">
        <f t="shared" si="6"/>
        <v>457.95615050287995</v>
      </c>
      <c r="AZ100" s="23">
        <f t="shared" si="7"/>
        <v>3.1600711704500011</v>
      </c>
      <c r="BA100" s="103">
        <f t="shared" si="8"/>
        <v>432.75797717344</v>
      </c>
      <c r="BC100" s="104">
        <f t="shared" si="9"/>
        <v>1.4971374796999999</v>
      </c>
      <c r="BD100" s="105">
        <f t="shared" si="10"/>
        <v>368.26967093888004</v>
      </c>
      <c r="BF100" s="115">
        <f t="shared" si="0"/>
        <v>-0.10924871520000012</v>
      </c>
      <c r="BG100" s="116">
        <f t="shared" si="1"/>
        <v>217.72334368000003</v>
      </c>
    </row>
    <row r="101" spans="1:59" s="101" customFormat="1" ht="14.4" x14ac:dyDescent="0.3">
      <c r="A101" s="101">
        <v>37</v>
      </c>
      <c r="B101" s="101" t="s">
        <v>180</v>
      </c>
      <c r="C101" s="20">
        <v>44021.409803240742</v>
      </c>
      <c r="D101" s="101" t="s">
        <v>25</v>
      </c>
      <c r="E101" s="101" t="s">
        <v>17</v>
      </c>
      <c r="F101" s="101">
        <v>0</v>
      </c>
      <c r="G101" s="101">
        <v>6.0720000000000001</v>
      </c>
      <c r="H101" s="12">
        <v>2808</v>
      </c>
      <c r="I101" s="101">
        <v>2E-3</v>
      </c>
      <c r="J101" s="101" t="s">
        <v>18</v>
      </c>
      <c r="K101" s="101" t="s">
        <v>18</v>
      </c>
      <c r="L101" s="101" t="s">
        <v>18</v>
      </c>
      <c r="M101" s="101" t="s">
        <v>18</v>
      </c>
      <c r="O101" s="101">
        <v>37</v>
      </c>
      <c r="P101" s="101" t="s">
        <v>180</v>
      </c>
      <c r="Q101" s="20">
        <v>44021.409803240742</v>
      </c>
      <c r="R101" s="101" t="s">
        <v>25</v>
      </c>
      <c r="S101" s="101" t="s">
        <v>17</v>
      </c>
      <c r="T101" s="101">
        <v>0</v>
      </c>
      <c r="U101" s="101" t="s">
        <v>18</v>
      </c>
      <c r="V101" s="101" t="s">
        <v>18</v>
      </c>
      <c r="W101" s="101" t="s">
        <v>18</v>
      </c>
      <c r="X101" s="101" t="s">
        <v>18</v>
      </c>
      <c r="Y101" s="101" t="s">
        <v>18</v>
      </c>
      <c r="Z101" s="101" t="s">
        <v>18</v>
      </c>
      <c r="AA101" s="101" t="s">
        <v>18</v>
      </c>
      <c r="AC101" s="101">
        <v>37</v>
      </c>
      <c r="AD101" s="101" t="s">
        <v>180</v>
      </c>
      <c r="AE101" s="20">
        <v>44021.409803240742</v>
      </c>
      <c r="AF101" s="101" t="s">
        <v>25</v>
      </c>
      <c r="AG101" s="101" t="s">
        <v>17</v>
      </c>
      <c r="AH101" s="101">
        <v>0</v>
      </c>
      <c r="AI101" s="101">
        <v>12.22</v>
      </c>
      <c r="AJ101" s="12">
        <v>2170</v>
      </c>
      <c r="AK101" s="101">
        <v>0.47</v>
      </c>
      <c r="AL101" s="101" t="s">
        <v>18</v>
      </c>
      <c r="AM101" s="101" t="s">
        <v>18</v>
      </c>
      <c r="AN101" s="101" t="s">
        <v>18</v>
      </c>
      <c r="AO101" s="101" t="s">
        <v>18</v>
      </c>
      <c r="AS101" s="7">
        <v>57</v>
      </c>
      <c r="AT101" s="60">
        <f t="shared" ref="AT101:AT141" si="13">IF(H101&lt;15000,((0.00000002125*H101^2)+(0.002705*H101)+(-4.371)),(IF(H101&lt;700000,((-0.0000000008162*H101^2)+(0.003141*H101)+(0.4702)), ((0.000000003285*V101^2)+(0.1899*V101)+(559.5)))))</f>
        <v>3.3921933599999994</v>
      </c>
      <c r="AU101" s="61">
        <f t="shared" ref="AU101:AU141" si="14">((-0.00000006277*AJ101^2)+(0.1854*AJ101)+(34.83))</f>
        <v>436.85242234700002</v>
      </c>
      <c r="AV101" s="101">
        <f t="shared" si="4"/>
        <v>3.3921933599999994</v>
      </c>
      <c r="AW101" s="60">
        <f t="shared" si="5"/>
        <v>3.3921933599999994</v>
      </c>
      <c r="AX101" s="61">
        <f t="shared" si="6"/>
        <v>436.85242234700002</v>
      </c>
      <c r="AZ101" s="23">
        <f t="shared" si="7"/>
        <v>3.5630561312000015</v>
      </c>
      <c r="BA101" s="103">
        <f t="shared" si="8"/>
        <v>410.96943328599997</v>
      </c>
      <c r="BC101" s="104">
        <f t="shared" si="9"/>
        <v>1.6850699391999997</v>
      </c>
      <c r="BD101" s="105">
        <f t="shared" si="10"/>
        <v>344.71882887200002</v>
      </c>
      <c r="BF101" s="115">
        <f t="shared" si="0"/>
        <v>6.5357532800000229E-2</v>
      </c>
      <c r="BG101" s="116">
        <f t="shared" si="1"/>
        <v>206.18915199999998</v>
      </c>
    </row>
    <row r="102" spans="1:59" s="101" customFormat="1" ht="14.4" x14ac:dyDescent="0.3">
      <c r="A102" s="101">
        <v>37</v>
      </c>
      <c r="B102" s="101" t="s">
        <v>181</v>
      </c>
      <c r="C102" s="20">
        <v>44022.432905092595</v>
      </c>
      <c r="D102" s="101" t="s">
        <v>25</v>
      </c>
      <c r="E102" s="101" t="s">
        <v>17</v>
      </c>
      <c r="F102" s="101">
        <v>0</v>
      </c>
      <c r="G102" s="101">
        <v>6.077</v>
      </c>
      <c r="H102" s="12">
        <v>2849</v>
      </c>
      <c r="I102" s="101">
        <v>2E-3</v>
      </c>
      <c r="J102" s="101" t="s">
        <v>18</v>
      </c>
      <c r="K102" s="101" t="s">
        <v>18</v>
      </c>
      <c r="L102" s="101" t="s">
        <v>18</v>
      </c>
      <c r="M102" s="101" t="s">
        <v>18</v>
      </c>
      <c r="O102" s="101">
        <v>37</v>
      </c>
      <c r="P102" s="101" t="s">
        <v>181</v>
      </c>
      <c r="Q102" s="20">
        <v>44022.432905092595</v>
      </c>
      <c r="R102" s="101" t="s">
        <v>25</v>
      </c>
      <c r="S102" s="101" t="s">
        <v>17</v>
      </c>
      <c r="T102" s="101">
        <v>0</v>
      </c>
      <c r="U102" s="101" t="s">
        <v>18</v>
      </c>
      <c r="V102" s="101" t="s">
        <v>18</v>
      </c>
      <c r="W102" s="101" t="s">
        <v>18</v>
      </c>
      <c r="X102" s="101" t="s">
        <v>18</v>
      </c>
      <c r="Y102" s="101" t="s">
        <v>18</v>
      </c>
      <c r="Z102" s="101" t="s">
        <v>18</v>
      </c>
      <c r="AA102" s="101" t="s">
        <v>18</v>
      </c>
      <c r="AC102" s="101">
        <v>37</v>
      </c>
      <c r="AD102" s="101" t="s">
        <v>181</v>
      </c>
      <c r="AE102" s="20">
        <v>44022.432905092595</v>
      </c>
      <c r="AF102" s="101" t="s">
        <v>25</v>
      </c>
      <c r="AG102" s="101" t="s">
        <v>17</v>
      </c>
      <c r="AH102" s="101">
        <v>0</v>
      </c>
      <c r="AI102" s="101">
        <v>12.204000000000001</v>
      </c>
      <c r="AJ102" s="12">
        <v>1961</v>
      </c>
      <c r="AK102" s="101">
        <v>0.442</v>
      </c>
      <c r="AL102" s="101" t="s">
        <v>18</v>
      </c>
      <c r="AM102" s="101" t="s">
        <v>18</v>
      </c>
      <c r="AN102" s="101" t="s">
        <v>18</v>
      </c>
      <c r="AO102" s="101" t="s">
        <v>18</v>
      </c>
      <c r="AS102" s="7">
        <v>58</v>
      </c>
      <c r="AT102" s="60">
        <f t="shared" si="13"/>
        <v>3.5080270212499993</v>
      </c>
      <c r="AU102" s="61">
        <f t="shared" si="14"/>
        <v>398.15801664682999</v>
      </c>
      <c r="AV102" s="101">
        <f t="shared" si="4"/>
        <v>3.5080270212499993</v>
      </c>
      <c r="AW102" s="60">
        <f t="shared" si="5"/>
        <v>3.5080270212499993</v>
      </c>
      <c r="AX102" s="61">
        <f t="shared" si="6"/>
        <v>398.15801664682999</v>
      </c>
      <c r="AZ102" s="23">
        <f t="shared" si="7"/>
        <v>3.7063583820500003</v>
      </c>
      <c r="BA102" s="103">
        <f t="shared" si="8"/>
        <v>371.02267182854001</v>
      </c>
      <c r="BC102" s="104">
        <f t="shared" si="9"/>
        <v>1.7530012853000005</v>
      </c>
      <c r="BD102" s="105">
        <f t="shared" si="10"/>
        <v>301.54056230408003</v>
      </c>
      <c r="BF102" s="115">
        <f t="shared" si="0"/>
        <v>0.12770567520000053</v>
      </c>
      <c r="BG102" s="116">
        <f t="shared" si="1"/>
        <v>184.92702187999998</v>
      </c>
    </row>
    <row r="103" spans="1:59" s="101" customFormat="1" ht="14.4" x14ac:dyDescent="0.3">
      <c r="A103" s="101">
        <v>37</v>
      </c>
      <c r="B103" s="101" t="s">
        <v>182</v>
      </c>
      <c r="C103" s="20">
        <v>44032.428101851852</v>
      </c>
      <c r="D103" s="101" t="s">
        <v>25</v>
      </c>
      <c r="E103" s="101" t="s">
        <v>17</v>
      </c>
      <c r="F103" s="101">
        <v>0</v>
      </c>
      <c r="G103" s="101">
        <v>6.0679999999999996</v>
      </c>
      <c r="H103" s="12">
        <v>1957</v>
      </c>
      <c r="I103" s="101">
        <v>1E-3</v>
      </c>
      <c r="J103" s="101" t="s">
        <v>18</v>
      </c>
      <c r="K103" s="101" t="s">
        <v>18</v>
      </c>
      <c r="L103" s="101" t="s">
        <v>18</v>
      </c>
      <c r="M103" s="101" t="s">
        <v>18</v>
      </c>
      <c r="O103" s="101">
        <v>37</v>
      </c>
      <c r="P103" s="101" t="s">
        <v>182</v>
      </c>
      <c r="Q103" s="20">
        <v>44032.428101851852</v>
      </c>
      <c r="R103" s="101" t="s">
        <v>25</v>
      </c>
      <c r="S103" s="101" t="s">
        <v>17</v>
      </c>
      <c r="T103" s="101">
        <v>0</v>
      </c>
      <c r="U103" s="101" t="s">
        <v>18</v>
      </c>
      <c r="V103" s="101" t="s">
        <v>18</v>
      </c>
      <c r="W103" s="101" t="s">
        <v>18</v>
      </c>
      <c r="X103" s="101" t="s">
        <v>18</v>
      </c>
      <c r="Y103" s="101" t="s">
        <v>18</v>
      </c>
      <c r="Z103" s="101" t="s">
        <v>18</v>
      </c>
      <c r="AA103" s="101" t="s">
        <v>18</v>
      </c>
      <c r="AC103" s="101">
        <v>37</v>
      </c>
      <c r="AD103" s="101" t="s">
        <v>182</v>
      </c>
      <c r="AE103" s="20">
        <v>44032.428101851852</v>
      </c>
      <c r="AF103" s="101" t="s">
        <v>25</v>
      </c>
      <c r="AG103" s="101" t="s">
        <v>17</v>
      </c>
      <c r="AH103" s="101">
        <v>0</v>
      </c>
      <c r="AI103" s="101">
        <v>12.207000000000001</v>
      </c>
      <c r="AJ103" s="12">
        <v>2323</v>
      </c>
      <c r="AK103" s="101">
        <v>0.49099999999999999</v>
      </c>
      <c r="AL103" s="101" t="s">
        <v>18</v>
      </c>
      <c r="AM103" s="101" t="s">
        <v>18</v>
      </c>
      <c r="AN103" s="101" t="s">
        <v>18</v>
      </c>
      <c r="AO103" s="101" t="s">
        <v>18</v>
      </c>
      <c r="AS103" s="7">
        <v>59</v>
      </c>
      <c r="AT103" s="60">
        <f t="shared" si="13"/>
        <v>1.0040692912499996</v>
      </c>
      <c r="AU103" s="61">
        <f t="shared" si="14"/>
        <v>465.17547242866999</v>
      </c>
      <c r="AV103" s="101">
        <f t="shared" si="4"/>
        <v>1.0040692912499996</v>
      </c>
      <c r="AW103" s="60">
        <f t="shared" si="5"/>
        <v>1.0040692912499996</v>
      </c>
      <c r="AX103" s="61">
        <f t="shared" si="6"/>
        <v>465.17547242866999</v>
      </c>
      <c r="AZ103" s="23">
        <f t="shared" si="7"/>
        <v>0.54467125045000042</v>
      </c>
      <c r="BA103" s="103">
        <f t="shared" si="8"/>
        <v>440.21185569045997</v>
      </c>
      <c r="BC103" s="104">
        <f t="shared" si="9"/>
        <v>0.38537635970000017</v>
      </c>
      <c r="BD103" s="105">
        <f t="shared" si="10"/>
        <v>376.32638568391997</v>
      </c>
      <c r="BF103" s="115">
        <f t="shared" si="0"/>
        <v>-1.2172083951999997</v>
      </c>
      <c r="BG103" s="116">
        <f t="shared" si="1"/>
        <v>221.65898812</v>
      </c>
    </row>
    <row r="104" spans="1:59" s="101" customFormat="1" ht="14.4" x14ac:dyDescent="0.3">
      <c r="A104" s="101">
        <v>37</v>
      </c>
      <c r="B104" s="101" t="s">
        <v>183</v>
      </c>
      <c r="C104" s="20">
        <v>44036.418425925927</v>
      </c>
      <c r="D104" s="101" t="s">
        <v>25</v>
      </c>
      <c r="E104" s="101" t="s">
        <v>17</v>
      </c>
      <c r="F104" s="101">
        <v>0</v>
      </c>
      <c r="G104" s="101">
        <v>6.0739999999999998</v>
      </c>
      <c r="H104" s="12">
        <v>2193</v>
      </c>
      <c r="I104" s="101">
        <v>1E-3</v>
      </c>
      <c r="J104" s="101" t="s">
        <v>18</v>
      </c>
      <c r="K104" s="101" t="s">
        <v>18</v>
      </c>
      <c r="L104" s="101" t="s">
        <v>18</v>
      </c>
      <c r="M104" s="101" t="s">
        <v>18</v>
      </c>
      <c r="O104" s="101">
        <v>37</v>
      </c>
      <c r="P104" s="101" t="s">
        <v>183</v>
      </c>
      <c r="Q104" s="20">
        <v>44036.418425925927</v>
      </c>
      <c r="R104" s="101" t="s">
        <v>25</v>
      </c>
      <c r="S104" s="101" t="s">
        <v>17</v>
      </c>
      <c r="T104" s="101">
        <v>0</v>
      </c>
      <c r="U104" s="101" t="s">
        <v>18</v>
      </c>
      <c r="V104" s="101" t="s">
        <v>18</v>
      </c>
      <c r="W104" s="101" t="s">
        <v>18</v>
      </c>
      <c r="X104" s="101" t="s">
        <v>18</v>
      </c>
      <c r="Y104" s="101" t="s">
        <v>18</v>
      </c>
      <c r="Z104" s="101" t="s">
        <v>18</v>
      </c>
      <c r="AA104" s="101" t="s">
        <v>18</v>
      </c>
      <c r="AC104" s="101">
        <v>37</v>
      </c>
      <c r="AD104" s="101" t="s">
        <v>183</v>
      </c>
      <c r="AE104" s="20">
        <v>44036.418425925927</v>
      </c>
      <c r="AF104" s="101" t="s">
        <v>25</v>
      </c>
      <c r="AG104" s="101" t="s">
        <v>17</v>
      </c>
      <c r="AH104" s="101">
        <v>0</v>
      </c>
      <c r="AI104" s="101">
        <v>12.214</v>
      </c>
      <c r="AJ104" s="12">
        <v>2461</v>
      </c>
      <c r="AK104" s="101">
        <v>0.51</v>
      </c>
      <c r="AL104" s="101" t="s">
        <v>18</v>
      </c>
      <c r="AM104" s="101" t="s">
        <v>18</v>
      </c>
      <c r="AN104" s="101" t="s">
        <v>18</v>
      </c>
      <c r="AO104" s="101" t="s">
        <v>18</v>
      </c>
      <c r="AS104" s="7">
        <v>60</v>
      </c>
      <c r="AT104" s="60">
        <f t="shared" si="13"/>
        <v>1.6632615412499989</v>
      </c>
      <c r="AU104" s="61">
        <f t="shared" si="14"/>
        <v>490.71923217683002</v>
      </c>
      <c r="AV104" s="101">
        <f t="shared" si="4"/>
        <v>1.6632615412499989</v>
      </c>
      <c r="AW104" s="60">
        <f t="shared" si="5"/>
        <v>1.6632615412499989</v>
      </c>
      <c r="AX104" s="61">
        <f t="shared" si="6"/>
        <v>490.71923217683002</v>
      </c>
      <c r="AZ104" s="23">
        <f t="shared" si="7"/>
        <v>1.3901430204500009</v>
      </c>
      <c r="BA104" s="103">
        <f t="shared" si="8"/>
        <v>466.58672096854002</v>
      </c>
      <c r="BC104" s="104">
        <f t="shared" si="9"/>
        <v>0.72471957970000012</v>
      </c>
      <c r="BD104" s="105">
        <f t="shared" si="10"/>
        <v>404.83413758408</v>
      </c>
      <c r="BF104" s="115">
        <f t="shared" si="0"/>
        <v>-0.8637323151999996</v>
      </c>
      <c r="BG104" s="116">
        <f t="shared" si="1"/>
        <v>235.54310188000005</v>
      </c>
    </row>
    <row r="105" spans="1:59" s="101" customFormat="1" ht="14.4" x14ac:dyDescent="0.3">
      <c r="A105" s="101">
        <v>37</v>
      </c>
      <c r="B105" s="101" t="s">
        <v>184</v>
      </c>
      <c r="C105" s="20">
        <v>44040.484027777777</v>
      </c>
      <c r="D105" s="101" t="s">
        <v>25</v>
      </c>
      <c r="E105" s="101" t="s">
        <v>17</v>
      </c>
      <c r="F105" s="101">
        <v>0</v>
      </c>
      <c r="G105" s="101">
        <v>6.0620000000000003</v>
      </c>
      <c r="H105" s="12">
        <v>2405</v>
      </c>
      <c r="I105" s="101">
        <v>2E-3</v>
      </c>
      <c r="J105" s="101" t="s">
        <v>18</v>
      </c>
      <c r="K105" s="101" t="s">
        <v>18</v>
      </c>
      <c r="L105" s="101" t="s">
        <v>18</v>
      </c>
      <c r="M105" s="101" t="s">
        <v>18</v>
      </c>
      <c r="O105" s="101">
        <v>37</v>
      </c>
      <c r="P105" s="101" t="s">
        <v>184</v>
      </c>
      <c r="Q105" s="20">
        <v>44040.484027777777</v>
      </c>
      <c r="R105" s="101" t="s">
        <v>25</v>
      </c>
      <c r="S105" s="101" t="s">
        <v>17</v>
      </c>
      <c r="T105" s="101">
        <v>0</v>
      </c>
      <c r="U105" s="101" t="s">
        <v>18</v>
      </c>
      <c r="V105" s="101" t="s">
        <v>18</v>
      </c>
      <c r="W105" s="101" t="s">
        <v>18</v>
      </c>
      <c r="X105" s="101" t="s">
        <v>18</v>
      </c>
      <c r="Y105" s="101" t="s">
        <v>18</v>
      </c>
      <c r="Z105" s="101" t="s">
        <v>18</v>
      </c>
      <c r="AA105" s="101" t="s">
        <v>18</v>
      </c>
      <c r="AC105" s="101">
        <v>37</v>
      </c>
      <c r="AD105" s="101" t="s">
        <v>184</v>
      </c>
      <c r="AE105" s="20">
        <v>44040.484027777777</v>
      </c>
      <c r="AF105" s="101" t="s">
        <v>25</v>
      </c>
      <c r="AG105" s="101" t="s">
        <v>17</v>
      </c>
      <c r="AH105" s="101">
        <v>0</v>
      </c>
      <c r="AI105" s="101">
        <v>12.199</v>
      </c>
      <c r="AJ105" s="12">
        <v>2091</v>
      </c>
      <c r="AK105" s="101">
        <v>0.46</v>
      </c>
      <c r="AL105" s="101" t="s">
        <v>18</v>
      </c>
      <c r="AM105" s="101" t="s">
        <v>18</v>
      </c>
      <c r="AN105" s="101" t="s">
        <v>18</v>
      </c>
      <c r="AO105" s="101" t="s">
        <v>18</v>
      </c>
      <c r="AS105" s="7">
        <v>61</v>
      </c>
      <c r="AT105" s="60">
        <f t="shared" si="13"/>
        <v>2.2574355312499987</v>
      </c>
      <c r="AU105" s="61">
        <f t="shared" si="14"/>
        <v>422.22695192162996</v>
      </c>
      <c r="AV105" s="101">
        <f t="shared" si="4"/>
        <v>2.2574355312499987</v>
      </c>
      <c r="AW105" s="60">
        <f t="shared" si="5"/>
        <v>2.2574355312499987</v>
      </c>
      <c r="AX105" s="61">
        <f t="shared" si="6"/>
        <v>422.22695192162996</v>
      </c>
      <c r="AZ105" s="23">
        <f t="shared" si="7"/>
        <v>2.1441307512499996</v>
      </c>
      <c r="BA105" s="103">
        <f t="shared" si="8"/>
        <v>395.87010671094004</v>
      </c>
      <c r="BC105" s="104">
        <f t="shared" si="9"/>
        <v>1.0433533325</v>
      </c>
      <c r="BD105" s="105">
        <f t="shared" si="10"/>
        <v>328.39811938887999</v>
      </c>
      <c r="BF105" s="115">
        <f t="shared" si="0"/>
        <v>-0.54475932000000027</v>
      </c>
      <c r="BG105" s="116">
        <f t="shared" si="1"/>
        <v>198.16993468000004</v>
      </c>
    </row>
    <row r="106" spans="1:59" s="101" customFormat="1" ht="14.4" x14ac:dyDescent="0.3">
      <c r="A106" s="101">
        <v>37</v>
      </c>
      <c r="B106" s="101" t="s">
        <v>185</v>
      </c>
      <c r="C106" s="20">
        <v>44042.393506944441</v>
      </c>
      <c r="D106" s="101" t="s">
        <v>25</v>
      </c>
      <c r="E106" s="101" t="s">
        <v>17</v>
      </c>
      <c r="F106" s="101">
        <v>0</v>
      </c>
      <c r="G106" s="101">
        <v>6.0670000000000002</v>
      </c>
      <c r="H106" s="12">
        <v>2464</v>
      </c>
      <c r="I106" s="101">
        <v>2E-3</v>
      </c>
      <c r="J106" s="101" t="s">
        <v>18</v>
      </c>
      <c r="K106" s="101" t="s">
        <v>18</v>
      </c>
      <c r="L106" s="101" t="s">
        <v>18</v>
      </c>
      <c r="M106" s="101" t="s">
        <v>18</v>
      </c>
      <c r="O106" s="101">
        <v>37</v>
      </c>
      <c r="P106" s="101" t="s">
        <v>185</v>
      </c>
      <c r="Q106" s="20">
        <v>44042.393506944441</v>
      </c>
      <c r="R106" s="101" t="s">
        <v>25</v>
      </c>
      <c r="S106" s="101" t="s">
        <v>17</v>
      </c>
      <c r="T106" s="101">
        <v>0</v>
      </c>
      <c r="U106" s="101" t="s">
        <v>18</v>
      </c>
      <c r="V106" s="101" t="s">
        <v>18</v>
      </c>
      <c r="W106" s="101" t="s">
        <v>18</v>
      </c>
      <c r="X106" s="101" t="s">
        <v>18</v>
      </c>
      <c r="Y106" s="101" t="s">
        <v>18</v>
      </c>
      <c r="Z106" s="101" t="s">
        <v>18</v>
      </c>
      <c r="AA106" s="101" t="s">
        <v>18</v>
      </c>
      <c r="AC106" s="101">
        <v>37</v>
      </c>
      <c r="AD106" s="101" t="s">
        <v>185</v>
      </c>
      <c r="AE106" s="20">
        <v>44042.393506944441</v>
      </c>
      <c r="AF106" s="101" t="s">
        <v>25</v>
      </c>
      <c r="AG106" s="101" t="s">
        <v>17</v>
      </c>
      <c r="AH106" s="101">
        <v>0</v>
      </c>
      <c r="AI106" s="101">
        <v>12.207000000000001</v>
      </c>
      <c r="AJ106" s="12">
        <v>1994</v>
      </c>
      <c r="AK106" s="101">
        <v>0.44600000000000001</v>
      </c>
      <c r="AL106" s="101" t="s">
        <v>18</v>
      </c>
      <c r="AM106" s="101" t="s">
        <v>18</v>
      </c>
      <c r="AN106" s="101" t="s">
        <v>18</v>
      </c>
      <c r="AO106" s="101" t="s">
        <v>18</v>
      </c>
      <c r="AS106" s="7">
        <v>62</v>
      </c>
      <c r="AT106" s="60">
        <f t="shared" si="13"/>
        <v>2.4231350399999991</v>
      </c>
      <c r="AU106" s="61">
        <f t="shared" si="14"/>
        <v>404.26802422028004</v>
      </c>
      <c r="AV106" s="101">
        <f t="shared" si="4"/>
        <v>2.4231350399999991</v>
      </c>
      <c r="AW106" s="60">
        <f t="shared" si="5"/>
        <v>2.4231350399999991</v>
      </c>
      <c r="AX106" s="61">
        <f t="shared" si="6"/>
        <v>404.26802422028004</v>
      </c>
      <c r="AZ106" s="23">
        <f t="shared" si="7"/>
        <v>2.3530403967999991</v>
      </c>
      <c r="BA106" s="103">
        <f t="shared" si="8"/>
        <v>377.33014965464002</v>
      </c>
      <c r="BC106" s="104">
        <f t="shared" si="9"/>
        <v>1.1343529087999997</v>
      </c>
      <c r="BD106" s="105">
        <f t="shared" si="10"/>
        <v>308.35833156127995</v>
      </c>
      <c r="BF106" s="115">
        <f t="shared" si="0"/>
        <v>-0.45574550079999998</v>
      </c>
      <c r="BG106" s="116">
        <f t="shared" si="1"/>
        <v>188.29419008000002</v>
      </c>
    </row>
    <row r="107" spans="1:59" s="101" customFormat="1" ht="14.4" x14ac:dyDescent="0.3">
      <c r="A107" s="101">
        <v>37</v>
      </c>
      <c r="B107" s="101" t="s">
        <v>186</v>
      </c>
      <c r="C107" s="20">
        <v>44043.416458333333</v>
      </c>
      <c r="D107" s="101" t="s">
        <v>25</v>
      </c>
      <c r="E107" s="101" t="s">
        <v>17</v>
      </c>
      <c r="F107" s="101">
        <v>0</v>
      </c>
      <c r="G107" s="101">
        <v>6.0789999999999997</v>
      </c>
      <c r="H107" s="12">
        <v>2178</v>
      </c>
      <c r="I107" s="101">
        <v>1E-3</v>
      </c>
      <c r="J107" s="101" t="s">
        <v>18</v>
      </c>
      <c r="K107" s="101" t="s">
        <v>18</v>
      </c>
      <c r="L107" s="101" t="s">
        <v>18</v>
      </c>
      <c r="M107" s="101" t="s">
        <v>18</v>
      </c>
      <c r="O107" s="101">
        <v>37</v>
      </c>
      <c r="P107" s="101" t="s">
        <v>186</v>
      </c>
      <c r="Q107" s="20">
        <v>44043.416458333333</v>
      </c>
      <c r="R107" s="101" t="s">
        <v>25</v>
      </c>
      <c r="S107" s="101" t="s">
        <v>17</v>
      </c>
      <c r="T107" s="101">
        <v>0</v>
      </c>
      <c r="U107" s="101" t="s">
        <v>18</v>
      </c>
      <c r="V107" s="101" t="s">
        <v>18</v>
      </c>
      <c r="W107" s="101" t="s">
        <v>18</v>
      </c>
      <c r="X107" s="101" t="s">
        <v>18</v>
      </c>
      <c r="Y107" s="101" t="s">
        <v>18</v>
      </c>
      <c r="Z107" s="101" t="s">
        <v>18</v>
      </c>
      <c r="AA107" s="101" t="s">
        <v>18</v>
      </c>
      <c r="AC107" s="101">
        <v>37</v>
      </c>
      <c r="AD107" s="101" t="s">
        <v>186</v>
      </c>
      <c r="AE107" s="20">
        <v>44043.416458333333</v>
      </c>
      <c r="AF107" s="101" t="s">
        <v>25</v>
      </c>
      <c r="AG107" s="101" t="s">
        <v>17</v>
      </c>
      <c r="AH107" s="101">
        <v>0</v>
      </c>
      <c r="AI107" s="101">
        <v>12.194000000000001</v>
      </c>
      <c r="AJ107" s="12">
        <v>1734</v>
      </c>
      <c r="AK107" s="101">
        <v>0.41099999999999998</v>
      </c>
      <c r="AL107" s="101" t="s">
        <v>18</v>
      </c>
      <c r="AM107" s="101" t="s">
        <v>18</v>
      </c>
      <c r="AN107" s="101" t="s">
        <v>18</v>
      </c>
      <c r="AO107" s="101" t="s">
        <v>18</v>
      </c>
      <c r="AS107" s="7">
        <v>63</v>
      </c>
      <c r="AT107" s="60">
        <f t="shared" si="13"/>
        <v>1.6212932849999993</v>
      </c>
      <c r="AU107" s="61">
        <f t="shared" si="14"/>
        <v>356.12486592587999</v>
      </c>
      <c r="AV107" s="101">
        <f t="shared" si="4"/>
        <v>1.6212932849999993</v>
      </c>
      <c r="AW107" s="60">
        <f t="shared" si="5"/>
        <v>1.6212932849999993</v>
      </c>
      <c r="AX107" s="61">
        <f t="shared" si="6"/>
        <v>356.12486592587999</v>
      </c>
      <c r="AZ107" s="23">
        <f t="shared" si="7"/>
        <v>1.3365975122000009</v>
      </c>
      <c r="BA107" s="103">
        <f t="shared" si="8"/>
        <v>327.63391014743996</v>
      </c>
      <c r="BC107" s="104">
        <f t="shared" si="9"/>
        <v>0.70266948520000017</v>
      </c>
      <c r="BD107" s="105">
        <f t="shared" si="10"/>
        <v>254.64106758688001</v>
      </c>
      <c r="BF107" s="115">
        <f t="shared" si="0"/>
        <v>-0.8862494031999999</v>
      </c>
      <c r="BG107" s="116">
        <f t="shared" si="1"/>
        <v>161.66347168000004</v>
      </c>
    </row>
    <row r="108" spans="1:59" ht="14.4" x14ac:dyDescent="0.3">
      <c r="A108" s="62">
        <v>37</v>
      </c>
      <c r="B108" s="62" t="s">
        <v>187</v>
      </c>
      <c r="C108" s="63">
        <v>44047.436724537038</v>
      </c>
      <c r="D108" s="62" t="s">
        <v>25</v>
      </c>
      <c r="E108" s="62" t="s">
        <v>17</v>
      </c>
      <c r="F108" s="62">
        <v>0</v>
      </c>
      <c r="G108" s="62">
        <v>6.0709999999999997</v>
      </c>
      <c r="H108" s="64">
        <v>2284</v>
      </c>
      <c r="I108" s="62">
        <v>2E-3</v>
      </c>
      <c r="J108" s="62" t="s">
        <v>18</v>
      </c>
      <c r="K108" s="62" t="s">
        <v>18</v>
      </c>
      <c r="L108" s="62" t="s">
        <v>18</v>
      </c>
      <c r="M108" s="64" t="s">
        <v>18</v>
      </c>
      <c r="N108" s="64"/>
      <c r="O108" s="64">
        <v>37</v>
      </c>
      <c r="P108" s="62" t="s">
        <v>187</v>
      </c>
      <c r="Q108" s="63">
        <v>44047.436724537038</v>
      </c>
      <c r="R108" s="62" t="s">
        <v>25</v>
      </c>
      <c r="S108" s="62" t="s">
        <v>17</v>
      </c>
      <c r="T108" s="62">
        <v>0</v>
      </c>
      <c r="U108" s="62" t="s">
        <v>18</v>
      </c>
      <c r="V108" s="62" t="s">
        <v>18</v>
      </c>
      <c r="W108" s="62" t="s">
        <v>18</v>
      </c>
      <c r="X108" s="62" t="s">
        <v>18</v>
      </c>
      <c r="Y108" s="62" t="s">
        <v>18</v>
      </c>
      <c r="Z108" s="62" t="s">
        <v>18</v>
      </c>
      <c r="AA108" s="62" t="s">
        <v>18</v>
      </c>
      <c r="AB108" s="62"/>
      <c r="AC108" s="62">
        <v>37</v>
      </c>
      <c r="AD108" s="62" t="s">
        <v>187</v>
      </c>
      <c r="AE108" s="63">
        <v>44047.436724537038</v>
      </c>
      <c r="AF108" s="62" t="s">
        <v>25</v>
      </c>
      <c r="AG108" s="62" t="s">
        <v>17</v>
      </c>
      <c r="AH108" s="62">
        <v>0</v>
      </c>
      <c r="AI108" s="62">
        <v>12.206</v>
      </c>
      <c r="AJ108" s="64">
        <v>1893</v>
      </c>
      <c r="AK108" s="62">
        <v>0.433</v>
      </c>
      <c r="AL108" s="62" t="s">
        <v>18</v>
      </c>
      <c r="AM108" s="62" t="s">
        <v>18</v>
      </c>
      <c r="AN108" s="62" t="s">
        <v>18</v>
      </c>
      <c r="AO108" s="62" t="s">
        <v>18</v>
      </c>
      <c r="AR108" s="56"/>
      <c r="AS108" s="7">
        <v>64</v>
      </c>
      <c r="AT108" s="60">
        <f t="shared" si="13"/>
        <v>1.9180739399999993</v>
      </c>
      <c r="AU108" s="61">
        <f t="shared" si="14"/>
        <v>385.56726690626999</v>
      </c>
      <c r="AV108" s="101">
        <f t="shared" si="4"/>
        <v>1.9180739399999993</v>
      </c>
      <c r="AW108" s="60">
        <f t="shared" si="5"/>
        <v>1.9180739399999993</v>
      </c>
      <c r="AX108" s="61">
        <f t="shared" si="6"/>
        <v>385.56726690626999</v>
      </c>
      <c r="AZ108" s="23">
        <f t="shared" si="7"/>
        <v>1.7144267847999988</v>
      </c>
      <c r="BA108" s="103">
        <f t="shared" si="8"/>
        <v>358.02533311925998</v>
      </c>
      <c r="BC108" s="104">
        <f t="shared" si="9"/>
        <v>0.85989171680000021</v>
      </c>
      <c r="BD108" s="105">
        <f t="shared" si="10"/>
        <v>287.49165038152</v>
      </c>
      <c r="BF108" s="115">
        <f t="shared" si="0"/>
        <v>-0.72698202880000018</v>
      </c>
      <c r="BG108" s="116">
        <f t="shared" si="1"/>
        <v>177.97680172000003</v>
      </c>
    </row>
    <row r="109" spans="1:59" s="101" customFormat="1" ht="14.4" x14ac:dyDescent="0.3">
      <c r="A109" s="101">
        <v>37</v>
      </c>
      <c r="B109" s="101" t="s">
        <v>188</v>
      </c>
      <c r="C109" s="20">
        <v>44050.415752314817</v>
      </c>
      <c r="D109" s="101" t="s">
        <v>25</v>
      </c>
      <c r="E109" s="101" t="s">
        <v>17</v>
      </c>
      <c r="F109" s="101">
        <v>0</v>
      </c>
      <c r="G109" s="101">
        <v>6.077</v>
      </c>
      <c r="H109" s="12">
        <v>2348</v>
      </c>
      <c r="I109" s="101">
        <v>2E-3</v>
      </c>
      <c r="J109" s="101" t="s">
        <v>18</v>
      </c>
      <c r="K109" s="101" t="s">
        <v>18</v>
      </c>
      <c r="L109" s="101" t="s">
        <v>18</v>
      </c>
      <c r="M109" s="101" t="s">
        <v>18</v>
      </c>
      <c r="O109" s="101">
        <v>37</v>
      </c>
      <c r="P109" s="101" t="s">
        <v>188</v>
      </c>
      <c r="Q109" s="20">
        <v>44050.415752314817</v>
      </c>
      <c r="R109" s="101" t="s">
        <v>25</v>
      </c>
      <c r="S109" s="101" t="s">
        <v>17</v>
      </c>
      <c r="T109" s="101">
        <v>0</v>
      </c>
      <c r="U109" s="101" t="s">
        <v>18</v>
      </c>
      <c r="V109" s="101" t="s">
        <v>18</v>
      </c>
      <c r="W109" s="101" t="s">
        <v>18</v>
      </c>
      <c r="X109" s="101" t="s">
        <v>18</v>
      </c>
      <c r="Y109" s="101" t="s">
        <v>18</v>
      </c>
      <c r="Z109" s="101" t="s">
        <v>18</v>
      </c>
      <c r="AA109" s="101" t="s">
        <v>18</v>
      </c>
      <c r="AC109" s="101">
        <v>37</v>
      </c>
      <c r="AD109" s="101" t="s">
        <v>188</v>
      </c>
      <c r="AE109" s="20">
        <v>44050.415752314817</v>
      </c>
      <c r="AF109" s="101" t="s">
        <v>25</v>
      </c>
      <c r="AG109" s="101" t="s">
        <v>17</v>
      </c>
      <c r="AH109" s="101">
        <v>0</v>
      </c>
      <c r="AI109" s="101">
        <v>12.192</v>
      </c>
      <c r="AJ109" s="12">
        <v>2033</v>
      </c>
      <c r="AK109" s="101">
        <v>0.45200000000000001</v>
      </c>
      <c r="AL109" s="101" t="s">
        <v>18</v>
      </c>
      <c r="AM109" s="101" t="s">
        <v>18</v>
      </c>
      <c r="AN109" s="101" t="s">
        <v>18</v>
      </c>
      <c r="AO109" s="101" t="s">
        <v>18</v>
      </c>
      <c r="AS109" s="7">
        <v>65</v>
      </c>
      <c r="AT109" s="60">
        <f t="shared" si="13"/>
        <v>2.097493459999999</v>
      </c>
      <c r="AU109" s="61">
        <f t="shared" si="14"/>
        <v>411.48876600347</v>
      </c>
      <c r="AV109" s="101">
        <f t="shared" si="4"/>
        <v>2.097493459999999</v>
      </c>
      <c r="AW109" s="60">
        <f t="shared" si="5"/>
        <v>2.097493459999999</v>
      </c>
      <c r="AX109" s="61">
        <f t="shared" si="6"/>
        <v>411.48876600347</v>
      </c>
      <c r="AZ109" s="23">
        <f t="shared" si="7"/>
        <v>1.9419196232000004</v>
      </c>
      <c r="BA109" s="103">
        <f t="shared" si="8"/>
        <v>384.78439597286001</v>
      </c>
      <c r="BC109" s="104">
        <f t="shared" si="9"/>
        <v>0.95639921120000015</v>
      </c>
      <c r="BD109" s="105">
        <f t="shared" si="10"/>
        <v>316.41562356871998</v>
      </c>
      <c r="BF109" s="115">
        <f t="shared" ref="BF109:BF172" si="15">IF(H109&lt;100000,((0.0000000152*H109^2)+(0.0014347*H109)+(-4.08313)),((0.00000295*V109^2)+(0.083061*V109)+(133)))</f>
        <v>-0.63065521919999989</v>
      </c>
      <c r="BG109" s="116">
        <f t="shared" ref="BG109:BG172" si="16">(-0.00000172*AJ109^2)+(0.108838*AJ109)+(-21.89)</f>
        <v>192.26874092000003</v>
      </c>
    </row>
    <row r="110" spans="1:59" s="101" customFormat="1" ht="14.4" x14ac:dyDescent="0.3">
      <c r="A110" s="101">
        <v>37</v>
      </c>
      <c r="B110" s="101" t="s">
        <v>189</v>
      </c>
      <c r="C110" s="20">
        <v>44053.412754629629</v>
      </c>
      <c r="D110" s="101" t="s">
        <v>25</v>
      </c>
      <c r="E110" s="101" t="s">
        <v>17</v>
      </c>
      <c r="F110" s="101">
        <v>0</v>
      </c>
      <c r="G110" s="101">
        <v>6.0750000000000002</v>
      </c>
      <c r="H110" s="12">
        <v>2509</v>
      </c>
      <c r="I110" s="101">
        <v>2E-3</v>
      </c>
      <c r="J110" s="101" t="s">
        <v>18</v>
      </c>
      <c r="K110" s="101" t="s">
        <v>18</v>
      </c>
      <c r="L110" s="101" t="s">
        <v>18</v>
      </c>
      <c r="M110" s="101" t="s">
        <v>18</v>
      </c>
      <c r="O110" s="101">
        <v>37</v>
      </c>
      <c r="P110" s="101" t="s">
        <v>189</v>
      </c>
      <c r="Q110" s="20">
        <v>44053.412754629629</v>
      </c>
      <c r="R110" s="101" t="s">
        <v>25</v>
      </c>
      <c r="S110" s="101" t="s">
        <v>17</v>
      </c>
      <c r="T110" s="101">
        <v>0</v>
      </c>
      <c r="U110" s="101" t="s">
        <v>18</v>
      </c>
      <c r="V110" s="101" t="s">
        <v>18</v>
      </c>
      <c r="W110" s="101" t="s">
        <v>18</v>
      </c>
      <c r="X110" s="101" t="s">
        <v>18</v>
      </c>
      <c r="Y110" s="101" t="s">
        <v>18</v>
      </c>
      <c r="Z110" s="101" t="s">
        <v>18</v>
      </c>
      <c r="AA110" s="101" t="s">
        <v>18</v>
      </c>
      <c r="AC110" s="101">
        <v>37</v>
      </c>
      <c r="AD110" s="101" t="s">
        <v>189</v>
      </c>
      <c r="AE110" s="20">
        <v>44053.412754629629</v>
      </c>
      <c r="AF110" s="101" t="s">
        <v>25</v>
      </c>
      <c r="AG110" s="101" t="s">
        <v>17</v>
      </c>
      <c r="AH110" s="101">
        <v>0</v>
      </c>
      <c r="AI110" s="101">
        <v>12.21</v>
      </c>
      <c r="AJ110" s="12">
        <v>2960</v>
      </c>
      <c r="AK110" s="101">
        <v>0.57799999999999996</v>
      </c>
      <c r="AL110" s="101" t="s">
        <v>18</v>
      </c>
      <c r="AM110" s="101" t="s">
        <v>18</v>
      </c>
      <c r="AN110" s="101" t="s">
        <v>18</v>
      </c>
      <c r="AO110" s="101" t="s">
        <v>18</v>
      </c>
      <c r="AS110" s="7">
        <v>66</v>
      </c>
      <c r="AT110" s="60">
        <f t="shared" si="13"/>
        <v>2.5496154712499992</v>
      </c>
      <c r="AU110" s="61">
        <f t="shared" si="14"/>
        <v>583.06403436800008</v>
      </c>
      <c r="AV110" s="101">
        <f t="shared" ref="AV110:AV173" si="17">IF(AT110&lt;0,0,AT110)</f>
        <v>2.5496154712499992</v>
      </c>
      <c r="AW110" s="60">
        <f t="shared" ref="AW110:AW173" si="18">IF(H110&lt;15000,((0.00000002125*H110^2)+(0.002705*H110)+(-4.371)),(IF(H110&lt;700000,((-0.0000000008162*H110^2)+(0.003141*H110)+(0.4702)), ((0.000000003285*V110^2)+(0.1899*V110)+(559.5)))))</f>
        <v>2.5496154712499992</v>
      </c>
      <c r="AX110" s="61">
        <f t="shared" ref="AX110:AX173" si="19">((-0.00000006277*AJ110^2)+(0.1854*AJ110)+(34.83))</f>
        <v>583.06403436800008</v>
      </c>
      <c r="AZ110" s="23">
        <f t="shared" ref="AZ110:AZ173" si="20">IF(H110&lt;10000,((-0.00000005795*H110^2)+(0.003823*H110)+(-6.715)),(IF(H110&lt;700000,((-0.0000000001209*H110^2)+(0.002635*H110)+(-0.4111)), ((-0.00000002007*V110^2)+(0.2564*V110)+(286.1)))))</f>
        <v>2.5121070560500005</v>
      </c>
      <c r="BA110" s="103">
        <f t="shared" ref="BA110:BA173" si="21">(-0.00000001626*AJ110^2)+(0.1912*AJ110)+(-3.858)</f>
        <v>561.95153638400006</v>
      </c>
      <c r="BC110" s="104">
        <f t="shared" ref="BC110:BC173" si="22">IF(H110&lt;10000,((0.0000001453*H110^2)+(0.0008349*H110)+(-1.805)),(IF(H110&lt;700000,((-0.00000000008054*H110^2)+(0.002348*H110)+(-2.47)), ((-0.00000001938*V110^2)+(0.2471*V110)+(226.8)))))</f>
        <v>1.2044393693</v>
      </c>
      <c r="BD110" s="105">
        <f t="shared" ref="BD110:BD173" si="23">(-0.00000002552*AJ110^2)+(0.2067*AJ110)+(-103.7)</f>
        <v>507.90840396799996</v>
      </c>
      <c r="BF110" s="115">
        <f t="shared" si="15"/>
        <v>-0.38778246879999978</v>
      </c>
      <c r="BG110" s="116">
        <f t="shared" si="16"/>
        <v>285.20052800000002</v>
      </c>
    </row>
    <row r="111" spans="1:59" s="101" customFormat="1" ht="14.4" x14ac:dyDescent="0.3">
      <c r="A111" s="101">
        <v>37</v>
      </c>
      <c r="B111" s="101" t="s">
        <v>190</v>
      </c>
      <c r="C111" s="20">
        <v>44054.460138888891</v>
      </c>
      <c r="D111" s="101" t="s">
        <v>25</v>
      </c>
      <c r="E111" s="101" t="s">
        <v>17</v>
      </c>
      <c r="F111" s="101">
        <v>0</v>
      </c>
      <c r="G111" s="101">
        <v>6.0819999999999999</v>
      </c>
      <c r="H111" s="12">
        <v>2218</v>
      </c>
      <c r="I111" s="101">
        <v>1E-3</v>
      </c>
      <c r="J111" s="101" t="s">
        <v>18</v>
      </c>
      <c r="K111" s="101" t="s">
        <v>18</v>
      </c>
      <c r="L111" s="101" t="s">
        <v>18</v>
      </c>
      <c r="M111" s="101" t="s">
        <v>18</v>
      </c>
      <c r="O111" s="101">
        <v>37</v>
      </c>
      <c r="P111" s="101" t="s">
        <v>190</v>
      </c>
      <c r="Q111" s="20">
        <v>44054.460138888891</v>
      </c>
      <c r="R111" s="101" t="s">
        <v>25</v>
      </c>
      <c r="S111" s="101" t="s">
        <v>17</v>
      </c>
      <c r="T111" s="101">
        <v>0</v>
      </c>
      <c r="U111" s="101" t="s">
        <v>18</v>
      </c>
      <c r="V111" s="101" t="s">
        <v>18</v>
      </c>
      <c r="W111" s="101" t="s">
        <v>18</v>
      </c>
      <c r="X111" s="101" t="s">
        <v>18</v>
      </c>
      <c r="Y111" s="101" t="s">
        <v>18</v>
      </c>
      <c r="Z111" s="101" t="s">
        <v>18</v>
      </c>
      <c r="AA111" s="101" t="s">
        <v>18</v>
      </c>
      <c r="AC111" s="101">
        <v>37</v>
      </c>
      <c r="AD111" s="101" t="s">
        <v>190</v>
      </c>
      <c r="AE111" s="20">
        <v>44054.460138888891</v>
      </c>
      <c r="AF111" s="101" t="s">
        <v>25</v>
      </c>
      <c r="AG111" s="101" t="s">
        <v>17</v>
      </c>
      <c r="AH111" s="101">
        <v>0</v>
      </c>
      <c r="AI111" s="101">
        <v>12.208</v>
      </c>
      <c r="AJ111" s="12">
        <v>1438</v>
      </c>
      <c r="AK111" s="101">
        <v>0.371</v>
      </c>
      <c r="AL111" s="101" t="s">
        <v>18</v>
      </c>
      <c r="AM111" s="101" t="s">
        <v>18</v>
      </c>
      <c r="AN111" s="101" t="s">
        <v>18</v>
      </c>
      <c r="AO111" s="101" t="s">
        <v>18</v>
      </c>
      <c r="AQ111" s="56">
        <v>1</v>
      </c>
      <c r="AS111" s="7">
        <v>67</v>
      </c>
      <c r="AT111" s="60">
        <f t="shared" si="13"/>
        <v>1.7332298850000001</v>
      </c>
      <c r="AU111" s="61">
        <f t="shared" si="14"/>
        <v>301.30540143211999</v>
      </c>
      <c r="AV111" s="101">
        <f t="shared" si="17"/>
        <v>1.7332298850000001</v>
      </c>
      <c r="AW111" s="60">
        <f t="shared" si="18"/>
        <v>1.7332298850000001</v>
      </c>
      <c r="AX111" s="61">
        <f t="shared" si="19"/>
        <v>301.30540143211999</v>
      </c>
      <c r="AZ111" s="23">
        <f t="shared" si="20"/>
        <v>1.4793275842</v>
      </c>
      <c r="BA111" s="103">
        <f t="shared" si="21"/>
        <v>271.05397685655998</v>
      </c>
      <c r="BC111" s="104">
        <f t="shared" si="22"/>
        <v>0.76161503720000012</v>
      </c>
      <c r="BD111" s="105">
        <f t="shared" si="23"/>
        <v>193.48182862112003</v>
      </c>
      <c r="BF111" s="115">
        <f t="shared" si="15"/>
        <v>-0.82618863519999985</v>
      </c>
      <c r="BG111" s="116">
        <f t="shared" si="16"/>
        <v>131.06235232</v>
      </c>
    </row>
    <row r="112" spans="1:59" s="101" customFormat="1" ht="14.4" x14ac:dyDescent="0.3">
      <c r="A112" s="101">
        <v>37</v>
      </c>
      <c r="B112" s="101" t="s">
        <v>191</v>
      </c>
      <c r="C112" s="20">
        <v>44061.413425925923</v>
      </c>
      <c r="D112" s="101" t="s">
        <v>25</v>
      </c>
      <c r="E112" s="101" t="s">
        <v>17</v>
      </c>
      <c r="F112" s="101">
        <v>0</v>
      </c>
      <c r="G112" s="101">
        <v>6.0739999999999998</v>
      </c>
      <c r="H112" s="12">
        <v>2437</v>
      </c>
      <c r="I112" s="101">
        <v>2E-3</v>
      </c>
      <c r="J112" s="101" t="s">
        <v>18</v>
      </c>
      <c r="K112" s="101" t="s">
        <v>18</v>
      </c>
      <c r="L112" s="101" t="s">
        <v>18</v>
      </c>
      <c r="M112" s="101" t="s">
        <v>18</v>
      </c>
      <c r="O112" s="101">
        <v>37</v>
      </c>
      <c r="P112" s="101" t="s">
        <v>191</v>
      </c>
      <c r="Q112" s="20">
        <v>44061.413425925923</v>
      </c>
      <c r="R112" s="101" t="s">
        <v>25</v>
      </c>
      <c r="S112" s="101" t="s">
        <v>17</v>
      </c>
      <c r="T112" s="101">
        <v>0</v>
      </c>
      <c r="U112" s="101" t="s">
        <v>18</v>
      </c>
      <c r="V112" s="101" t="s">
        <v>18</v>
      </c>
      <c r="W112" s="101" t="s">
        <v>18</v>
      </c>
      <c r="X112" s="101" t="s">
        <v>18</v>
      </c>
      <c r="Y112" s="101" t="s">
        <v>18</v>
      </c>
      <c r="Z112" s="101" t="s">
        <v>18</v>
      </c>
      <c r="AA112" s="101" t="s">
        <v>18</v>
      </c>
      <c r="AC112" s="101">
        <v>37</v>
      </c>
      <c r="AD112" s="101" t="s">
        <v>191</v>
      </c>
      <c r="AE112" s="20">
        <v>44061.413425925923</v>
      </c>
      <c r="AF112" s="101" t="s">
        <v>25</v>
      </c>
      <c r="AG112" s="101" t="s">
        <v>17</v>
      </c>
      <c r="AH112" s="101">
        <v>0</v>
      </c>
      <c r="AI112" s="101">
        <v>12.215</v>
      </c>
      <c r="AJ112" s="12">
        <v>2143</v>
      </c>
      <c r="AK112" s="101">
        <v>0.46700000000000003</v>
      </c>
      <c r="AL112" s="101" t="s">
        <v>18</v>
      </c>
      <c r="AM112" s="101" t="s">
        <v>18</v>
      </c>
      <c r="AN112" s="101" t="s">
        <v>18</v>
      </c>
      <c r="AO112" s="101" t="s">
        <v>18</v>
      </c>
      <c r="AQ112" s="56">
        <v>1</v>
      </c>
      <c r="AS112" s="7">
        <v>68</v>
      </c>
      <c r="AT112" s="60">
        <f t="shared" si="13"/>
        <v>2.3472880912499994</v>
      </c>
      <c r="AU112" s="61">
        <f t="shared" si="14"/>
        <v>431.85393197627002</v>
      </c>
      <c r="AV112" s="101">
        <f t="shared" si="17"/>
        <v>2.3472880912499994</v>
      </c>
      <c r="AW112" s="60">
        <f t="shared" si="18"/>
        <v>2.3472880912499994</v>
      </c>
      <c r="AX112" s="61">
        <f t="shared" si="19"/>
        <v>431.85393197627002</v>
      </c>
      <c r="AZ112" s="23">
        <f t="shared" si="20"/>
        <v>2.2574877464499998</v>
      </c>
      <c r="BA112" s="103">
        <f t="shared" si="21"/>
        <v>405.80892677925999</v>
      </c>
      <c r="BC112" s="104">
        <f t="shared" si="22"/>
        <v>1.0925834956999998</v>
      </c>
      <c r="BD112" s="105">
        <f t="shared" si="23"/>
        <v>339.14090070152002</v>
      </c>
      <c r="BF112" s="115">
        <f t="shared" si="15"/>
        <v>-0.49649377119999993</v>
      </c>
      <c r="BG112" s="116">
        <f t="shared" si="16"/>
        <v>203.45082172000002</v>
      </c>
    </row>
    <row r="113" spans="1:59" s="101" customFormat="1" ht="14.4" x14ac:dyDescent="0.3">
      <c r="A113" s="101">
        <v>37</v>
      </c>
      <c r="B113" s="101" t="s">
        <v>192</v>
      </c>
      <c r="C113" s="20">
        <v>44064.492615740739</v>
      </c>
      <c r="D113" s="101" t="s">
        <v>25</v>
      </c>
      <c r="E113" s="101" t="s">
        <v>17</v>
      </c>
      <c r="F113" s="101">
        <v>0</v>
      </c>
      <c r="G113" s="101">
        <v>6.07</v>
      </c>
      <c r="H113" s="12">
        <v>2583</v>
      </c>
      <c r="I113" s="101">
        <v>2E-3</v>
      </c>
      <c r="J113" s="101" t="s">
        <v>18</v>
      </c>
      <c r="K113" s="101" t="s">
        <v>18</v>
      </c>
      <c r="L113" s="101" t="s">
        <v>18</v>
      </c>
      <c r="M113" s="101" t="s">
        <v>18</v>
      </c>
      <c r="O113" s="101">
        <v>37</v>
      </c>
      <c r="P113" s="101" t="s">
        <v>192</v>
      </c>
      <c r="Q113" s="20">
        <v>44064.492615740739</v>
      </c>
      <c r="R113" s="101" t="s">
        <v>25</v>
      </c>
      <c r="S113" s="101" t="s">
        <v>17</v>
      </c>
      <c r="T113" s="101">
        <v>0</v>
      </c>
      <c r="U113" s="101" t="s">
        <v>18</v>
      </c>
      <c r="V113" s="101" t="s">
        <v>18</v>
      </c>
      <c r="W113" s="101" t="s">
        <v>18</v>
      </c>
      <c r="X113" s="101" t="s">
        <v>18</v>
      </c>
      <c r="Y113" s="101" t="s">
        <v>18</v>
      </c>
      <c r="Z113" s="101" t="s">
        <v>18</v>
      </c>
      <c r="AA113" s="101" t="s">
        <v>18</v>
      </c>
      <c r="AC113" s="101">
        <v>37</v>
      </c>
      <c r="AD113" s="101" t="s">
        <v>192</v>
      </c>
      <c r="AE113" s="20">
        <v>44064.492615740739</v>
      </c>
      <c r="AF113" s="101" t="s">
        <v>25</v>
      </c>
      <c r="AG113" s="101" t="s">
        <v>17</v>
      </c>
      <c r="AH113" s="101">
        <v>0</v>
      </c>
      <c r="AI113" s="101">
        <v>12.212</v>
      </c>
      <c r="AJ113" s="12">
        <v>2063</v>
      </c>
      <c r="AK113" s="101">
        <v>0.45600000000000002</v>
      </c>
      <c r="AL113" s="101" t="s">
        <v>18</v>
      </c>
      <c r="AM113" s="101" t="s">
        <v>18</v>
      </c>
      <c r="AN113" s="101" t="s">
        <v>18</v>
      </c>
      <c r="AO113" s="101" t="s">
        <v>18</v>
      </c>
      <c r="AQ113" s="56">
        <v>1</v>
      </c>
      <c r="AS113" s="7">
        <v>69</v>
      </c>
      <c r="AT113" s="60">
        <f t="shared" si="13"/>
        <v>2.7577926412499991</v>
      </c>
      <c r="AU113" s="61">
        <f t="shared" si="14"/>
        <v>417.04305282587001</v>
      </c>
      <c r="AV113" s="101">
        <f t="shared" si="17"/>
        <v>2.7577926412499991</v>
      </c>
      <c r="AW113" s="60">
        <f t="shared" si="18"/>
        <v>2.7577926412499991</v>
      </c>
      <c r="AX113" s="61">
        <f t="shared" si="19"/>
        <v>417.04305282587001</v>
      </c>
      <c r="AZ113" s="23">
        <f t="shared" si="20"/>
        <v>2.7731730324500017</v>
      </c>
      <c r="BA113" s="103">
        <f t="shared" si="21"/>
        <v>390.51839794405998</v>
      </c>
      <c r="BC113" s="104">
        <f t="shared" si="22"/>
        <v>1.3209721717</v>
      </c>
      <c r="BD113" s="105">
        <f t="shared" si="23"/>
        <v>322.61348767112003</v>
      </c>
      <c r="BF113" s="115">
        <f t="shared" si="15"/>
        <v>-0.27588718719999994</v>
      </c>
      <c r="BG113" s="116">
        <f t="shared" si="16"/>
        <v>195.32252732000001</v>
      </c>
    </row>
    <row r="114" spans="1:59" s="101" customFormat="1" ht="14.4" x14ac:dyDescent="0.3">
      <c r="A114" s="101">
        <v>37</v>
      </c>
      <c r="B114" s="101" t="s">
        <v>193</v>
      </c>
      <c r="C114" s="20">
        <v>44068.399525462963</v>
      </c>
      <c r="D114" s="101" t="s">
        <v>25</v>
      </c>
      <c r="E114" s="101" t="s">
        <v>17</v>
      </c>
      <c r="F114" s="101">
        <v>0</v>
      </c>
      <c r="G114" s="101">
        <v>6.0640000000000001</v>
      </c>
      <c r="H114" s="12">
        <v>2648</v>
      </c>
      <c r="I114" s="101">
        <v>2E-3</v>
      </c>
      <c r="J114" s="101" t="s">
        <v>18</v>
      </c>
      <c r="K114" s="101" t="s">
        <v>18</v>
      </c>
      <c r="L114" s="101" t="s">
        <v>18</v>
      </c>
      <c r="M114" s="101" t="s">
        <v>18</v>
      </c>
      <c r="O114" s="101">
        <v>37</v>
      </c>
      <c r="P114" s="101" t="s">
        <v>193</v>
      </c>
      <c r="Q114" s="20">
        <v>44068.399525462963</v>
      </c>
      <c r="R114" s="101" t="s">
        <v>25</v>
      </c>
      <c r="S114" s="101" t="s">
        <v>17</v>
      </c>
      <c r="T114" s="101">
        <v>0</v>
      </c>
      <c r="U114" s="101" t="s">
        <v>18</v>
      </c>
      <c r="V114" s="12" t="s">
        <v>18</v>
      </c>
      <c r="W114" s="101" t="s">
        <v>18</v>
      </c>
      <c r="X114" s="101" t="s">
        <v>18</v>
      </c>
      <c r="Y114" s="101" t="s">
        <v>18</v>
      </c>
      <c r="Z114" s="101" t="s">
        <v>18</v>
      </c>
      <c r="AA114" s="101" t="s">
        <v>18</v>
      </c>
      <c r="AC114" s="101">
        <v>37</v>
      </c>
      <c r="AD114" s="101" t="s">
        <v>193</v>
      </c>
      <c r="AE114" s="20">
        <v>44068.399525462963</v>
      </c>
      <c r="AF114" s="101" t="s">
        <v>25</v>
      </c>
      <c r="AG114" s="101" t="s">
        <v>17</v>
      </c>
      <c r="AH114" s="101">
        <v>0</v>
      </c>
      <c r="AI114" s="101">
        <v>12.207000000000001</v>
      </c>
      <c r="AJ114" s="12">
        <v>2390</v>
      </c>
      <c r="AK114" s="101">
        <v>0.5</v>
      </c>
      <c r="AL114" s="101" t="s">
        <v>18</v>
      </c>
      <c r="AM114" s="101" t="s">
        <v>18</v>
      </c>
      <c r="AN114" s="101" t="s">
        <v>18</v>
      </c>
      <c r="AO114" s="101" t="s">
        <v>18</v>
      </c>
      <c r="AQ114" s="56">
        <v>1</v>
      </c>
      <c r="AS114" s="7">
        <v>70</v>
      </c>
      <c r="AT114" s="60">
        <v>2.9408429599999995</v>
      </c>
      <c r="AU114" s="61">
        <v>477.577451483</v>
      </c>
      <c r="AV114" s="101">
        <f t="shared" si="17"/>
        <v>2.9408429599999995</v>
      </c>
      <c r="AW114" s="60">
        <f t="shared" si="18"/>
        <v>2.9408429599999995</v>
      </c>
      <c r="AX114" s="61">
        <f t="shared" si="19"/>
        <v>477.577451483</v>
      </c>
      <c r="AZ114" s="23">
        <f t="shared" si="20"/>
        <v>3.0019641631999985</v>
      </c>
      <c r="BA114" s="103">
        <f t="shared" si="21"/>
        <v>453.01712125400002</v>
      </c>
      <c r="BC114" s="104">
        <f t="shared" si="22"/>
        <v>1.4246448511999998</v>
      </c>
      <c r="BD114" s="105">
        <f t="shared" si="23"/>
        <v>390.16722720799999</v>
      </c>
      <c r="BF114" s="115">
        <f t="shared" si="15"/>
        <v>-0.17746345920000017</v>
      </c>
      <c r="BG114" s="116">
        <f t="shared" si="16"/>
        <v>228.408008</v>
      </c>
    </row>
    <row r="115" spans="1:59" s="101" customFormat="1" ht="14.4" x14ac:dyDescent="0.3">
      <c r="A115" s="101">
        <v>37</v>
      </c>
      <c r="B115" s="101" t="s">
        <v>194</v>
      </c>
      <c r="C115" s="20">
        <v>44076.483263888891</v>
      </c>
      <c r="D115" s="101" t="s">
        <v>25</v>
      </c>
      <c r="E115" s="101" t="s">
        <v>17</v>
      </c>
      <c r="F115" s="101">
        <v>0</v>
      </c>
      <c r="G115" s="101">
        <v>6.0670000000000002</v>
      </c>
      <c r="H115" s="12">
        <v>2283</v>
      </c>
      <c r="I115" s="101">
        <v>2E-3</v>
      </c>
      <c r="J115" s="101" t="s">
        <v>18</v>
      </c>
      <c r="K115" s="101" t="s">
        <v>18</v>
      </c>
      <c r="L115" s="101" t="s">
        <v>18</v>
      </c>
      <c r="M115" s="101" t="s">
        <v>18</v>
      </c>
      <c r="O115" s="101">
        <v>37</v>
      </c>
      <c r="P115" s="101" t="s">
        <v>194</v>
      </c>
      <c r="Q115" s="20">
        <v>44076.483263888891</v>
      </c>
      <c r="R115" s="101" t="s">
        <v>25</v>
      </c>
      <c r="S115" s="101" t="s">
        <v>17</v>
      </c>
      <c r="T115" s="101">
        <v>0</v>
      </c>
      <c r="U115" s="101" t="s">
        <v>18</v>
      </c>
      <c r="V115" s="101" t="s">
        <v>18</v>
      </c>
      <c r="W115" s="101" t="s">
        <v>18</v>
      </c>
      <c r="X115" s="101" t="s">
        <v>18</v>
      </c>
      <c r="Y115" s="101" t="s">
        <v>18</v>
      </c>
      <c r="Z115" s="101" t="s">
        <v>18</v>
      </c>
      <c r="AA115" s="101" t="s">
        <v>18</v>
      </c>
      <c r="AC115" s="101">
        <v>37</v>
      </c>
      <c r="AD115" s="101" t="s">
        <v>194</v>
      </c>
      <c r="AE115" s="20">
        <v>44076.483263888891</v>
      </c>
      <c r="AF115" s="101" t="s">
        <v>25</v>
      </c>
      <c r="AG115" s="101" t="s">
        <v>17</v>
      </c>
      <c r="AH115" s="101">
        <v>0</v>
      </c>
      <c r="AI115" s="101">
        <v>12.191000000000001</v>
      </c>
      <c r="AJ115" s="12">
        <v>1982</v>
      </c>
      <c r="AK115" s="101">
        <v>0.44500000000000001</v>
      </c>
      <c r="AL115" s="101" t="s">
        <v>18</v>
      </c>
      <c r="AM115" s="101" t="s">
        <v>18</v>
      </c>
      <c r="AN115" s="101" t="s">
        <v>18</v>
      </c>
      <c r="AO115" s="101" t="s">
        <v>18</v>
      </c>
      <c r="AS115" s="7">
        <v>71</v>
      </c>
      <c r="AT115" s="60">
        <f t="shared" si="13"/>
        <v>1.9152718912499997</v>
      </c>
      <c r="AU115" s="61">
        <f t="shared" si="14"/>
        <v>402.04621910252001</v>
      </c>
      <c r="AV115" s="101">
        <f t="shared" si="17"/>
        <v>1.9152718912499997</v>
      </c>
      <c r="AW115" s="60">
        <f t="shared" si="18"/>
        <v>1.9152718912499997</v>
      </c>
      <c r="AX115" s="61">
        <f t="shared" si="19"/>
        <v>402.04621910252001</v>
      </c>
      <c r="AZ115" s="23">
        <f t="shared" si="20"/>
        <v>1.7108684424499998</v>
      </c>
      <c r="BA115" s="103">
        <f t="shared" si="21"/>
        <v>375.03652545176004</v>
      </c>
      <c r="BC115" s="104">
        <f t="shared" si="22"/>
        <v>0.85839323169999981</v>
      </c>
      <c r="BD115" s="105">
        <f t="shared" si="23"/>
        <v>305.87914917152</v>
      </c>
      <c r="BF115" s="115">
        <f t="shared" si="15"/>
        <v>-0.72848614719999993</v>
      </c>
      <c r="BG115" s="116">
        <f t="shared" si="16"/>
        <v>187.07019872000001</v>
      </c>
    </row>
    <row r="116" spans="1:59" s="101" customFormat="1" ht="14.4" x14ac:dyDescent="0.3">
      <c r="A116" s="101">
        <v>37</v>
      </c>
      <c r="B116" s="101" t="s">
        <v>195</v>
      </c>
      <c r="C116" s="20">
        <v>44077.492349537039</v>
      </c>
      <c r="D116" s="101" t="s">
        <v>25</v>
      </c>
      <c r="E116" s="101" t="s">
        <v>17</v>
      </c>
      <c r="F116" s="101">
        <v>0</v>
      </c>
      <c r="G116" s="101">
        <v>6.0819999999999999</v>
      </c>
      <c r="H116" s="12">
        <v>2578</v>
      </c>
      <c r="I116" s="101">
        <v>2E-3</v>
      </c>
      <c r="J116" s="101" t="s">
        <v>18</v>
      </c>
      <c r="K116" s="101" t="s">
        <v>18</v>
      </c>
      <c r="L116" s="101" t="s">
        <v>18</v>
      </c>
      <c r="M116" s="101" t="s">
        <v>18</v>
      </c>
      <c r="O116" s="101">
        <v>37</v>
      </c>
      <c r="P116" s="101" t="s">
        <v>195</v>
      </c>
      <c r="Q116" s="20">
        <v>44077.492349537039</v>
      </c>
      <c r="R116" s="101" t="s">
        <v>25</v>
      </c>
      <c r="S116" s="101" t="s">
        <v>17</v>
      </c>
      <c r="T116" s="101">
        <v>0</v>
      </c>
      <c r="U116" s="101" t="s">
        <v>18</v>
      </c>
      <c r="V116" s="101" t="s">
        <v>18</v>
      </c>
      <c r="W116" s="101" t="s">
        <v>18</v>
      </c>
      <c r="X116" s="101" t="s">
        <v>18</v>
      </c>
      <c r="Y116" s="101" t="s">
        <v>18</v>
      </c>
      <c r="Z116" s="101" t="s">
        <v>18</v>
      </c>
      <c r="AA116" s="101" t="s">
        <v>18</v>
      </c>
      <c r="AC116" s="101">
        <v>37</v>
      </c>
      <c r="AD116" s="101" t="s">
        <v>195</v>
      </c>
      <c r="AE116" s="20">
        <v>44077.492349537039</v>
      </c>
      <c r="AF116" s="101" t="s">
        <v>25</v>
      </c>
      <c r="AG116" s="101" t="s">
        <v>17</v>
      </c>
      <c r="AH116" s="101">
        <v>0</v>
      </c>
      <c r="AI116" s="101">
        <v>12.199</v>
      </c>
      <c r="AJ116" s="12">
        <v>2456</v>
      </c>
      <c r="AK116" s="101">
        <v>0.50900000000000001</v>
      </c>
      <c r="AL116" s="101" t="s">
        <v>18</v>
      </c>
      <c r="AM116" s="101" t="s">
        <v>18</v>
      </c>
      <c r="AN116" s="101" t="s">
        <v>18</v>
      </c>
      <c r="AO116" s="101" t="s">
        <v>18</v>
      </c>
      <c r="AQ116" s="101">
        <v>1</v>
      </c>
      <c r="AS116" s="7">
        <v>72</v>
      </c>
      <c r="AT116" s="60">
        <f t="shared" si="13"/>
        <v>2.7437192849999992</v>
      </c>
      <c r="AU116" s="61">
        <f t="shared" si="14"/>
        <v>489.79377537727999</v>
      </c>
      <c r="AV116" s="101">
        <f t="shared" si="17"/>
        <v>2.7437192849999992</v>
      </c>
      <c r="AW116" s="60">
        <f t="shared" si="18"/>
        <v>2.7437192849999992</v>
      </c>
      <c r="AX116" s="61">
        <f t="shared" si="19"/>
        <v>489.79377537727999</v>
      </c>
      <c r="AZ116" s="23">
        <f t="shared" si="20"/>
        <v>2.7555534321999993</v>
      </c>
      <c r="BA116" s="103">
        <f t="shared" si="21"/>
        <v>465.63112072064001</v>
      </c>
      <c r="BC116" s="104">
        <f t="shared" si="22"/>
        <v>1.3130482052000001</v>
      </c>
      <c r="BD116" s="105">
        <f t="shared" si="23"/>
        <v>403.80126499327997</v>
      </c>
      <c r="BF116" s="115">
        <f t="shared" si="15"/>
        <v>-0.28345292320000004</v>
      </c>
      <c r="BG116" s="116">
        <f t="shared" si="16"/>
        <v>235.04119808000002</v>
      </c>
    </row>
    <row r="117" spans="1:59" s="101" customFormat="1" ht="14.4" x14ac:dyDescent="0.3">
      <c r="A117" s="101">
        <v>37</v>
      </c>
      <c r="B117" s="101" t="s">
        <v>196</v>
      </c>
      <c r="C117" s="20">
        <v>44078.547997685186</v>
      </c>
      <c r="D117" s="101" t="s">
        <v>25</v>
      </c>
      <c r="E117" s="101" t="s">
        <v>17</v>
      </c>
      <c r="F117" s="101">
        <v>0</v>
      </c>
      <c r="G117" s="101">
        <v>6.093</v>
      </c>
      <c r="H117" s="12">
        <v>1992</v>
      </c>
      <c r="I117" s="101">
        <v>1E-3</v>
      </c>
      <c r="J117" s="101" t="s">
        <v>18</v>
      </c>
      <c r="K117" s="101" t="s">
        <v>18</v>
      </c>
      <c r="L117" s="101" t="s">
        <v>18</v>
      </c>
      <c r="M117" s="101" t="s">
        <v>18</v>
      </c>
      <c r="O117" s="101">
        <v>37</v>
      </c>
      <c r="P117" s="101" t="s">
        <v>196</v>
      </c>
      <c r="Q117" s="20">
        <v>44078.547997685186</v>
      </c>
      <c r="R117" s="101" t="s">
        <v>25</v>
      </c>
      <c r="S117" s="101" t="s">
        <v>17</v>
      </c>
      <c r="T117" s="101">
        <v>0</v>
      </c>
      <c r="U117" s="101" t="s">
        <v>18</v>
      </c>
      <c r="V117" s="101" t="s">
        <v>18</v>
      </c>
      <c r="W117" s="101" t="s">
        <v>18</v>
      </c>
      <c r="X117" s="101" t="s">
        <v>18</v>
      </c>
      <c r="Y117" s="101" t="s">
        <v>18</v>
      </c>
      <c r="Z117" s="101" t="s">
        <v>18</v>
      </c>
      <c r="AA117" s="101" t="s">
        <v>18</v>
      </c>
      <c r="AC117" s="101">
        <v>37</v>
      </c>
      <c r="AD117" s="101" t="s">
        <v>196</v>
      </c>
      <c r="AE117" s="20">
        <v>44078.547997685186</v>
      </c>
      <c r="AF117" s="101" t="s">
        <v>25</v>
      </c>
      <c r="AG117" s="101" t="s">
        <v>17</v>
      </c>
      <c r="AH117" s="101">
        <v>0</v>
      </c>
      <c r="AI117" s="101">
        <v>12.223000000000001</v>
      </c>
      <c r="AJ117" s="12">
        <v>1790</v>
      </c>
      <c r="AK117" s="101">
        <v>0.41899999999999998</v>
      </c>
      <c r="AL117" s="101" t="s">
        <v>18</v>
      </c>
      <c r="AM117" s="101" t="s">
        <v>18</v>
      </c>
      <c r="AN117" s="101" t="s">
        <v>18</v>
      </c>
      <c r="AO117" s="101" t="s">
        <v>18</v>
      </c>
      <c r="AQ117" s="101">
        <v>1</v>
      </c>
      <c r="AS117" s="7">
        <v>73</v>
      </c>
      <c r="AT117" s="60">
        <f t="shared" si="13"/>
        <v>1.1016813599999988</v>
      </c>
      <c r="AU117" s="61">
        <f t="shared" si="14"/>
        <v>366.49487864300005</v>
      </c>
      <c r="AV117" s="101">
        <f t="shared" si="17"/>
        <v>1.1016813599999988</v>
      </c>
      <c r="AW117" s="60">
        <f t="shared" si="18"/>
        <v>1.1016813599999988</v>
      </c>
      <c r="AX117" s="61">
        <f t="shared" si="19"/>
        <v>366.49487864300005</v>
      </c>
      <c r="AZ117" s="23">
        <f t="shared" si="20"/>
        <v>0.67046669119999969</v>
      </c>
      <c r="BA117" s="103">
        <f t="shared" si="21"/>
        <v>338.33790133399998</v>
      </c>
      <c r="BC117" s="104">
        <f t="shared" si="22"/>
        <v>0.43468049919999996</v>
      </c>
      <c r="BD117" s="105">
        <f t="shared" si="23"/>
        <v>266.21123136800003</v>
      </c>
      <c r="BF117" s="115">
        <f t="shared" si="15"/>
        <v>-1.1648930272000002</v>
      </c>
      <c r="BG117" s="116">
        <f t="shared" si="16"/>
        <v>167.41896800000001</v>
      </c>
    </row>
    <row r="118" spans="1:59" s="101" customFormat="1" ht="14.4" x14ac:dyDescent="0.3">
      <c r="A118" s="101">
        <v>37</v>
      </c>
      <c r="B118" s="101" t="s">
        <v>197</v>
      </c>
      <c r="C118" s="20">
        <v>44082.386331018519</v>
      </c>
      <c r="D118" s="101" t="s">
        <v>25</v>
      </c>
      <c r="E118" s="101" t="s">
        <v>17</v>
      </c>
      <c r="F118" s="101">
        <v>0</v>
      </c>
      <c r="G118" s="101">
        <v>6.0670000000000002</v>
      </c>
      <c r="H118" s="12">
        <v>2308</v>
      </c>
      <c r="I118" s="101">
        <v>2E-3</v>
      </c>
      <c r="J118" s="101" t="s">
        <v>18</v>
      </c>
      <c r="K118" s="101" t="s">
        <v>18</v>
      </c>
      <c r="L118" s="101" t="s">
        <v>18</v>
      </c>
      <c r="M118" s="101" t="s">
        <v>18</v>
      </c>
      <c r="O118" s="101">
        <v>37</v>
      </c>
      <c r="P118" s="101" t="s">
        <v>197</v>
      </c>
      <c r="Q118" s="20">
        <v>44082.386331018519</v>
      </c>
      <c r="R118" s="101" t="s">
        <v>25</v>
      </c>
      <c r="S118" s="101" t="s">
        <v>17</v>
      </c>
      <c r="T118" s="101">
        <v>0</v>
      </c>
      <c r="U118" s="101" t="s">
        <v>18</v>
      </c>
      <c r="V118" s="101" t="s">
        <v>18</v>
      </c>
      <c r="W118" s="101" t="s">
        <v>18</v>
      </c>
      <c r="X118" s="101" t="s">
        <v>18</v>
      </c>
      <c r="Y118" s="101" t="s">
        <v>18</v>
      </c>
      <c r="Z118" s="101" t="s">
        <v>18</v>
      </c>
      <c r="AA118" s="101" t="s">
        <v>18</v>
      </c>
      <c r="AC118" s="101">
        <v>37</v>
      </c>
      <c r="AD118" s="101" t="s">
        <v>197</v>
      </c>
      <c r="AE118" s="20">
        <v>44082.386331018519</v>
      </c>
      <c r="AF118" s="101" t="s">
        <v>25</v>
      </c>
      <c r="AG118" s="101" t="s">
        <v>17</v>
      </c>
      <c r="AH118" s="101">
        <v>0</v>
      </c>
      <c r="AI118" s="101">
        <v>12.131</v>
      </c>
      <c r="AJ118" s="12"/>
      <c r="AL118" s="101" t="s">
        <v>18</v>
      </c>
      <c r="AM118" s="101" t="s">
        <v>18</v>
      </c>
      <c r="AN118" s="101" t="s">
        <v>18</v>
      </c>
      <c r="AO118" s="101" t="s">
        <v>18</v>
      </c>
      <c r="AQ118" s="101">
        <v>3</v>
      </c>
      <c r="AR118" s="101" t="s">
        <v>198</v>
      </c>
      <c r="AS118" s="7">
        <v>74</v>
      </c>
      <c r="AT118" s="60">
        <f t="shared" si="13"/>
        <v>1.9853358599999993</v>
      </c>
      <c r="AU118" s="61"/>
      <c r="AV118" s="101">
        <f t="shared" si="17"/>
        <v>1.9853358599999993</v>
      </c>
      <c r="AW118" s="60">
        <f t="shared" si="18"/>
        <v>1.9853358599999993</v>
      </c>
      <c r="AX118" s="61">
        <f t="shared" si="19"/>
        <v>34.83</v>
      </c>
      <c r="AZ118" s="23">
        <f t="shared" si="20"/>
        <v>1.7997922312000014</v>
      </c>
      <c r="BA118" s="103">
        <f t="shared" si="21"/>
        <v>-3.8580000000000001</v>
      </c>
      <c r="BC118" s="104">
        <f t="shared" si="22"/>
        <v>0.89594253919999978</v>
      </c>
      <c r="BD118" s="105">
        <f t="shared" si="23"/>
        <v>-103.7</v>
      </c>
      <c r="BF118" s="115">
        <f t="shared" si="15"/>
        <v>-0.69087406719999978</v>
      </c>
      <c r="BG118" s="116">
        <f t="shared" si="16"/>
        <v>-21.89</v>
      </c>
    </row>
    <row r="119" spans="1:59" s="101" customFormat="1" ht="14.4" x14ac:dyDescent="0.3">
      <c r="A119" s="101">
        <v>37</v>
      </c>
      <c r="B119" s="101" t="s">
        <v>199</v>
      </c>
      <c r="C119" s="20">
        <v>44088.482928240737</v>
      </c>
      <c r="D119" s="101" t="s">
        <v>25</v>
      </c>
      <c r="E119" s="101" t="s">
        <v>17</v>
      </c>
      <c r="F119" s="101">
        <v>0</v>
      </c>
      <c r="G119" s="101">
        <v>6.08</v>
      </c>
      <c r="H119" s="12">
        <v>2315</v>
      </c>
      <c r="I119" s="101">
        <v>2E-3</v>
      </c>
      <c r="J119" s="101" t="s">
        <v>18</v>
      </c>
      <c r="K119" s="101" t="s">
        <v>18</v>
      </c>
      <c r="L119" s="101" t="s">
        <v>18</v>
      </c>
      <c r="M119" s="101" t="s">
        <v>18</v>
      </c>
      <c r="O119" s="101">
        <v>37</v>
      </c>
      <c r="P119" s="101" t="s">
        <v>199</v>
      </c>
      <c r="Q119" s="20">
        <v>44088.482928240737</v>
      </c>
      <c r="R119" s="101" t="s">
        <v>25</v>
      </c>
      <c r="S119" s="101" t="s">
        <v>17</v>
      </c>
      <c r="T119" s="101">
        <v>0</v>
      </c>
      <c r="U119" s="101" t="s">
        <v>18</v>
      </c>
      <c r="V119" s="101" t="s">
        <v>18</v>
      </c>
      <c r="W119" s="101" t="s">
        <v>18</v>
      </c>
      <c r="X119" s="101" t="s">
        <v>18</v>
      </c>
      <c r="Y119" s="101" t="s">
        <v>18</v>
      </c>
      <c r="Z119" s="101" t="s">
        <v>18</v>
      </c>
      <c r="AA119" s="101" t="s">
        <v>18</v>
      </c>
      <c r="AC119" s="101">
        <v>37</v>
      </c>
      <c r="AD119" s="101" t="s">
        <v>199</v>
      </c>
      <c r="AE119" s="20">
        <v>44088.482928240737</v>
      </c>
      <c r="AF119" s="101" t="s">
        <v>25</v>
      </c>
      <c r="AG119" s="101" t="s">
        <v>17</v>
      </c>
      <c r="AH119" s="101">
        <v>0</v>
      </c>
      <c r="AI119" s="101">
        <v>12.195</v>
      </c>
      <c r="AJ119" s="12">
        <v>2142</v>
      </c>
      <c r="AK119" s="101">
        <v>0.46600000000000003</v>
      </c>
      <c r="AL119" s="101" t="s">
        <v>18</v>
      </c>
      <c r="AM119" s="101" t="s">
        <v>18</v>
      </c>
      <c r="AN119" s="101" t="s">
        <v>18</v>
      </c>
      <c r="AO119" s="101" t="s">
        <v>18</v>
      </c>
      <c r="AQ119" s="101">
        <v>1</v>
      </c>
      <c r="AS119" s="7">
        <v>75</v>
      </c>
      <c r="AT119" s="60">
        <f t="shared" si="13"/>
        <v>2.0049585312499998</v>
      </c>
      <c r="AU119" s="61">
        <f t="shared" si="14"/>
        <v>431.66880094571997</v>
      </c>
      <c r="AV119" s="101">
        <f t="shared" si="17"/>
        <v>2.0049585312499998</v>
      </c>
      <c r="AW119" s="60">
        <f t="shared" si="18"/>
        <v>2.0049585312499998</v>
      </c>
      <c r="AX119" s="61">
        <f t="shared" si="19"/>
        <v>431.66880094571997</v>
      </c>
      <c r="AZ119" s="23">
        <f t="shared" si="20"/>
        <v>1.8246779112499993</v>
      </c>
      <c r="BA119" s="103">
        <f t="shared" si="21"/>
        <v>405.61779645336003</v>
      </c>
      <c r="BC119" s="104">
        <f t="shared" si="22"/>
        <v>0.90648889249999987</v>
      </c>
      <c r="BD119" s="105">
        <f t="shared" si="23"/>
        <v>338.93431005472002</v>
      </c>
      <c r="BF119" s="115">
        <f t="shared" si="15"/>
        <v>-0.6803392800000001</v>
      </c>
      <c r="BG119" s="116">
        <f t="shared" si="16"/>
        <v>203.34935392</v>
      </c>
    </row>
    <row r="120" spans="1:59" s="101" customFormat="1" ht="14.4" x14ac:dyDescent="0.3">
      <c r="A120" s="101">
        <v>37</v>
      </c>
      <c r="B120" s="101" t="s">
        <v>200</v>
      </c>
      <c r="C120" s="20">
        <v>44090.43959490741</v>
      </c>
      <c r="D120" s="101" t="s">
        <v>25</v>
      </c>
      <c r="E120" s="101" t="s">
        <v>17</v>
      </c>
      <c r="F120" s="101">
        <v>0</v>
      </c>
      <c r="G120" s="101">
        <v>6.07</v>
      </c>
      <c r="H120" s="12">
        <v>2436</v>
      </c>
      <c r="I120" s="101">
        <v>2E-3</v>
      </c>
      <c r="J120" s="101" t="s">
        <v>18</v>
      </c>
      <c r="K120" s="101" t="s">
        <v>18</v>
      </c>
      <c r="L120" s="101" t="s">
        <v>18</v>
      </c>
      <c r="M120" s="101" t="s">
        <v>18</v>
      </c>
      <c r="O120" s="101">
        <v>37</v>
      </c>
      <c r="P120" s="101" t="s">
        <v>200</v>
      </c>
      <c r="Q120" s="20">
        <v>44090.43959490741</v>
      </c>
      <c r="R120" s="101" t="s">
        <v>25</v>
      </c>
      <c r="S120" s="101" t="s">
        <v>17</v>
      </c>
      <c r="T120" s="101">
        <v>0</v>
      </c>
      <c r="U120" s="101" t="s">
        <v>18</v>
      </c>
      <c r="V120" s="101" t="s">
        <v>18</v>
      </c>
      <c r="W120" s="101" t="s">
        <v>18</v>
      </c>
      <c r="X120" s="101" t="s">
        <v>18</v>
      </c>
      <c r="Y120" s="101" t="s">
        <v>18</v>
      </c>
      <c r="Z120" s="101" t="s">
        <v>18</v>
      </c>
      <c r="AA120" s="101" t="s">
        <v>18</v>
      </c>
      <c r="AC120" s="101">
        <v>37</v>
      </c>
      <c r="AD120" s="101" t="s">
        <v>200</v>
      </c>
      <c r="AE120" s="20">
        <v>44090.43959490741</v>
      </c>
      <c r="AF120" s="101" t="s">
        <v>25</v>
      </c>
      <c r="AG120" s="101" t="s">
        <v>17</v>
      </c>
      <c r="AH120" s="101">
        <v>0</v>
      </c>
      <c r="AI120" s="101">
        <v>12.227</v>
      </c>
      <c r="AJ120" s="12">
        <v>2928</v>
      </c>
      <c r="AK120" s="101">
        <v>0.57299999999999995</v>
      </c>
      <c r="AL120" s="101" t="s">
        <v>18</v>
      </c>
      <c r="AM120" s="101" t="s">
        <v>18</v>
      </c>
      <c r="AN120" s="101" t="s">
        <v>18</v>
      </c>
      <c r="AO120" s="101" t="s">
        <v>18</v>
      </c>
      <c r="AQ120" s="101">
        <v>1</v>
      </c>
      <c r="AS120" s="7">
        <v>76</v>
      </c>
      <c r="AT120" s="60">
        <f t="shared" si="13"/>
        <v>2.34447954</v>
      </c>
      <c r="AU120" s="61">
        <f t="shared" si="14"/>
        <v>577.14306124032009</v>
      </c>
      <c r="AV120" s="101">
        <f t="shared" si="17"/>
        <v>2.34447954</v>
      </c>
      <c r="AW120" s="60">
        <f t="shared" si="18"/>
        <v>2.34447954</v>
      </c>
      <c r="AX120" s="61">
        <f t="shared" si="19"/>
        <v>577.14306124032009</v>
      </c>
      <c r="AZ120" s="23">
        <f t="shared" si="20"/>
        <v>2.253947136799999</v>
      </c>
      <c r="BA120" s="103">
        <f t="shared" si="21"/>
        <v>555.83620002816008</v>
      </c>
      <c r="BC120" s="104">
        <f t="shared" si="22"/>
        <v>1.0910405488000003</v>
      </c>
      <c r="BD120" s="105">
        <f t="shared" si="23"/>
        <v>501.29881234431997</v>
      </c>
      <c r="BF120" s="115">
        <f t="shared" si="15"/>
        <v>-0.49800254079999995</v>
      </c>
      <c r="BG120" s="116">
        <f t="shared" si="16"/>
        <v>282.04178752000001</v>
      </c>
    </row>
    <row r="121" spans="1:59" s="101" customFormat="1" ht="14.4" x14ac:dyDescent="0.3">
      <c r="A121" s="101">
        <v>37</v>
      </c>
      <c r="B121" s="101" t="s">
        <v>201</v>
      </c>
      <c r="C121" s="20">
        <v>44091.437280092592</v>
      </c>
      <c r="D121" s="101" t="s">
        <v>25</v>
      </c>
      <c r="E121" s="101" t="s">
        <v>17</v>
      </c>
      <c r="F121" s="101">
        <v>0</v>
      </c>
      <c r="G121" s="101">
        <v>6.08</v>
      </c>
      <c r="H121" s="12">
        <v>2661</v>
      </c>
      <c r="I121" s="101">
        <v>2E-3</v>
      </c>
      <c r="J121" s="101" t="s">
        <v>18</v>
      </c>
      <c r="K121" s="101" t="s">
        <v>18</v>
      </c>
      <c r="L121" s="101" t="s">
        <v>18</v>
      </c>
      <c r="M121" s="101" t="s">
        <v>18</v>
      </c>
      <c r="O121" s="101">
        <v>37</v>
      </c>
      <c r="P121" s="101" t="s">
        <v>201</v>
      </c>
      <c r="Q121" s="20">
        <v>44091.437280092592</v>
      </c>
      <c r="R121" s="101" t="s">
        <v>25</v>
      </c>
      <c r="S121" s="101" t="s">
        <v>17</v>
      </c>
      <c r="T121" s="101">
        <v>0</v>
      </c>
      <c r="U121" s="101" t="s">
        <v>18</v>
      </c>
      <c r="V121" s="101" t="s">
        <v>18</v>
      </c>
      <c r="W121" s="101" t="s">
        <v>18</v>
      </c>
      <c r="X121" s="101" t="s">
        <v>18</v>
      </c>
      <c r="Y121" s="101" t="s">
        <v>18</v>
      </c>
      <c r="Z121" s="101" t="s">
        <v>18</v>
      </c>
      <c r="AA121" s="101" t="s">
        <v>18</v>
      </c>
      <c r="AC121" s="101">
        <v>37</v>
      </c>
      <c r="AD121" s="101" t="s">
        <v>201</v>
      </c>
      <c r="AE121" s="20">
        <v>44091.437280092592</v>
      </c>
      <c r="AF121" s="101" t="s">
        <v>25</v>
      </c>
      <c r="AG121" s="101" t="s">
        <v>17</v>
      </c>
      <c r="AH121" s="101">
        <v>0</v>
      </c>
      <c r="AI121" s="101">
        <v>12.212999999999999</v>
      </c>
      <c r="AJ121" s="12">
        <v>2405</v>
      </c>
      <c r="AK121" s="101">
        <v>0.502</v>
      </c>
      <c r="AL121" s="101" t="s">
        <v>18</v>
      </c>
      <c r="AM121" s="101" t="s">
        <v>18</v>
      </c>
      <c r="AN121" s="101" t="s">
        <v>18</v>
      </c>
      <c r="AO121" s="101" t="s">
        <v>18</v>
      </c>
      <c r="AQ121" s="101">
        <v>1</v>
      </c>
      <c r="AS121" s="7">
        <v>77</v>
      </c>
      <c r="AT121" s="60">
        <f t="shared" si="13"/>
        <v>2.9774745712500001</v>
      </c>
      <c r="AU121" s="61">
        <f t="shared" si="14"/>
        <v>480.35393675074999</v>
      </c>
      <c r="AV121" s="101">
        <f t="shared" si="17"/>
        <v>2.9774745712500001</v>
      </c>
      <c r="AW121" s="60">
        <f t="shared" si="18"/>
        <v>2.9774745712500001</v>
      </c>
      <c r="AX121" s="61">
        <f t="shared" si="19"/>
        <v>480.35393675074999</v>
      </c>
      <c r="AZ121" s="23">
        <f t="shared" si="20"/>
        <v>3.0476636280499996</v>
      </c>
      <c r="BA121" s="103">
        <f t="shared" si="21"/>
        <v>455.88395175350001</v>
      </c>
      <c r="BC121" s="104">
        <f t="shared" si="22"/>
        <v>1.4455267213</v>
      </c>
      <c r="BD121" s="105">
        <f t="shared" si="23"/>
        <v>393.26589168200002</v>
      </c>
      <c r="BF121" s="115">
        <f t="shared" si="15"/>
        <v>-0.15776330080000012</v>
      </c>
      <c r="BG121" s="116">
        <f t="shared" si="16"/>
        <v>229.91686700000002</v>
      </c>
    </row>
    <row r="122" spans="1:59" s="101" customFormat="1" ht="14.4" x14ac:dyDescent="0.3">
      <c r="A122" s="101">
        <v>37</v>
      </c>
      <c r="B122" s="101" t="s">
        <v>202</v>
      </c>
      <c r="C122" s="20">
        <v>44092.418599537035</v>
      </c>
      <c r="D122" s="101" t="s">
        <v>25</v>
      </c>
      <c r="E122" s="101" t="s">
        <v>17</v>
      </c>
      <c r="F122" s="101">
        <v>0</v>
      </c>
      <c r="G122" s="101">
        <v>6.0810000000000004</v>
      </c>
      <c r="H122" s="12">
        <v>2745</v>
      </c>
      <c r="I122" s="101">
        <v>2E-3</v>
      </c>
      <c r="J122" s="101" t="s">
        <v>18</v>
      </c>
      <c r="K122" s="101" t="s">
        <v>18</v>
      </c>
      <c r="L122" s="101" t="s">
        <v>18</v>
      </c>
      <c r="M122" s="101" t="s">
        <v>18</v>
      </c>
      <c r="O122" s="101">
        <v>37</v>
      </c>
      <c r="P122" s="101" t="s">
        <v>202</v>
      </c>
      <c r="Q122" s="20">
        <v>44092.418599537035</v>
      </c>
      <c r="R122" s="101" t="s">
        <v>25</v>
      </c>
      <c r="S122" s="101" t="s">
        <v>17</v>
      </c>
      <c r="T122" s="101">
        <v>0</v>
      </c>
      <c r="U122" s="101" t="s">
        <v>18</v>
      </c>
      <c r="V122" s="101" t="s">
        <v>18</v>
      </c>
      <c r="W122" s="101" t="s">
        <v>18</v>
      </c>
      <c r="X122" s="101" t="s">
        <v>18</v>
      </c>
      <c r="Y122" s="101" t="s">
        <v>18</v>
      </c>
      <c r="Z122" s="101" t="s">
        <v>18</v>
      </c>
      <c r="AA122" s="101" t="s">
        <v>18</v>
      </c>
      <c r="AC122" s="101">
        <v>37</v>
      </c>
      <c r="AD122" s="101" t="s">
        <v>202</v>
      </c>
      <c r="AE122" s="20">
        <v>44092.418599537035</v>
      </c>
      <c r="AF122" s="101" t="s">
        <v>25</v>
      </c>
      <c r="AG122" s="101" t="s">
        <v>17</v>
      </c>
      <c r="AH122" s="101">
        <v>0</v>
      </c>
      <c r="AI122" s="101">
        <v>12.222</v>
      </c>
      <c r="AJ122" s="12">
        <v>1748</v>
      </c>
      <c r="AK122" s="101">
        <v>0.41299999999999998</v>
      </c>
      <c r="AL122" s="101" t="s">
        <v>18</v>
      </c>
      <c r="AM122" s="101" t="s">
        <v>18</v>
      </c>
      <c r="AN122" s="101" t="s">
        <v>18</v>
      </c>
      <c r="AO122" s="101" t="s">
        <v>18</v>
      </c>
      <c r="AQ122" s="101">
        <v>1</v>
      </c>
      <c r="AS122" s="7">
        <v>78</v>
      </c>
      <c r="AT122" s="60">
        <f t="shared" si="13"/>
        <v>3.2143442812499998</v>
      </c>
      <c r="AU122" s="61">
        <f t="shared" si="14"/>
        <v>358.71740601392003</v>
      </c>
      <c r="AV122" s="101">
        <f t="shared" si="17"/>
        <v>3.2143442812499998</v>
      </c>
      <c r="AW122" s="60">
        <f t="shared" si="18"/>
        <v>3.2143442812499998</v>
      </c>
      <c r="AX122" s="61">
        <f t="shared" si="19"/>
        <v>358.71740601392003</v>
      </c>
      <c r="AZ122" s="23">
        <f t="shared" si="20"/>
        <v>3.3424803012499993</v>
      </c>
      <c r="BA122" s="103">
        <f t="shared" si="21"/>
        <v>330.30991750496003</v>
      </c>
      <c r="BC122" s="104">
        <f t="shared" si="22"/>
        <v>1.5816396324999997</v>
      </c>
      <c r="BD122" s="105">
        <f t="shared" si="23"/>
        <v>257.53362353791999</v>
      </c>
      <c r="BF122" s="115">
        <f t="shared" si="15"/>
        <v>-3.0346119999999921E-2</v>
      </c>
      <c r="BG122" s="116">
        <f t="shared" si="16"/>
        <v>163.10335712</v>
      </c>
    </row>
    <row r="123" spans="1:59" s="101" customFormat="1" ht="14.4" x14ac:dyDescent="0.3">
      <c r="A123" s="101">
        <v>37</v>
      </c>
      <c r="B123" s="101" t="s">
        <v>203</v>
      </c>
      <c r="C123" s="20">
        <v>44096.440578703703</v>
      </c>
      <c r="D123" s="101" t="s">
        <v>25</v>
      </c>
      <c r="E123" s="101" t="s">
        <v>17</v>
      </c>
      <c r="F123" s="101">
        <v>0</v>
      </c>
      <c r="G123" s="101">
        <v>6.0949999999999998</v>
      </c>
      <c r="H123" s="12">
        <v>2370</v>
      </c>
      <c r="I123" s="101">
        <v>2E-3</v>
      </c>
      <c r="J123" s="101" t="s">
        <v>18</v>
      </c>
      <c r="K123" s="101" t="s">
        <v>18</v>
      </c>
      <c r="L123" s="101" t="s">
        <v>18</v>
      </c>
      <c r="M123" s="101" t="s">
        <v>18</v>
      </c>
      <c r="O123" s="101">
        <v>37</v>
      </c>
      <c r="P123" s="101" t="s">
        <v>203</v>
      </c>
      <c r="Q123" s="20">
        <v>44096.440578703703</v>
      </c>
      <c r="R123" s="101" t="s">
        <v>25</v>
      </c>
      <c r="S123" s="101" t="s">
        <v>17</v>
      </c>
      <c r="T123" s="101">
        <v>0</v>
      </c>
      <c r="U123" s="101" t="s">
        <v>18</v>
      </c>
      <c r="V123" s="101" t="s">
        <v>18</v>
      </c>
      <c r="W123" s="101" t="s">
        <v>18</v>
      </c>
      <c r="X123" s="101" t="s">
        <v>18</v>
      </c>
      <c r="Y123" s="101" t="s">
        <v>18</v>
      </c>
      <c r="Z123" s="101" t="s">
        <v>18</v>
      </c>
      <c r="AA123" s="101" t="s">
        <v>18</v>
      </c>
      <c r="AC123" s="101">
        <v>37</v>
      </c>
      <c r="AD123" s="101" t="s">
        <v>203</v>
      </c>
      <c r="AE123" s="20">
        <v>44096.440578703703</v>
      </c>
      <c r="AF123" s="101" t="s">
        <v>25</v>
      </c>
      <c r="AG123" s="101" t="s">
        <v>17</v>
      </c>
      <c r="AH123" s="101">
        <v>0</v>
      </c>
      <c r="AI123" s="101">
        <v>12.250999999999999</v>
      </c>
      <c r="AJ123" s="12">
        <v>2572</v>
      </c>
      <c r="AK123" s="101">
        <v>0.52500000000000002</v>
      </c>
      <c r="AL123" s="101" t="s">
        <v>18</v>
      </c>
      <c r="AM123" s="101" t="s">
        <v>18</v>
      </c>
      <c r="AN123" s="101" t="s">
        <v>18</v>
      </c>
      <c r="AO123" s="101" t="s">
        <v>18</v>
      </c>
      <c r="AQ123" s="101">
        <v>1</v>
      </c>
      <c r="AS123" s="7">
        <v>79</v>
      </c>
      <c r="AT123" s="60">
        <f t="shared" si="13"/>
        <v>2.1592091249999994</v>
      </c>
      <c r="AU123" s="61">
        <f t="shared" si="14"/>
        <v>511.26356490032003</v>
      </c>
      <c r="AV123" s="101">
        <f t="shared" si="17"/>
        <v>2.1592091249999994</v>
      </c>
      <c r="AW123" s="60">
        <f t="shared" si="18"/>
        <v>2.1592091249999994</v>
      </c>
      <c r="AX123" s="61">
        <f t="shared" si="19"/>
        <v>511.26356490032003</v>
      </c>
      <c r="AZ123" s="23">
        <f t="shared" si="20"/>
        <v>2.020010645000001</v>
      </c>
      <c r="BA123" s="103">
        <f t="shared" si="21"/>
        <v>487.80083710816001</v>
      </c>
      <c r="BC123" s="104">
        <f t="shared" si="22"/>
        <v>0.98984857000000015</v>
      </c>
      <c r="BD123" s="105">
        <f t="shared" si="23"/>
        <v>427.76358050431992</v>
      </c>
      <c r="BF123" s="115">
        <f t="shared" si="15"/>
        <v>-0.59751412000000004</v>
      </c>
      <c r="BG123" s="116">
        <f t="shared" si="16"/>
        <v>246.66321951999998</v>
      </c>
    </row>
    <row r="124" spans="1:59" s="101" customFormat="1" ht="14.4" x14ac:dyDescent="0.3">
      <c r="A124" s="101">
        <v>37</v>
      </c>
      <c r="B124" s="101" t="s">
        <v>204</v>
      </c>
      <c r="C124" s="20">
        <v>44105.466747685183</v>
      </c>
      <c r="D124" s="101" t="s">
        <v>25</v>
      </c>
      <c r="E124" s="101" t="s">
        <v>17</v>
      </c>
      <c r="F124" s="101">
        <v>0</v>
      </c>
      <c r="G124" s="101">
        <v>6.0890000000000004</v>
      </c>
      <c r="H124" s="12">
        <v>2210</v>
      </c>
      <c r="I124" s="101">
        <v>1E-3</v>
      </c>
      <c r="J124" s="101" t="s">
        <v>18</v>
      </c>
      <c r="K124" s="101" t="s">
        <v>18</v>
      </c>
      <c r="L124" s="101" t="s">
        <v>18</v>
      </c>
      <c r="M124" s="101" t="s">
        <v>18</v>
      </c>
      <c r="O124" s="101">
        <v>37</v>
      </c>
      <c r="P124" s="101" t="s">
        <v>204</v>
      </c>
      <c r="Q124" s="20">
        <v>44105.466747685183</v>
      </c>
      <c r="R124" s="101" t="s">
        <v>25</v>
      </c>
      <c r="S124" s="101" t="s">
        <v>17</v>
      </c>
      <c r="T124" s="101">
        <v>0</v>
      </c>
      <c r="U124" s="101" t="s">
        <v>18</v>
      </c>
      <c r="V124" s="101" t="s">
        <v>18</v>
      </c>
      <c r="W124" s="101" t="s">
        <v>18</v>
      </c>
      <c r="X124" s="101" t="s">
        <v>18</v>
      </c>
      <c r="Y124" s="101" t="s">
        <v>18</v>
      </c>
      <c r="Z124" s="101" t="s">
        <v>18</v>
      </c>
      <c r="AA124" s="101" t="s">
        <v>18</v>
      </c>
      <c r="AC124" s="101">
        <v>37</v>
      </c>
      <c r="AD124" s="101" t="s">
        <v>204</v>
      </c>
      <c r="AE124" s="20">
        <v>44105.466747685183</v>
      </c>
      <c r="AF124" s="101" t="s">
        <v>25</v>
      </c>
      <c r="AG124" s="101" t="s">
        <v>17</v>
      </c>
      <c r="AH124" s="101">
        <v>0</v>
      </c>
      <c r="AI124" s="101">
        <v>12.23</v>
      </c>
      <c r="AJ124" s="12">
        <v>1846</v>
      </c>
      <c r="AK124" s="101">
        <v>0.42599999999999999</v>
      </c>
      <c r="AL124" s="101" t="s">
        <v>18</v>
      </c>
      <c r="AM124" s="101" t="s">
        <v>18</v>
      </c>
      <c r="AN124" s="101" t="s">
        <v>18</v>
      </c>
      <c r="AO124" s="101" t="s">
        <v>18</v>
      </c>
      <c r="AQ124" s="101">
        <v>1</v>
      </c>
      <c r="AS124" s="7">
        <v>80</v>
      </c>
      <c r="AT124" s="60">
        <f t="shared" si="13"/>
        <v>1.7108371249999994</v>
      </c>
      <c r="AU124" s="61">
        <f t="shared" si="14"/>
        <v>376.86449766667999</v>
      </c>
      <c r="AV124" s="101">
        <f t="shared" si="17"/>
        <v>1.7108371249999994</v>
      </c>
      <c r="AW124" s="60">
        <f t="shared" si="18"/>
        <v>1.7108371249999994</v>
      </c>
      <c r="AX124" s="61">
        <f t="shared" si="19"/>
        <v>376.86449766667999</v>
      </c>
      <c r="AZ124" s="23">
        <f t="shared" si="20"/>
        <v>1.4507964050000002</v>
      </c>
      <c r="BA124" s="103">
        <f t="shared" si="21"/>
        <v>349.04179053783997</v>
      </c>
      <c r="BC124" s="104">
        <f t="shared" si="22"/>
        <v>0.74978873000000035</v>
      </c>
      <c r="BD124" s="105">
        <f t="shared" si="23"/>
        <v>277.78123508767999</v>
      </c>
      <c r="BF124" s="115">
        <f t="shared" si="15"/>
        <v>-0.83820468000000004</v>
      </c>
      <c r="BG124" s="116">
        <f t="shared" si="16"/>
        <v>173.16367647999999</v>
      </c>
    </row>
    <row r="125" spans="1:59" s="101" customFormat="1" ht="14.4" x14ac:dyDescent="0.3">
      <c r="A125" s="101">
        <v>37</v>
      </c>
      <c r="B125" s="101" t="s">
        <v>205</v>
      </c>
      <c r="C125" s="20">
        <v>44106.421458333331</v>
      </c>
      <c r="D125" s="101" t="s">
        <v>25</v>
      </c>
      <c r="E125" s="101" t="s">
        <v>17</v>
      </c>
      <c r="F125" s="101">
        <v>0</v>
      </c>
      <c r="G125" s="101">
        <v>6.1050000000000004</v>
      </c>
      <c r="H125" s="12">
        <v>2736</v>
      </c>
      <c r="I125" s="101">
        <v>2E-3</v>
      </c>
      <c r="J125" s="101" t="s">
        <v>18</v>
      </c>
      <c r="K125" s="101" t="s">
        <v>18</v>
      </c>
      <c r="L125" s="101" t="s">
        <v>18</v>
      </c>
      <c r="M125" s="101" t="s">
        <v>18</v>
      </c>
      <c r="O125" s="101">
        <v>37</v>
      </c>
      <c r="P125" s="101" t="s">
        <v>205</v>
      </c>
      <c r="Q125" s="20">
        <v>44106.421458333331</v>
      </c>
      <c r="R125" s="101" t="s">
        <v>25</v>
      </c>
      <c r="S125" s="101" t="s">
        <v>17</v>
      </c>
      <c r="T125" s="101">
        <v>0</v>
      </c>
      <c r="U125" s="101" t="s">
        <v>18</v>
      </c>
      <c r="V125" s="101" t="s">
        <v>18</v>
      </c>
      <c r="W125" s="101" t="s">
        <v>18</v>
      </c>
      <c r="X125" s="101" t="s">
        <v>18</v>
      </c>
      <c r="Y125" s="101" t="s">
        <v>18</v>
      </c>
      <c r="Z125" s="101" t="s">
        <v>18</v>
      </c>
      <c r="AA125" s="101" t="s">
        <v>18</v>
      </c>
      <c r="AC125" s="101">
        <v>37</v>
      </c>
      <c r="AD125" s="101" t="s">
        <v>205</v>
      </c>
      <c r="AE125" s="20">
        <v>44106.421458333331</v>
      </c>
      <c r="AF125" s="101" t="s">
        <v>25</v>
      </c>
      <c r="AG125" s="101" t="s">
        <v>17</v>
      </c>
      <c r="AH125" s="101">
        <v>0</v>
      </c>
      <c r="AI125" s="101">
        <v>12.257</v>
      </c>
      <c r="AJ125" s="12">
        <v>1700</v>
      </c>
      <c r="AK125" s="101">
        <v>0.40699999999999997</v>
      </c>
      <c r="AL125" s="101" t="s">
        <v>18</v>
      </c>
      <c r="AM125" s="101" t="s">
        <v>18</v>
      </c>
      <c r="AN125" s="101" t="s">
        <v>18</v>
      </c>
      <c r="AO125" s="101" t="s">
        <v>18</v>
      </c>
      <c r="AQ125" s="101">
        <v>1</v>
      </c>
      <c r="AS125" s="7">
        <v>81</v>
      </c>
      <c r="AT125" s="60">
        <f t="shared" si="13"/>
        <v>3.1889510399999992</v>
      </c>
      <c r="AU125" s="61">
        <f t="shared" si="14"/>
        <v>349.8285947</v>
      </c>
      <c r="AV125" s="101">
        <f t="shared" si="17"/>
        <v>3.1889510399999992</v>
      </c>
      <c r="AW125" s="60">
        <f t="shared" si="18"/>
        <v>3.1889510399999992</v>
      </c>
      <c r="AX125" s="61">
        <f t="shared" si="19"/>
        <v>349.8285947</v>
      </c>
      <c r="AZ125" s="23">
        <f t="shared" si="20"/>
        <v>3.3109319167999995</v>
      </c>
      <c r="BA125" s="103">
        <f t="shared" si="21"/>
        <v>321.13500859999999</v>
      </c>
      <c r="BC125" s="104">
        <f t="shared" si="22"/>
        <v>1.5669580288</v>
      </c>
      <c r="BD125" s="105">
        <f t="shared" si="23"/>
        <v>247.61624719999998</v>
      </c>
      <c r="BF125" s="115">
        <f t="shared" si="15"/>
        <v>-4.4008220800000331E-2</v>
      </c>
      <c r="BG125" s="116">
        <f t="shared" si="16"/>
        <v>158.16380000000004</v>
      </c>
    </row>
    <row r="126" spans="1:59" s="101" customFormat="1" ht="14.4" x14ac:dyDescent="0.3">
      <c r="A126" s="101">
        <v>37</v>
      </c>
      <c r="B126" s="101" t="s">
        <v>206</v>
      </c>
      <c r="C126" s="20">
        <v>44110.423055555555</v>
      </c>
      <c r="D126" s="101" t="s">
        <v>25</v>
      </c>
      <c r="E126" s="101" t="s">
        <v>17</v>
      </c>
      <c r="F126" s="101">
        <v>0</v>
      </c>
      <c r="G126" s="101">
        <v>6.0919999999999996</v>
      </c>
      <c r="H126" s="12">
        <v>2575</v>
      </c>
      <c r="I126" s="101">
        <v>2E-3</v>
      </c>
      <c r="J126" s="101" t="s">
        <v>18</v>
      </c>
      <c r="K126" s="101" t="s">
        <v>18</v>
      </c>
      <c r="L126" s="101" t="s">
        <v>18</v>
      </c>
      <c r="M126" s="101" t="s">
        <v>18</v>
      </c>
      <c r="O126" s="101">
        <v>37</v>
      </c>
      <c r="P126" s="101" t="s">
        <v>206</v>
      </c>
      <c r="Q126" s="20">
        <v>44110.423055555555</v>
      </c>
      <c r="R126" s="101" t="s">
        <v>25</v>
      </c>
      <c r="S126" s="101" t="s">
        <v>17</v>
      </c>
      <c r="T126" s="101">
        <v>0</v>
      </c>
      <c r="U126" s="101" t="s">
        <v>18</v>
      </c>
      <c r="V126" s="101" t="s">
        <v>18</v>
      </c>
      <c r="W126" s="101" t="s">
        <v>18</v>
      </c>
      <c r="X126" s="101" t="s">
        <v>18</v>
      </c>
      <c r="Y126" s="101" t="s">
        <v>18</v>
      </c>
      <c r="Z126" s="101" t="s">
        <v>18</v>
      </c>
      <c r="AA126" s="101" t="s">
        <v>18</v>
      </c>
      <c r="AC126" s="101">
        <v>37</v>
      </c>
      <c r="AD126" s="101" t="s">
        <v>206</v>
      </c>
      <c r="AE126" s="20">
        <v>44110.423055555555</v>
      </c>
      <c r="AF126" s="101" t="s">
        <v>25</v>
      </c>
      <c r="AG126" s="101" t="s">
        <v>17</v>
      </c>
      <c r="AH126" s="101">
        <v>0</v>
      </c>
      <c r="AI126" s="101">
        <v>12.249000000000001</v>
      </c>
      <c r="AJ126" s="12">
        <v>1641</v>
      </c>
      <c r="AK126" s="101">
        <v>0.39900000000000002</v>
      </c>
      <c r="AL126" s="101" t="s">
        <v>18</v>
      </c>
      <c r="AM126" s="101" t="s">
        <v>18</v>
      </c>
      <c r="AN126" s="101" t="s">
        <v>18</v>
      </c>
      <c r="AO126" s="101" t="s">
        <v>18</v>
      </c>
      <c r="AQ126" s="101">
        <v>1</v>
      </c>
      <c r="AS126" s="7">
        <v>82</v>
      </c>
      <c r="AT126" s="60">
        <f t="shared" si="13"/>
        <v>2.7352757812499995</v>
      </c>
      <c r="AU126" s="61">
        <f t="shared" si="14"/>
        <v>338.90236785962998</v>
      </c>
      <c r="AV126" s="101">
        <f t="shared" si="17"/>
        <v>2.7352757812499995</v>
      </c>
      <c r="AW126" s="60">
        <f t="shared" si="18"/>
        <v>2.7352757812499995</v>
      </c>
      <c r="AX126" s="61">
        <f t="shared" si="19"/>
        <v>338.90236785962998</v>
      </c>
      <c r="AZ126" s="23">
        <f t="shared" si="20"/>
        <v>2.7449802812499993</v>
      </c>
      <c r="BA126" s="103">
        <f t="shared" si="21"/>
        <v>309.85741375494001</v>
      </c>
      <c r="BC126" s="104">
        <f t="shared" si="22"/>
        <v>1.3082973125000004</v>
      </c>
      <c r="BD126" s="105">
        <f t="shared" si="23"/>
        <v>235.42597767688</v>
      </c>
      <c r="BF126" s="115">
        <f t="shared" si="15"/>
        <v>-0.28799199999999958</v>
      </c>
      <c r="BG126" s="116">
        <f t="shared" si="16"/>
        <v>152.08140268</v>
      </c>
    </row>
    <row r="127" spans="1:59" s="101" customFormat="1" ht="14.4" x14ac:dyDescent="0.3">
      <c r="A127" s="101">
        <v>37</v>
      </c>
      <c r="B127" s="101" t="s">
        <v>207</v>
      </c>
      <c r="C127" s="20">
        <v>44111.41369212963</v>
      </c>
      <c r="D127" s="101" t="s">
        <v>25</v>
      </c>
      <c r="E127" s="101" t="s">
        <v>17</v>
      </c>
      <c r="F127" s="101">
        <v>0</v>
      </c>
      <c r="G127" s="101">
        <v>6.0910000000000002</v>
      </c>
      <c r="H127" s="12">
        <v>3290</v>
      </c>
      <c r="I127" s="101">
        <v>3.0000000000000001E-3</v>
      </c>
      <c r="J127" s="101" t="s">
        <v>18</v>
      </c>
      <c r="K127" s="101" t="s">
        <v>18</v>
      </c>
      <c r="L127" s="101" t="s">
        <v>18</v>
      </c>
      <c r="M127" s="101" t="s">
        <v>18</v>
      </c>
      <c r="O127" s="101">
        <v>37</v>
      </c>
      <c r="P127" s="101" t="s">
        <v>207</v>
      </c>
      <c r="Q127" s="20">
        <v>44111.41369212963</v>
      </c>
      <c r="R127" s="101" t="s">
        <v>25</v>
      </c>
      <c r="S127" s="101" t="s">
        <v>17</v>
      </c>
      <c r="T127" s="101">
        <v>0</v>
      </c>
      <c r="U127" s="101" t="s">
        <v>18</v>
      </c>
      <c r="V127" s="101" t="s">
        <v>18</v>
      </c>
      <c r="W127" s="101" t="s">
        <v>18</v>
      </c>
      <c r="X127" s="101" t="s">
        <v>18</v>
      </c>
      <c r="Y127" s="101" t="s">
        <v>18</v>
      </c>
      <c r="Z127" s="101" t="s">
        <v>18</v>
      </c>
      <c r="AA127" s="101" t="s">
        <v>18</v>
      </c>
      <c r="AC127" s="101">
        <v>37</v>
      </c>
      <c r="AD127" s="101" t="s">
        <v>207</v>
      </c>
      <c r="AE127" s="20">
        <v>44111.41369212963</v>
      </c>
      <c r="AF127" s="101" t="s">
        <v>25</v>
      </c>
      <c r="AG127" s="101" t="s">
        <v>17</v>
      </c>
      <c r="AH127" s="101">
        <v>0</v>
      </c>
      <c r="AI127" s="101">
        <v>12.234</v>
      </c>
      <c r="AJ127" s="12">
        <v>2882</v>
      </c>
      <c r="AK127" s="101">
        <v>0.56699999999999995</v>
      </c>
      <c r="AL127" s="101" t="s">
        <v>18</v>
      </c>
      <c r="AM127" s="101" t="s">
        <v>18</v>
      </c>
      <c r="AN127" s="101" t="s">
        <v>18</v>
      </c>
      <c r="AO127" s="101" t="s">
        <v>18</v>
      </c>
      <c r="AQ127" s="101">
        <v>1</v>
      </c>
      <c r="AS127" s="7">
        <v>83</v>
      </c>
      <c r="AT127" s="60">
        <f t="shared" si="13"/>
        <v>4.7584621249999994</v>
      </c>
      <c r="AU127" s="61">
        <f t="shared" si="14"/>
        <v>568.63143715052001</v>
      </c>
      <c r="AV127" s="101">
        <f t="shared" si="17"/>
        <v>4.7584621249999994</v>
      </c>
      <c r="AW127" s="60">
        <f t="shared" si="18"/>
        <v>4.7584621249999994</v>
      </c>
      <c r="AX127" s="61">
        <f t="shared" si="19"/>
        <v>568.63143715052001</v>
      </c>
      <c r="AZ127" s="23">
        <f t="shared" si="20"/>
        <v>5.2354134049999992</v>
      </c>
      <c r="BA127" s="103">
        <f t="shared" si="21"/>
        <v>547.04534567576013</v>
      </c>
      <c r="BC127" s="104">
        <f t="shared" si="22"/>
        <v>2.5145627299999997</v>
      </c>
      <c r="BD127" s="105">
        <f t="shared" si="23"/>
        <v>491.79743281952</v>
      </c>
      <c r="BF127" s="115">
        <f t="shared" si="15"/>
        <v>0.80155931999999996</v>
      </c>
      <c r="BG127" s="116">
        <f t="shared" si="16"/>
        <v>277.49492672000008</v>
      </c>
    </row>
    <row r="128" spans="1:59" s="101" customFormat="1" ht="14.4" x14ac:dyDescent="0.3">
      <c r="A128" s="101">
        <v>37</v>
      </c>
      <c r="B128" s="101" t="s">
        <v>208</v>
      </c>
      <c r="C128" s="20">
        <v>44118.511516203704</v>
      </c>
      <c r="D128" s="101" t="s">
        <v>25</v>
      </c>
      <c r="E128" s="101" t="s">
        <v>17</v>
      </c>
      <c r="F128" s="101">
        <v>0</v>
      </c>
      <c r="G128" s="101">
        <v>6.093</v>
      </c>
      <c r="H128" s="12">
        <v>2802</v>
      </c>
      <c r="I128" s="101">
        <v>2E-3</v>
      </c>
      <c r="J128" s="101" t="s">
        <v>18</v>
      </c>
      <c r="K128" s="101" t="s">
        <v>18</v>
      </c>
      <c r="L128" s="101" t="s">
        <v>18</v>
      </c>
      <c r="M128" s="101" t="s">
        <v>18</v>
      </c>
      <c r="O128" s="101">
        <v>37</v>
      </c>
      <c r="P128" s="101" t="s">
        <v>208</v>
      </c>
      <c r="Q128" s="20">
        <v>44118.511516203704</v>
      </c>
      <c r="R128" s="101" t="s">
        <v>25</v>
      </c>
      <c r="S128" s="101" t="s">
        <v>17</v>
      </c>
      <c r="T128" s="101">
        <v>0</v>
      </c>
      <c r="U128" s="101" t="s">
        <v>18</v>
      </c>
      <c r="V128" s="101" t="s">
        <v>18</v>
      </c>
      <c r="W128" s="101" t="s">
        <v>18</v>
      </c>
      <c r="X128" s="101" t="s">
        <v>18</v>
      </c>
      <c r="Y128" s="101" t="s">
        <v>18</v>
      </c>
      <c r="Z128" s="101" t="s">
        <v>18</v>
      </c>
      <c r="AA128" s="101" t="s">
        <v>18</v>
      </c>
      <c r="AC128" s="101">
        <v>37</v>
      </c>
      <c r="AD128" s="101" t="s">
        <v>208</v>
      </c>
      <c r="AE128" s="20">
        <v>44118.511516203704</v>
      </c>
      <c r="AF128" s="101" t="s">
        <v>25</v>
      </c>
      <c r="AG128" s="101" t="s">
        <v>17</v>
      </c>
      <c r="AH128" s="101">
        <v>0</v>
      </c>
      <c r="AI128" s="101">
        <v>12.237</v>
      </c>
      <c r="AJ128" s="12">
        <v>1535</v>
      </c>
      <c r="AK128" s="101">
        <v>0.38400000000000001</v>
      </c>
      <c r="AL128" s="101" t="s">
        <v>18</v>
      </c>
      <c r="AM128" s="101" t="s">
        <v>18</v>
      </c>
      <c r="AN128" s="101" t="s">
        <v>18</v>
      </c>
      <c r="AO128" s="101" t="s">
        <v>18</v>
      </c>
      <c r="AQ128" s="101">
        <v>1</v>
      </c>
      <c r="AS128" s="7">
        <v>84</v>
      </c>
      <c r="AT128" s="60">
        <f t="shared" si="13"/>
        <v>3.375248085</v>
      </c>
      <c r="AU128" s="61">
        <f t="shared" si="14"/>
        <v>319.27109975675</v>
      </c>
      <c r="AV128" s="101">
        <f t="shared" si="17"/>
        <v>3.375248085</v>
      </c>
      <c r="AW128" s="60">
        <f t="shared" si="18"/>
        <v>3.375248085</v>
      </c>
      <c r="AX128" s="61">
        <f t="shared" si="19"/>
        <v>319.27109975675</v>
      </c>
      <c r="AZ128" s="23">
        <f t="shared" si="20"/>
        <v>3.5420687282000003</v>
      </c>
      <c r="BA128" s="103">
        <f t="shared" si="21"/>
        <v>289.59568778150003</v>
      </c>
      <c r="BC128" s="104">
        <f t="shared" si="22"/>
        <v>1.6751697412000002</v>
      </c>
      <c r="BD128" s="105">
        <f t="shared" si="23"/>
        <v>213.524369138</v>
      </c>
      <c r="BF128" s="115">
        <f t="shared" si="15"/>
        <v>5.6237700799999679E-2</v>
      </c>
      <c r="BG128" s="116">
        <f t="shared" si="16"/>
        <v>141.12362300000001</v>
      </c>
    </row>
    <row r="129" spans="1:59" s="101" customFormat="1" ht="14.4" x14ac:dyDescent="0.3">
      <c r="A129" s="101">
        <v>37</v>
      </c>
      <c r="B129" s="101" t="s">
        <v>209</v>
      </c>
      <c r="C129" s="20">
        <v>44119.478043981479</v>
      </c>
      <c r="D129" s="101" t="s">
        <v>25</v>
      </c>
      <c r="E129" s="101" t="s">
        <v>17</v>
      </c>
      <c r="F129" s="101">
        <v>0</v>
      </c>
      <c r="G129" s="101">
        <v>6.0970000000000004</v>
      </c>
      <c r="H129" s="12">
        <v>2844</v>
      </c>
      <c r="I129" s="101">
        <v>2E-3</v>
      </c>
      <c r="J129" s="101" t="s">
        <v>18</v>
      </c>
      <c r="K129" s="101" t="s">
        <v>18</v>
      </c>
      <c r="L129" s="101" t="s">
        <v>18</v>
      </c>
      <c r="M129" s="101" t="s">
        <v>18</v>
      </c>
      <c r="O129" s="101">
        <v>37</v>
      </c>
      <c r="P129" s="101" t="s">
        <v>209</v>
      </c>
      <c r="Q129" s="20">
        <v>44119.478043981479</v>
      </c>
      <c r="R129" s="101" t="s">
        <v>25</v>
      </c>
      <c r="S129" s="101" t="s">
        <v>17</v>
      </c>
      <c r="T129" s="101">
        <v>0</v>
      </c>
      <c r="U129" s="101" t="s">
        <v>18</v>
      </c>
      <c r="V129" s="101" t="s">
        <v>18</v>
      </c>
      <c r="W129" s="101" t="s">
        <v>18</v>
      </c>
      <c r="X129" s="101" t="s">
        <v>18</v>
      </c>
      <c r="Y129" s="101" t="s">
        <v>18</v>
      </c>
      <c r="Z129" s="101" t="s">
        <v>18</v>
      </c>
      <c r="AA129" s="101" t="s">
        <v>18</v>
      </c>
      <c r="AC129" s="101">
        <v>37</v>
      </c>
      <c r="AD129" s="101" t="s">
        <v>209</v>
      </c>
      <c r="AE129" s="20">
        <v>44119.478043981479</v>
      </c>
      <c r="AF129" s="101" t="s">
        <v>25</v>
      </c>
      <c r="AG129" s="101" t="s">
        <v>17</v>
      </c>
      <c r="AH129" s="101">
        <v>0</v>
      </c>
      <c r="AI129" s="101">
        <v>12.231999999999999</v>
      </c>
      <c r="AJ129" s="12">
        <v>2216</v>
      </c>
      <c r="AK129" s="101">
        <v>0.47699999999999998</v>
      </c>
      <c r="AL129" s="101" t="s">
        <v>18</v>
      </c>
      <c r="AM129" s="101" t="s">
        <v>18</v>
      </c>
      <c r="AN129" s="101" t="s">
        <v>18</v>
      </c>
      <c r="AO129" s="101" t="s">
        <v>18</v>
      </c>
      <c r="AQ129" s="101">
        <v>1</v>
      </c>
      <c r="AS129" s="7">
        <v>85</v>
      </c>
      <c r="AT129" s="60">
        <f t="shared" si="13"/>
        <v>3.4938971399999996</v>
      </c>
      <c r="AU129" s="61">
        <f t="shared" si="14"/>
        <v>445.36815812288</v>
      </c>
      <c r="AV129" s="101">
        <f t="shared" si="17"/>
        <v>3.4938971399999996</v>
      </c>
      <c r="AW129" s="60">
        <f t="shared" si="18"/>
        <v>3.4938971399999996</v>
      </c>
      <c r="AX129" s="61">
        <f t="shared" si="19"/>
        <v>445.36815812288</v>
      </c>
      <c r="AZ129" s="23">
        <f t="shared" si="20"/>
        <v>3.6888929287999996</v>
      </c>
      <c r="BA129" s="103">
        <f t="shared" si="21"/>
        <v>419.76135273343999</v>
      </c>
      <c r="BC129" s="104">
        <f t="shared" si="22"/>
        <v>1.7446908208000005</v>
      </c>
      <c r="BD129" s="105">
        <f t="shared" si="23"/>
        <v>354.22188005888</v>
      </c>
      <c r="BF129" s="115">
        <f t="shared" si="15"/>
        <v>0.12009950719999996</v>
      </c>
      <c r="BG129" s="116">
        <f t="shared" si="16"/>
        <v>210.84867968000003</v>
      </c>
    </row>
    <row r="130" spans="1:59" s="101" customFormat="1" ht="14.4" x14ac:dyDescent="0.3">
      <c r="A130" s="101">
        <v>37</v>
      </c>
      <c r="B130" s="101" t="s">
        <v>210</v>
      </c>
      <c r="C130" s="20">
        <v>44124.425856481481</v>
      </c>
      <c r="D130" s="101" t="s">
        <v>25</v>
      </c>
      <c r="E130" s="101" t="s">
        <v>17</v>
      </c>
      <c r="F130" s="101">
        <v>0</v>
      </c>
      <c r="G130" s="101">
        <v>6.0940000000000003</v>
      </c>
      <c r="H130" s="12">
        <v>2737</v>
      </c>
      <c r="I130" s="101">
        <v>2E-3</v>
      </c>
      <c r="J130" s="101" t="s">
        <v>18</v>
      </c>
      <c r="K130" s="101" t="s">
        <v>18</v>
      </c>
      <c r="L130" s="101" t="s">
        <v>18</v>
      </c>
      <c r="M130" s="101" t="s">
        <v>18</v>
      </c>
      <c r="O130" s="101">
        <v>37</v>
      </c>
      <c r="P130" s="101" t="s">
        <v>210</v>
      </c>
      <c r="Q130" s="20">
        <v>44124.425856481481</v>
      </c>
      <c r="R130" s="101" t="s">
        <v>25</v>
      </c>
      <c r="S130" s="101" t="s">
        <v>17</v>
      </c>
      <c r="T130" s="101">
        <v>0</v>
      </c>
      <c r="U130" s="101" t="s">
        <v>18</v>
      </c>
      <c r="V130" s="101" t="s">
        <v>18</v>
      </c>
      <c r="W130" s="101" t="s">
        <v>18</v>
      </c>
      <c r="X130" s="101" t="s">
        <v>18</v>
      </c>
      <c r="Y130" s="101" t="s">
        <v>18</v>
      </c>
      <c r="Z130" s="101" t="s">
        <v>18</v>
      </c>
      <c r="AA130" s="101" t="s">
        <v>18</v>
      </c>
      <c r="AC130" s="101">
        <v>37</v>
      </c>
      <c r="AD130" s="101" t="s">
        <v>210</v>
      </c>
      <c r="AE130" s="20">
        <v>44124.425856481481</v>
      </c>
      <c r="AF130" s="101" t="s">
        <v>25</v>
      </c>
      <c r="AG130" s="101" t="s">
        <v>17</v>
      </c>
      <c r="AH130" s="101">
        <v>0</v>
      </c>
      <c r="AI130" s="101">
        <v>12.205</v>
      </c>
      <c r="AJ130" s="12">
        <v>1859</v>
      </c>
      <c r="AK130" s="101">
        <v>0.42799999999999999</v>
      </c>
      <c r="AL130" s="101" t="s">
        <v>18</v>
      </c>
      <c r="AM130" s="101" t="s">
        <v>18</v>
      </c>
      <c r="AN130" s="101" t="s">
        <v>18</v>
      </c>
      <c r="AO130" s="101" t="s">
        <v>18</v>
      </c>
      <c r="AQ130" s="101">
        <v>1</v>
      </c>
      <c r="AS130" s="7">
        <v>86</v>
      </c>
      <c r="AT130" s="60">
        <f t="shared" si="13"/>
        <v>3.1917723412499992</v>
      </c>
      <c r="AU130" s="61">
        <f t="shared" si="14"/>
        <v>379.27167434963002</v>
      </c>
      <c r="AV130" s="101">
        <f t="shared" si="17"/>
        <v>3.1917723412499992</v>
      </c>
      <c r="AW130" s="60">
        <f t="shared" si="18"/>
        <v>3.1917723412499992</v>
      </c>
      <c r="AX130" s="61">
        <f t="shared" si="19"/>
        <v>379.27167434963002</v>
      </c>
      <c r="AZ130" s="23">
        <f t="shared" si="20"/>
        <v>3.3144377564500012</v>
      </c>
      <c r="BA130" s="103">
        <f t="shared" si="21"/>
        <v>351.52660737494</v>
      </c>
      <c r="BC130" s="104">
        <f t="shared" si="22"/>
        <v>1.5685881556999999</v>
      </c>
      <c r="BD130" s="105">
        <f t="shared" si="23"/>
        <v>280.46710591687997</v>
      </c>
      <c r="BF130" s="115">
        <f t="shared" si="15"/>
        <v>-4.2490331199999787E-2</v>
      </c>
      <c r="BG130" s="116">
        <f t="shared" si="16"/>
        <v>174.49572668000002</v>
      </c>
    </row>
    <row r="131" spans="1:59" s="101" customFormat="1" ht="14.4" x14ac:dyDescent="0.3">
      <c r="A131" s="27">
        <v>37</v>
      </c>
      <c r="B131" s="101" t="s">
        <v>211</v>
      </c>
      <c r="C131" s="20">
        <v>44131.448321759257</v>
      </c>
      <c r="D131" s="101" t="s">
        <v>25</v>
      </c>
      <c r="E131" s="101" t="s">
        <v>17</v>
      </c>
      <c r="F131" s="101">
        <v>0</v>
      </c>
      <c r="G131" s="101">
        <v>6.0880000000000001</v>
      </c>
      <c r="H131" s="12">
        <v>2984</v>
      </c>
      <c r="I131" s="101">
        <v>3.0000000000000001E-3</v>
      </c>
      <c r="J131" s="101" t="s">
        <v>18</v>
      </c>
      <c r="K131" s="101" t="s">
        <v>18</v>
      </c>
      <c r="L131" s="101" t="s">
        <v>18</v>
      </c>
      <c r="M131" s="101" t="s">
        <v>18</v>
      </c>
      <c r="O131" s="101">
        <v>37</v>
      </c>
      <c r="P131" s="101" t="s">
        <v>211</v>
      </c>
      <c r="Q131" s="20">
        <v>44131.448321759257</v>
      </c>
      <c r="R131" s="101" t="s">
        <v>25</v>
      </c>
      <c r="S131" s="101" t="s">
        <v>17</v>
      </c>
      <c r="T131" s="101">
        <v>0</v>
      </c>
      <c r="U131" s="101" t="s">
        <v>18</v>
      </c>
      <c r="V131" s="101" t="s">
        <v>18</v>
      </c>
      <c r="W131" s="101" t="s">
        <v>18</v>
      </c>
      <c r="X131" s="101" t="s">
        <v>18</v>
      </c>
      <c r="Y131" s="101" t="s">
        <v>18</v>
      </c>
      <c r="Z131" s="101" t="s">
        <v>18</v>
      </c>
      <c r="AA131" s="101" t="s">
        <v>18</v>
      </c>
      <c r="AC131" s="101">
        <v>37</v>
      </c>
      <c r="AD131" s="101" t="s">
        <v>211</v>
      </c>
      <c r="AE131" s="20">
        <v>44131.448321759257</v>
      </c>
      <c r="AF131" s="101" t="s">
        <v>25</v>
      </c>
      <c r="AG131" s="101" t="s">
        <v>17</v>
      </c>
      <c r="AH131" s="101">
        <v>0</v>
      </c>
      <c r="AI131" s="101">
        <v>12.218</v>
      </c>
      <c r="AJ131" s="12">
        <v>2211</v>
      </c>
      <c r="AK131" s="101">
        <v>0.47599999999999998</v>
      </c>
      <c r="AL131" s="101" t="s">
        <v>18</v>
      </c>
      <c r="AM131" s="101" t="s">
        <v>18</v>
      </c>
      <c r="AN131" s="101" t="s">
        <v>18</v>
      </c>
      <c r="AO131" s="101" t="s">
        <v>18</v>
      </c>
      <c r="AQ131" s="101">
        <v>1</v>
      </c>
      <c r="AS131" s="7">
        <v>87</v>
      </c>
      <c r="AT131" s="60">
        <f t="shared" si="13"/>
        <v>3.8899354399999986</v>
      </c>
      <c r="AU131" s="61">
        <f t="shared" si="14"/>
        <v>444.44254753682998</v>
      </c>
      <c r="AV131" s="101">
        <f t="shared" si="17"/>
        <v>3.8899354399999986</v>
      </c>
      <c r="AW131" s="60">
        <f t="shared" si="18"/>
        <v>3.8899354399999986</v>
      </c>
      <c r="AX131" s="61">
        <f t="shared" si="19"/>
        <v>444.44254753682998</v>
      </c>
      <c r="AZ131" s="23">
        <f t="shared" si="20"/>
        <v>4.1768303648000007</v>
      </c>
      <c r="BA131" s="103">
        <f t="shared" si="21"/>
        <v>418.80571264854001</v>
      </c>
      <c r="BC131" s="104">
        <f t="shared" si="22"/>
        <v>1.9801299967999999</v>
      </c>
      <c r="BD131" s="105">
        <f t="shared" si="23"/>
        <v>353.18894494407999</v>
      </c>
      <c r="BF131" s="115">
        <f t="shared" si="15"/>
        <v>0.33335949120000041</v>
      </c>
      <c r="BG131" s="116">
        <f t="shared" si="16"/>
        <v>210.34256188000001</v>
      </c>
    </row>
    <row r="132" spans="1:59" s="101" customFormat="1" ht="14.4" x14ac:dyDescent="0.3">
      <c r="A132" s="101">
        <v>37</v>
      </c>
      <c r="B132" s="101" t="s">
        <v>212</v>
      </c>
      <c r="C132" s="20">
        <v>44133.528877314813</v>
      </c>
      <c r="D132" s="101" t="s">
        <v>25</v>
      </c>
      <c r="E132" s="101" t="s">
        <v>17</v>
      </c>
      <c r="F132" s="101">
        <v>0</v>
      </c>
      <c r="G132" s="101">
        <v>6.1020000000000003</v>
      </c>
      <c r="H132" s="12">
        <v>2917</v>
      </c>
      <c r="I132" s="101">
        <v>2E-3</v>
      </c>
      <c r="J132" s="101" t="s">
        <v>18</v>
      </c>
      <c r="K132" s="101" t="s">
        <v>18</v>
      </c>
      <c r="L132" s="101" t="s">
        <v>18</v>
      </c>
      <c r="M132" s="101" t="s">
        <v>18</v>
      </c>
      <c r="O132" s="101">
        <v>37</v>
      </c>
      <c r="P132" s="101" t="s">
        <v>212</v>
      </c>
      <c r="Q132" s="20">
        <v>44133.528877314813</v>
      </c>
      <c r="R132" s="101" t="s">
        <v>25</v>
      </c>
      <c r="S132" s="101" t="s">
        <v>17</v>
      </c>
      <c r="T132" s="101">
        <v>0</v>
      </c>
      <c r="U132" s="101" t="s">
        <v>18</v>
      </c>
      <c r="V132" s="101" t="s">
        <v>18</v>
      </c>
      <c r="W132" s="101" t="s">
        <v>18</v>
      </c>
      <c r="X132" s="101" t="s">
        <v>18</v>
      </c>
      <c r="Y132" s="101" t="s">
        <v>18</v>
      </c>
      <c r="Z132" s="101" t="s">
        <v>18</v>
      </c>
      <c r="AA132" s="101" t="s">
        <v>18</v>
      </c>
      <c r="AC132" s="101">
        <v>37</v>
      </c>
      <c r="AD132" s="101" t="s">
        <v>212</v>
      </c>
      <c r="AE132" s="20">
        <v>44133.528877314813</v>
      </c>
      <c r="AF132" s="101" t="s">
        <v>25</v>
      </c>
      <c r="AG132" s="101" t="s">
        <v>17</v>
      </c>
      <c r="AH132" s="101">
        <v>0</v>
      </c>
      <c r="AI132" s="101">
        <v>12.238</v>
      </c>
      <c r="AJ132" s="12">
        <v>1969</v>
      </c>
      <c r="AK132" s="101">
        <v>0.443</v>
      </c>
      <c r="AL132" s="101" t="s">
        <v>18</v>
      </c>
      <c r="AM132" s="101" t="s">
        <v>18</v>
      </c>
      <c r="AN132" s="101" t="s">
        <v>18</v>
      </c>
      <c r="AO132" s="101" t="s">
        <v>18</v>
      </c>
      <c r="AQ132" s="101">
        <v>1</v>
      </c>
      <c r="AS132" s="7">
        <v>88</v>
      </c>
      <c r="AT132" s="60">
        <f t="shared" si="13"/>
        <v>3.7002988912500001</v>
      </c>
      <c r="AU132" s="61">
        <f t="shared" si="14"/>
        <v>399.63924315803001</v>
      </c>
      <c r="AV132" s="101">
        <f t="shared" si="17"/>
        <v>3.7002988912500001</v>
      </c>
      <c r="AW132" s="60">
        <f t="shared" si="18"/>
        <v>3.7002988912500001</v>
      </c>
      <c r="AX132" s="61">
        <f t="shared" si="19"/>
        <v>399.63924315803001</v>
      </c>
      <c r="AZ132" s="23">
        <f t="shared" si="20"/>
        <v>3.9436008824499993</v>
      </c>
      <c r="BA132" s="103">
        <f t="shared" si="21"/>
        <v>372.55176061413999</v>
      </c>
      <c r="BC132" s="104">
        <f t="shared" si="22"/>
        <v>1.8667448717000001</v>
      </c>
      <c r="BD132" s="105">
        <f t="shared" si="23"/>
        <v>303.19335995528002</v>
      </c>
      <c r="BF132" s="115">
        <f t="shared" si="15"/>
        <v>0.23122501279999952</v>
      </c>
      <c r="BG132" s="116">
        <f t="shared" si="16"/>
        <v>185.74364908000001</v>
      </c>
    </row>
    <row r="133" spans="1:59" s="101" customFormat="1" ht="14.4" x14ac:dyDescent="0.3">
      <c r="A133" s="101">
        <v>37</v>
      </c>
      <c r="B133" s="101" t="s">
        <v>213</v>
      </c>
      <c r="C133" s="20">
        <v>44138.442881944444</v>
      </c>
      <c r="D133" s="101" t="s">
        <v>25</v>
      </c>
      <c r="E133" s="101" t="s">
        <v>17</v>
      </c>
      <c r="F133" s="101">
        <v>0</v>
      </c>
      <c r="G133" s="101">
        <v>6.1379999999999999</v>
      </c>
      <c r="H133" s="12">
        <v>2557</v>
      </c>
      <c r="I133" s="101">
        <v>2E-3</v>
      </c>
      <c r="J133" s="101" t="s">
        <v>18</v>
      </c>
      <c r="K133" s="101" t="s">
        <v>18</v>
      </c>
      <c r="L133" s="101" t="s">
        <v>18</v>
      </c>
      <c r="M133" s="101" t="s">
        <v>18</v>
      </c>
      <c r="O133" s="101">
        <v>37</v>
      </c>
      <c r="P133" s="101" t="s">
        <v>213</v>
      </c>
      <c r="Q133" s="20">
        <v>44138.442881944444</v>
      </c>
      <c r="R133" s="101" t="s">
        <v>25</v>
      </c>
      <c r="S133" s="101" t="s">
        <v>17</v>
      </c>
      <c r="T133" s="101">
        <v>0</v>
      </c>
      <c r="U133" s="101" t="s">
        <v>18</v>
      </c>
      <c r="V133" s="101" t="s">
        <v>18</v>
      </c>
      <c r="W133" s="101" t="s">
        <v>18</v>
      </c>
      <c r="X133" s="101" t="s">
        <v>18</v>
      </c>
      <c r="Y133" s="101" t="s">
        <v>18</v>
      </c>
      <c r="Z133" s="101" t="s">
        <v>18</v>
      </c>
      <c r="AA133" s="101" t="s">
        <v>18</v>
      </c>
      <c r="AC133" s="101">
        <v>37</v>
      </c>
      <c r="AD133" s="101" t="s">
        <v>213</v>
      </c>
      <c r="AE133" s="20">
        <v>44138.442881944444</v>
      </c>
      <c r="AF133" s="101" t="s">
        <v>25</v>
      </c>
      <c r="AG133" s="101" t="s">
        <v>17</v>
      </c>
      <c r="AH133" s="101">
        <v>0</v>
      </c>
      <c r="AI133" s="101">
        <v>12.295999999999999</v>
      </c>
      <c r="AJ133" s="12">
        <v>1699</v>
      </c>
      <c r="AK133" s="101">
        <v>0.40600000000000003</v>
      </c>
      <c r="AL133" s="101" t="s">
        <v>18</v>
      </c>
      <c r="AM133" s="101" t="s">
        <v>18</v>
      </c>
      <c r="AN133" s="101" t="s">
        <v>18</v>
      </c>
      <c r="AO133" s="101" t="s">
        <v>18</v>
      </c>
      <c r="AQ133" s="101">
        <v>1</v>
      </c>
      <c r="AS133" s="7">
        <v>89</v>
      </c>
      <c r="AT133" s="60">
        <f t="shared" si="13"/>
        <v>2.6846227912499998</v>
      </c>
      <c r="AU133" s="61">
        <f t="shared" si="14"/>
        <v>349.64340805523</v>
      </c>
      <c r="AV133" s="101">
        <f t="shared" si="17"/>
        <v>2.6846227912499998</v>
      </c>
      <c r="AW133" s="60">
        <f t="shared" si="18"/>
        <v>2.6846227912499998</v>
      </c>
      <c r="AX133" s="61">
        <f t="shared" si="19"/>
        <v>349.64340805523</v>
      </c>
      <c r="AZ133" s="23">
        <f t="shared" si="20"/>
        <v>2.6815194704500005</v>
      </c>
      <c r="BA133" s="103">
        <f t="shared" si="21"/>
        <v>320.94386386774005</v>
      </c>
      <c r="BC133" s="104">
        <f t="shared" si="22"/>
        <v>1.2798468796999998</v>
      </c>
      <c r="BD133" s="105">
        <f t="shared" si="23"/>
        <v>247.40963394248001</v>
      </c>
      <c r="BF133" s="115">
        <f t="shared" si="15"/>
        <v>-0.31522071519999972</v>
      </c>
      <c r="BG133" s="116">
        <f t="shared" si="16"/>
        <v>158.06080828</v>
      </c>
    </row>
    <row r="134" spans="1:59" s="101" customFormat="1" ht="14.4" x14ac:dyDescent="0.3">
      <c r="A134" s="101">
        <v>37</v>
      </c>
      <c r="B134" s="101" t="s">
        <v>214</v>
      </c>
      <c r="C134" s="20">
        <v>44140.434560185182</v>
      </c>
      <c r="D134" s="101" t="s">
        <v>25</v>
      </c>
      <c r="E134" s="101" t="s">
        <v>17</v>
      </c>
      <c r="F134" s="101">
        <v>0</v>
      </c>
      <c r="G134" s="101">
        <v>6.1109999999999998</v>
      </c>
      <c r="H134" s="12">
        <v>3303</v>
      </c>
      <c r="I134" s="101">
        <v>3.0000000000000001E-3</v>
      </c>
      <c r="J134" s="101" t="s">
        <v>18</v>
      </c>
      <c r="K134" s="101" t="s">
        <v>18</v>
      </c>
      <c r="L134" s="101" t="s">
        <v>18</v>
      </c>
      <c r="M134" s="101" t="s">
        <v>18</v>
      </c>
      <c r="O134" s="101">
        <v>37</v>
      </c>
      <c r="P134" s="101" t="s">
        <v>214</v>
      </c>
      <c r="Q134" s="20">
        <v>44140.434560185182</v>
      </c>
      <c r="R134" s="101" t="s">
        <v>25</v>
      </c>
      <c r="S134" s="101" t="s">
        <v>17</v>
      </c>
      <c r="T134" s="101">
        <v>0</v>
      </c>
      <c r="U134" s="101" t="s">
        <v>18</v>
      </c>
      <c r="V134" s="101" t="s">
        <v>18</v>
      </c>
      <c r="W134" s="101" t="s">
        <v>18</v>
      </c>
      <c r="X134" s="101" t="s">
        <v>18</v>
      </c>
      <c r="Y134" s="101" t="s">
        <v>18</v>
      </c>
      <c r="Z134" s="101" t="s">
        <v>18</v>
      </c>
      <c r="AA134" s="101" t="s">
        <v>18</v>
      </c>
      <c r="AC134" s="101">
        <v>37</v>
      </c>
      <c r="AD134" s="101" t="s">
        <v>214</v>
      </c>
      <c r="AE134" s="20">
        <v>44140.434560185182</v>
      </c>
      <c r="AF134" s="101" t="s">
        <v>25</v>
      </c>
      <c r="AG134" s="101" t="s">
        <v>17</v>
      </c>
      <c r="AH134" s="101">
        <v>0</v>
      </c>
      <c r="AI134" s="101">
        <v>12.282</v>
      </c>
      <c r="AJ134" s="12">
        <v>2199</v>
      </c>
      <c r="AK134" s="101">
        <v>0.47399999999999998</v>
      </c>
      <c r="AL134" s="101" t="s">
        <v>18</v>
      </c>
      <c r="AM134" s="101" t="s">
        <v>18</v>
      </c>
      <c r="AN134" s="101" t="s">
        <v>18</v>
      </c>
      <c r="AO134" s="101" t="s">
        <v>18</v>
      </c>
      <c r="AQ134" s="101">
        <v>1</v>
      </c>
      <c r="AS134" s="7">
        <v>90</v>
      </c>
      <c r="AT134" s="60">
        <f t="shared" si="13"/>
        <v>4.7954484412499987</v>
      </c>
      <c r="AU134" s="61">
        <f t="shared" si="14"/>
        <v>442.22106932523002</v>
      </c>
      <c r="AV134" s="101">
        <f t="shared" si="17"/>
        <v>4.7954484412499987</v>
      </c>
      <c r="AW134" s="60">
        <f t="shared" si="18"/>
        <v>4.7954484412499987</v>
      </c>
      <c r="AX134" s="61">
        <f t="shared" si="19"/>
        <v>442.22106932523002</v>
      </c>
      <c r="AZ134" s="23">
        <f t="shared" si="20"/>
        <v>5.2801455684499992</v>
      </c>
      <c r="BA134" s="103">
        <f t="shared" si="21"/>
        <v>416.51217312774003</v>
      </c>
      <c r="BC134" s="104">
        <f t="shared" si="22"/>
        <v>2.5378699477000008</v>
      </c>
      <c r="BD134" s="105">
        <f t="shared" si="23"/>
        <v>350.70989546248001</v>
      </c>
      <c r="BF134" s="115">
        <f t="shared" si="15"/>
        <v>0.82151319679999979</v>
      </c>
      <c r="BG134" s="116">
        <f t="shared" si="16"/>
        <v>209.12752828000004</v>
      </c>
    </row>
    <row r="135" spans="1:59" s="101" customFormat="1" ht="14.4" x14ac:dyDescent="0.3">
      <c r="A135" s="101">
        <v>37</v>
      </c>
      <c r="B135" s="101" t="s">
        <v>215</v>
      </c>
      <c r="C135" s="20">
        <v>44145.622662037036</v>
      </c>
      <c r="D135" s="101" t="s">
        <v>25</v>
      </c>
      <c r="E135" s="101" t="s">
        <v>17</v>
      </c>
      <c r="F135" s="101">
        <v>0</v>
      </c>
      <c r="G135" s="101">
        <v>6.0960000000000001</v>
      </c>
      <c r="H135" s="12">
        <v>3182</v>
      </c>
      <c r="I135" s="101">
        <v>3.0000000000000001E-3</v>
      </c>
      <c r="J135" s="101" t="s">
        <v>18</v>
      </c>
      <c r="K135" s="101" t="s">
        <v>18</v>
      </c>
      <c r="L135" s="101" t="s">
        <v>18</v>
      </c>
      <c r="M135" s="101" t="s">
        <v>18</v>
      </c>
      <c r="O135" s="101">
        <v>37</v>
      </c>
      <c r="P135" s="101" t="s">
        <v>215</v>
      </c>
      <c r="Q135" s="20">
        <v>44145.622662037036</v>
      </c>
      <c r="R135" s="101" t="s">
        <v>25</v>
      </c>
      <c r="S135" s="101" t="s">
        <v>17</v>
      </c>
      <c r="T135" s="101">
        <v>0</v>
      </c>
      <c r="U135" s="101" t="s">
        <v>18</v>
      </c>
      <c r="V135" s="101" t="s">
        <v>18</v>
      </c>
      <c r="W135" s="101" t="s">
        <v>18</v>
      </c>
      <c r="X135" s="101" t="s">
        <v>18</v>
      </c>
      <c r="Y135" s="101" t="s">
        <v>18</v>
      </c>
      <c r="Z135" s="101" t="s">
        <v>18</v>
      </c>
      <c r="AA135" s="101" t="s">
        <v>18</v>
      </c>
      <c r="AC135" s="101">
        <v>37</v>
      </c>
      <c r="AD135" s="101" t="s">
        <v>215</v>
      </c>
      <c r="AE135" s="20">
        <v>44145.622662037036</v>
      </c>
      <c r="AF135" s="101" t="s">
        <v>25</v>
      </c>
      <c r="AG135" s="101" t="s">
        <v>17</v>
      </c>
      <c r="AH135" s="101">
        <v>0</v>
      </c>
      <c r="AI135" s="101">
        <v>12.244999999999999</v>
      </c>
      <c r="AJ135" s="12">
        <v>2089</v>
      </c>
      <c r="AK135" s="101">
        <v>0.45900000000000002</v>
      </c>
      <c r="AL135" s="101" t="s">
        <v>18</v>
      </c>
      <c r="AM135" s="101" t="s">
        <v>18</v>
      </c>
      <c r="AN135" s="101" t="s">
        <v>18</v>
      </c>
      <c r="AO135" s="101" t="s">
        <v>18</v>
      </c>
      <c r="AQ135" s="101">
        <v>1</v>
      </c>
      <c r="AS135" s="7">
        <v>91</v>
      </c>
      <c r="AT135" s="60">
        <f t="shared" si="13"/>
        <v>4.4514688849999988</v>
      </c>
      <c r="AU135" s="61">
        <f t="shared" si="14"/>
        <v>421.85667667883001</v>
      </c>
      <c r="AV135" s="101">
        <f t="shared" si="17"/>
        <v>4.4514688849999988</v>
      </c>
      <c r="AW135" s="60">
        <f t="shared" si="18"/>
        <v>4.4514688849999988</v>
      </c>
      <c r="AX135" s="61">
        <f t="shared" si="19"/>
        <v>421.85667667883001</v>
      </c>
      <c r="AZ135" s="23">
        <f t="shared" si="20"/>
        <v>4.8630350642</v>
      </c>
      <c r="BA135" s="103">
        <f t="shared" si="21"/>
        <v>395.48784264454002</v>
      </c>
      <c r="BC135" s="104">
        <f t="shared" si="22"/>
        <v>2.3228323171999996</v>
      </c>
      <c r="BD135" s="105">
        <f t="shared" si="23"/>
        <v>327.98493273608</v>
      </c>
      <c r="BF135" s="115">
        <f t="shared" si="15"/>
        <v>0.63598728479999966</v>
      </c>
      <c r="BG135" s="116">
        <f t="shared" si="16"/>
        <v>197.96663788000001</v>
      </c>
    </row>
    <row r="136" spans="1:59" s="101" customFormat="1" ht="14.4" x14ac:dyDescent="0.3">
      <c r="A136" s="101">
        <v>37</v>
      </c>
      <c r="B136" s="101" t="s">
        <v>216</v>
      </c>
      <c r="C136" s="20">
        <v>44146.388912037037</v>
      </c>
      <c r="D136" s="101" t="s">
        <v>25</v>
      </c>
      <c r="E136" s="101" t="s">
        <v>17</v>
      </c>
      <c r="F136" s="101">
        <v>0</v>
      </c>
      <c r="G136" s="101">
        <v>6.1020000000000003</v>
      </c>
      <c r="H136" s="12">
        <v>3132</v>
      </c>
      <c r="I136" s="101">
        <v>3.0000000000000001E-3</v>
      </c>
      <c r="J136" s="101" t="s">
        <v>18</v>
      </c>
      <c r="K136" s="101" t="s">
        <v>18</v>
      </c>
      <c r="L136" s="101" t="s">
        <v>18</v>
      </c>
      <c r="M136" s="101" t="s">
        <v>18</v>
      </c>
      <c r="O136" s="101">
        <v>37</v>
      </c>
      <c r="P136" s="101" t="s">
        <v>216</v>
      </c>
      <c r="Q136" s="20">
        <v>44146.388912037037</v>
      </c>
      <c r="R136" s="101" t="s">
        <v>25</v>
      </c>
      <c r="S136" s="101" t="s">
        <v>17</v>
      </c>
      <c r="T136" s="101">
        <v>0</v>
      </c>
      <c r="U136" s="101" t="s">
        <v>18</v>
      </c>
      <c r="V136" s="101" t="s">
        <v>18</v>
      </c>
      <c r="W136" s="101" t="s">
        <v>18</v>
      </c>
      <c r="X136" s="101" t="s">
        <v>18</v>
      </c>
      <c r="Y136" s="101" t="s">
        <v>18</v>
      </c>
      <c r="Z136" s="101" t="s">
        <v>18</v>
      </c>
      <c r="AA136" s="101" t="s">
        <v>18</v>
      </c>
      <c r="AC136" s="101">
        <v>37</v>
      </c>
      <c r="AD136" s="101" t="s">
        <v>216</v>
      </c>
      <c r="AE136" s="20">
        <v>44146.388912037037</v>
      </c>
      <c r="AF136" s="101" t="s">
        <v>25</v>
      </c>
      <c r="AG136" s="101" t="s">
        <v>17</v>
      </c>
      <c r="AH136" s="101">
        <v>0</v>
      </c>
      <c r="AI136" s="101">
        <v>12.222</v>
      </c>
      <c r="AJ136" s="12">
        <v>2339</v>
      </c>
      <c r="AK136" s="101">
        <v>0.49299999999999999</v>
      </c>
      <c r="AL136" s="101" t="s">
        <v>18</v>
      </c>
      <c r="AM136" s="101" t="s">
        <v>18</v>
      </c>
      <c r="AN136" s="101" t="s">
        <v>18</v>
      </c>
      <c r="AO136" s="101" t="s">
        <v>18</v>
      </c>
      <c r="AQ136" s="101">
        <v>1</v>
      </c>
      <c r="AS136" s="7">
        <v>92</v>
      </c>
      <c r="AT136" s="60">
        <f t="shared" si="13"/>
        <v>4.3095102599999979</v>
      </c>
      <c r="AU136" s="61">
        <f t="shared" si="14"/>
        <v>468.13719028882997</v>
      </c>
      <c r="AV136" s="101">
        <f t="shared" si="17"/>
        <v>4.3095102599999979</v>
      </c>
      <c r="AW136" s="60">
        <f t="shared" si="18"/>
        <v>4.3095102599999979</v>
      </c>
      <c r="AX136" s="61">
        <f t="shared" si="19"/>
        <v>468.13719028882997</v>
      </c>
      <c r="AZ136" s="23">
        <f t="shared" si="20"/>
        <v>4.6901798792000005</v>
      </c>
      <c r="BA136" s="103">
        <f t="shared" si="21"/>
        <v>443.26984282454004</v>
      </c>
      <c r="BC136" s="104">
        <f t="shared" si="22"/>
        <v>2.2352161072000003</v>
      </c>
      <c r="BD136" s="105">
        <f t="shared" si="23"/>
        <v>379.63168209608</v>
      </c>
      <c r="BF136" s="115">
        <f t="shared" si="15"/>
        <v>0.55945364480000048</v>
      </c>
      <c r="BG136" s="116">
        <f t="shared" si="16"/>
        <v>223.27209788000005</v>
      </c>
    </row>
    <row r="137" spans="1:59" s="101" customFormat="1" ht="14.4" x14ac:dyDescent="0.3">
      <c r="A137" s="101">
        <v>37</v>
      </c>
      <c r="B137" s="101" t="s">
        <v>217</v>
      </c>
      <c r="C137" s="20">
        <v>44168.494421296295</v>
      </c>
      <c r="D137" s="101" t="s">
        <v>25</v>
      </c>
      <c r="E137" s="101" t="s">
        <v>17</v>
      </c>
      <c r="F137" s="101">
        <v>0</v>
      </c>
      <c r="G137" s="101">
        <v>6.1029999999999998</v>
      </c>
      <c r="H137" s="12">
        <v>1720</v>
      </c>
      <c r="I137" s="101">
        <v>1E-3</v>
      </c>
      <c r="J137" s="101" t="s">
        <v>18</v>
      </c>
      <c r="K137" s="101" t="s">
        <v>18</v>
      </c>
      <c r="L137" s="101" t="s">
        <v>18</v>
      </c>
      <c r="M137" s="101" t="s">
        <v>18</v>
      </c>
      <c r="O137" s="101">
        <v>37</v>
      </c>
      <c r="P137" s="101" t="s">
        <v>217</v>
      </c>
      <c r="Q137" s="20">
        <v>44168.494421296295</v>
      </c>
      <c r="R137" s="101" t="s">
        <v>25</v>
      </c>
      <c r="S137" s="101" t="s">
        <v>17</v>
      </c>
      <c r="T137" s="101">
        <v>0</v>
      </c>
      <c r="U137" s="101" t="s">
        <v>18</v>
      </c>
      <c r="V137" s="101" t="s">
        <v>18</v>
      </c>
      <c r="W137" s="101" t="s">
        <v>18</v>
      </c>
      <c r="X137" s="101" t="s">
        <v>18</v>
      </c>
      <c r="Y137" s="101" t="s">
        <v>18</v>
      </c>
      <c r="Z137" s="101" t="s">
        <v>18</v>
      </c>
      <c r="AA137" s="101" t="s">
        <v>18</v>
      </c>
      <c r="AC137" s="101">
        <v>37</v>
      </c>
      <c r="AD137" s="101" t="s">
        <v>217</v>
      </c>
      <c r="AE137" s="20">
        <v>44168.494421296295</v>
      </c>
      <c r="AF137" s="101" t="s">
        <v>25</v>
      </c>
      <c r="AG137" s="101" t="s">
        <v>17</v>
      </c>
      <c r="AH137" s="101">
        <v>0</v>
      </c>
      <c r="AI137" s="101">
        <v>12.295</v>
      </c>
      <c r="AJ137" s="12">
        <v>2091</v>
      </c>
      <c r="AK137" s="101">
        <v>0.46</v>
      </c>
      <c r="AL137" s="101" t="s">
        <v>18</v>
      </c>
      <c r="AM137" s="101" t="s">
        <v>18</v>
      </c>
      <c r="AN137" s="101" t="s">
        <v>18</v>
      </c>
      <c r="AO137" s="101" t="s">
        <v>18</v>
      </c>
      <c r="AQ137" s="101">
        <v>1</v>
      </c>
      <c r="AS137" s="7">
        <v>93</v>
      </c>
      <c r="AT137" s="60">
        <f t="shared" si="13"/>
        <v>0.34446599999999883</v>
      </c>
      <c r="AU137" s="61">
        <f t="shared" si="14"/>
        <v>422.22695192162996</v>
      </c>
      <c r="AV137" s="101">
        <f t="shared" si="17"/>
        <v>0.34446599999999883</v>
      </c>
      <c r="AW137" s="60">
        <f t="shared" si="18"/>
        <v>0.34446599999999883</v>
      </c>
      <c r="AX137" s="61">
        <f t="shared" si="19"/>
        <v>422.22695192162996</v>
      </c>
      <c r="AZ137" s="23">
        <f t="shared" si="20"/>
        <v>-0.31087927999999998</v>
      </c>
      <c r="BA137" s="103">
        <f t="shared" si="21"/>
        <v>395.87010671094004</v>
      </c>
      <c r="BC137" s="104">
        <f t="shared" si="22"/>
        <v>6.0883519999999969E-2</v>
      </c>
      <c r="BD137" s="105">
        <f t="shared" si="23"/>
        <v>328.39811938887999</v>
      </c>
      <c r="BF137" s="115">
        <f t="shared" si="15"/>
        <v>-1.5704783199999999</v>
      </c>
      <c r="BG137" s="116">
        <f t="shared" si="16"/>
        <v>198.16993468000004</v>
      </c>
    </row>
    <row r="138" spans="1:59" s="101" customFormat="1" ht="14.4" x14ac:dyDescent="0.3">
      <c r="A138" s="101">
        <v>38</v>
      </c>
      <c r="B138" s="101" t="s">
        <v>218</v>
      </c>
      <c r="C138" s="20">
        <v>44168.5156712963</v>
      </c>
      <c r="D138" s="101" t="s">
        <v>219</v>
      </c>
      <c r="E138" s="101" t="s">
        <v>17</v>
      </c>
      <c r="F138" s="101">
        <v>0</v>
      </c>
      <c r="G138" s="101">
        <v>6.1219999999999999</v>
      </c>
      <c r="H138" s="12">
        <v>1853</v>
      </c>
      <c r="I138" s="101">
        <v>1E-3</v>
      </c>
      <c r="J138" s="101" t="s">
        <v>18</v>
      </c>
      <c r="K138" s="101" t="s">
        <v>18</v>
      </c>
      <c r="L138" s="101" t="s">
        <v>18</v>
      </c>
      <c r="M138" s="101" t="s">
        <v>18</v>
      </c>
      <c r="O138" s="101">
        <v>38</v>
      </c>
      <c r="P138" s="101" t="s">
        <v>218</v>
      </c>
      <c r="Q138" s="20">
        <v>44168.5156712963</v>
      </c>
      <c r="R138" s="101" t="s">
        <v>219</v>
      </c>
      <c r="S138" s="101" t="s">
        <v>17</v>
      </c>
      <c r="T138" s="101">
        <v>0</v>
      </c>
      <c r="U138" s="101" t="s">
        <v>18</v>
      </c>
      <c r="V138" s="12" t="s">
        <v>18</v>
      </c>
      <c r="W138" s="101" t="s">
        <v>18</v>
      </c>
      <c r="X138" s="101" t="s">
        <v>18</v>
      </c>
      <c r="Y138" s="101" t="s">
        <v>18</v>
      </c>
      <c r="Z138" s="101" t="s">
        <v>18</v>
      </c>
      <c r="AA138" s="101" t="s">
        <v>18</v>
      </c>
      <c r="AC138" s="101">
        <v>38</v>
      </c>
      <c r="AD138" s="101" t="s">
        <v>218</v>
      </c>
      <c r="AE138" s="20">
        <v>44168.5156712963</v>
      </c>
      <c r="AF138" s="101" t="s">
        <v>220</v>
      </c>
      <c r="AG138" s="101" t="s">
        <v>17</v>
      </c>
      <c r="AH138" s="101">
        <v>0</v>
      </c>
      <c r="AI138" s="101">
        <v>12.29</v>
      </c>
      <c r="AJ138" s="12">
        <v>2037</v>
      </c>
      <c r="AK138" s="101">
        <v>0.45200000000000001</v>
      </c>
      <c r="AL138" s="101" t="s">
        <v>18</v>
      </c>
      <c r="AM138" s="101" t="s">
        <v>18</v>
      </c>
      <c r="AN138" s="101" t="s">
        <v>18</v>
      </c>
      <c r="AO138" s="101" t="s">
        <v>18</v>
      </c>
      <c r="AQ138" s="101">
        <v>1</v>
      </c>
      <c r="AS138" s="7">
        <v>94</v>
      </c>
      <c r="AT138" s="60">
        <f t="shared" si="13"/>
        <v>0.71432919124999916</v>
      </c>
      <c r="AU138" s="61">
        <f t="shared" si="14"/>
        <v>412.22934410787002</v>
      </c>
      <c r="AV138" s="101">
        <f t="shared" si="17"/>
        <v>0.71432919124999916</v>
      </c>
      <c r="AW138" s="60">
        <f t="shared" si="18"/>
        <v>0.71432919124999916</v>
      </c>
      <c r="AX138" s="61">
        <f t="shared" si="19"/>
        <v>412.22934410787002</v>
      </c>
      <c r="AZ138" s="23">
        <f t="shared" si="20"/>
        <v>0.17004135844999979</v>
      </c>
      <c r="BA138" s="103">
        <f t="shared" si="21"/>
        <v>385.54893126005999</v>
      </c>
      <c r="BC138" s="104">
        <f t="shared" si="22"/>
        <v>0.24097308770000025</v>
      </c>
      <c r="BD138" s="105">
        <f t="shared" si="23"/>
        <v>317.24200810311999</v>
      </c>
      <c r="BF138" s="115">
        <f t="shared" si="15"/>
        <v>-1.3724400432000001</v>
      </c>
      <c r="BG138" s="116">
        <f t="shared" si="16"/>
        <v>192.67609132000001</v>
      </c>
    </row>
    <row r="139" spans="1:59" s="101" customFormat="1" ht="14.4" x14ac:dyDescent="0.3">
      <c r="A139" s="101">
        <v>37</v>
      </c>
      <c r="B139" s="101" t="s">
        <v>221</v>
      </c>
      <c r="C139" s="20">
        <v>44173.457974537036</v>
      </c>
      <c r="D139" s="101" t="s">
        <v>25</v>
      </c>
      <c r="E139" s="101" t="s">
        <v>17</v>
      </c>
      <c r="F139" s="101">
        <v>0</v>
      </c>
      <c r="G139" s="101">
        <v>6.1349999999999998</v>
      </c>
      <c r="H139" s="12">
        <v>1980</v>
      </c>
      <c r="I139" s="101">
        <v>1E-3</v>
      </c>
      <c r="J139" s="101" t="s">
        <v>18</v>
      </c>
      <c r="K139" s="101" t="s">
        <v>18</v>
      </c>
      <c r="L139" s="101" t="s">
        <v>18</v>
      </c>
      <c r="M139" s="101" t="s">
        <v>18</v>
      </c>
      <c r="O139" s="101">
        <v>37</v>
      </c>
      <c r="P139" s="101" t="s">
        <v>221</v>
      </c>
      <c r="Q139" s="20">
        <v>44173.457974537036</v>
      </c>
      <c r="R139" s="101" t="s">
        <v>25</v>
      </c>
      <c r="S139" s="101" t="s">
        <v>17</v>
      </c>
      <c r="T139" s="101">
        <v>0</v>
      </c>
      <c r="U139" s="101" t="s">
        <v>18</v>
      </c>
      <c r="V139" s="101" t="s">
        <v>18</v>
      </c>
      <c r="W139" s="101" t="s">
        <v>18</v>
      </c>
      <c r="X139" s="101" t="s">
        <v>18</v>
      </c>
      <c r="Y139" s="101" t="s">
        <v>18</v>
      </c>
      <c r="Z139" s="101" t="s">
        <v>18</v>
      </c>
      <c r="AA139" s="101" t="s">
        <v>18</v>
      </c>
      <c r="AC139" s="101">
        <v>37</v>
      </c>
      <c r="AD139" s="101" t="s">
        <v>221</v>
      </c>
      <c r="AE139" s="20">
        <v>44173.457974537036</v>
      </c>
      <c r="AF139" s="101" t="s">
        <v>25</v>
      </c>
      <c r="AG139" s="20" t="s">
        <v>17</v>
      </c>
      <c r="AH139" s="101">
        <v>0</v>
      </c>
      <c r="AI139" s="101">
        <v>12.304</v>
      </c>
      <c r="AJ139" s="12">
        <v>2432</v>
      </c>
      <c r="AK139" s="101">
        <v>0.50600000000000001</v>
      </c>
      <c r="AL139" s="12" t="s">
        <v>18</v>
      </c>
      <c r="AM139" s="101" t="s">
        <v>18</v>
      </c>
      <c r="AN139" s="101" t="s">
        <v>18</v>
      </c>
      <c r="AO139" s="101" t="s">
        <v>18</v>
      </c>
      <c r="AQ139" s="101">
        <v>1</v>
      </c>
      <c r="AS139" s="7">
        <v>95</v>
      </c>
      <c r="AT139" s="60">
        <f t="shared" si="13"/>
        <v>1.0682084999999999</v>
      </c>
      <c r="AU139" s="61">
        <f t="shared" si="14"/>
        <v>485.35153905151998</v>
      </c>
      <c r="AV139" s="101">
        <f t="shared" si="17"/>
        <v>1.0682084999999999</v>
      </c>
      <c r="AW139" s="60">
        <f t="shared" si="18"/>
        <v>1.0682084999999999</v>
      </c>
      <c r="AX139" s="61">
        <f t="shared" si="19"/>
        <v>485.35153905151998</v>
      </c>
      <c r="AZ139" s="23">
        <f t="shared" si="20"/>
        <v>0.62735282000000048</v>
      </c>
      <c r="BA139" s="103">
        <f t="shared" si="21"/>
        <v>461.04422821375999</v>
      </c>
      <c r="BC139" s="104">
        <f t="shared" si="22"/>
        <v>0.41773612000000004</v>
      </c>
      <c r="BD139" s="105">
        <f t="shared" si="23"/>
        <v>398.84345879552001</v>
      </c>
      <c r="BF139" s="115">
        <f t="shared" si="15"/>
        <v>-1.1828339199999998</v>
      </c>
      <c r="BG139" s="116">
        <f t="shared" si="16"/>
        <v>232.63086272000004</v>
      </c>
    </row>
    <row r="140" spans="1:59" s="101" customFormat="1" ht="14.4" x14ac:dyDescent="0.3">
      <c r="A140" s="101">
        <v>37</v>
      </c>
      <c r="B140" s="101" t="s">
        <v>222</v>
      </c>
      <c r="C140" s="20">
        <v>44174.441469907404</v>
      </c>
      <c r="D140" s="101" t="s">
        <v>25</v>
      </c>
      <c r="E140" s="101" t="s">
        <v>17</v>
      </c>
      <c r="F140" s="101">
        <v>0</v>
      </c>
      <c r="G140" s="101">
        <v>6.1310000000000002</v>
      </c>
      <c r="H140" s="12">
        <v>1796</v>
      </c>
      <c r="I140" s="101">
        <v>1E-3</v>
      </c>
      <c r="J140" s="101" t="s">
        <v>18</v>
      </c>
      <c r="K140" s="101" t="s">
        <v>18</v>
      </c>
      <c r="L140" s="101" t="s">
        <v>18</v>
      </c>
      <c r="M140" s="101" t="s">
        <v>18</v>
      </c>
      <c r="O140" s="101">
        <v>37</v>
      </c>
      <c r="P140" s="101" t="s">
        <v>222</v>
      </c>
      <c r="Q140" s="20">
        <v>44174.441469907404</v>
      </c>
      <c r="R140" s="101" t="s">
        <v>223</v>
      </c>
      <c r="S140" s="101" t="s">
        <v>17</v>
      </c>
      <c r="T140" s="101">
        <v>0</v>
      </c>
      <c r="U140" s="101" t="s">
        <v>18</v>
      </c>
      <c r="V140" s="101" t="s">
        <v>18</v>
      </c>
      <c r="W140" s="101" t="s">
        <v>18</v>
      </c>
      <c r="X140" s="101" t="s">
        <v>18</v>
      </c>
      <c r="Y140" s="101" t="s">
        <v>18</v>
      </c>
      <c r="Z140" s="101" t="s">
        <v>18</v>
      </c>
      <c r="AA140" s="101" t="s">
        <v>18</v>
      </c>
      <c r="AC140" s="101">
        <v>37</v>
      </c>
      <c r="AD140" s="101" t="s">
        <v>222</v>
      </c>
      <c r="AE140" s="20">
        <v>44174.441469907404</v>
      </c>
      <c r="AF140" s="101" t="s">
        <v>223</v>
      </c>
      <c r="AG140" s="101" t="s">
        <v>17</v>
      </c>
      <c r="AH140" s="101">
        <v>0</v>
      </c>
      <c r="AI140" s="101">
        <v>12.33</v>
      </c>
      <c r="AJ140" s="12">
        <v>2391</v>
      </c>
      <c r="AK140" s="101">
        <v>0.5</v>
      </c>
      <c r="AL140" s="101" t="s">
        <v>18</v>
      </c>
      <c r="AM140" s="101" t="s">
        <v>18</v>
      </c>
      <c r="AN140" s="101" t="s">
        <v>18</v>
      </c>
      <c r="AO140" s="101" t="s">
        <v>18</v>
      </c>
      <c r="AQ140" s="101">
        <v>1</v>
      </c>
      <c r="AS140" s="7">
        <v>96</v>
      </c>
      <c r="AT140" s="60">
        <f t="shared" si="13"/>
        <v>0.55572433999999937</v>
      </c>
      <c r="AU140" s="61">
        <f t="shared" si="14"/>
        <v>477.76255137963</v>
      </c>
      <c r="AV140" s="101">
        <f t="shared" si="17"/>
        <v>0.55572433999999937</v>
      </c>
      <c r="AW140" s="60">
        <f t="shared" si="18"/>
        <v>0.55572433999999937</v>
      </c>
      <c r="AX140" s="61">
        <f t="shared" si="19"/>
        <v>477.76255137963</v>
      </c>
      <c r="AZ140" s="23">
        <f t="shared" si="20"/>
        <v>-3.5816447200000212E-2</v>
      </c>
      <c r="BA140" s="103">
        <f t="shared" si="21"/>
        <v>453.20824351494002</v>
      </c>
      <c r="BC140" s="104">
        <f t="shared" si="22"/>
        <v>0.16316240479999999</v>
      </c>
      <c r="BD140" s="105">
        <f t="shared" si="23"/>
        <v>390.37380519688003</v>
      </c>
      <c r="BF140" s="115">
        <f t="shared" si="15"/>
        <v>-1.4573794368000001</v>
      </c>
      <c r="BG140" s="116">
        <f t="shared" si="16"/>
        <v>228.50862267999997</v>
      </c>
    </row>
    <row r="141" spans="1:59" s="101" customFormat="1" ht="14.4" x14ac:dyDescent="0.3">
      <c r="A141" s="101">
        <v>37</v>
      </c>
      <c r="B141" s="101" t="s">
        <v>224</v>
      </c>
      <c r="C141" s="20">
        <v>44175.440532407411</v>
      </c>
      <c r="D141" s="101" t="s">
        <v>25</v>
      </c>
      <c r="E141" s="101" t="s">
        <v>17</v>
      </c>
      <c r="F141" s="101">
        <v>0</v>
      </c>
      <c r="G141" s="101">
        <v>6.1130000000000004</v>
      </c>
      <c r="H141" s="12">
        <v>2080</v>
      </c>
      <c r="I141" s="101">
        <v>1E-3</v>
      </c>
      <c r="J141" s="101" t="s">
        <v>18</v>
      </c>
      <c r="K141" s="101" t="s">
        <v>18</v>
      </c>
      <c r="L141" s="101" t="s">
        <v>18</v>
      </c>
      <c r="M141" s="101" t="s">
        <v>18</v>
      </c>
      <c r="O141" s="101">
        <v>37</v>
      </c>
      <c r="P141" s="101" t="s">
        <v>224</v>
      </c>
      <c r="Q141" s="20">
        <v>44175.440532407411</v>
      </c>
      <c r="R141" s="101" t="s">
        <v>25</v>
      </c>
      <c r="S141" s="101" t="s">
        <v>17</v>
      </c>
      <c r="T141" s="101">
        <v>0</v>
      </c>
      <c r="U141" s="101" t="s">
        <v>18</v>
      </c>
      <c r="V141" s="101" t="s">
        <v>18</v>
      </c>
      <c r="W141" s="101" t="s">
        <v>18</v>
      </c>
      <c r="X141" s="101" t="s">
        <v>18</v>
      </c>
      <c r="Y141" s="101" t="s">
        <v>18</v>
      </c>
      <c r="Z141" s="101" t="s">
        <v>18</v>
      </c>
      <c r="AA141" s="101" t="s">
        <v>18</v>
      </c>
      <c r="AC141" s="101">
        <v>37</v>
      </c>
      <c r="AD141" s="101" t="s">
        <v>224</v>
      </c>
      <c r="AE141" s="20">
        <v>44175.440532407411</v>
      </c>
      <c r="AF141" s="101" t="s">
        <v>25</v>
      </c>
      <c r="AG141" s="101" t="s">
        <v>17</v>
      </c>
      <c r="AH141" s="101">
        <v>0</v>
      </c>
      <c r="AI141" s="101">
        <v>12.266999999999999</v>
      </c>
      <c r="AJ141" s="12">
        <v>2661</v>
      </c>
      <c r="AK141" s="101">
        <v>0.53700000000000003</v>
      </c>
      <c r="AL141" s="101" t="s">
        <v>18</v>
      </c>
      <c r="AM141" s="101" t="s">
        <v>18</v>
      </c>
      <c r="AN141" s="101" t="s">
        <v>18</v>
      </c>
      <c r="AO141" s="101" t="s">
        <v>18</v>
      </c>
      <c r="AQ141" s="101">
        <v>1</v>
      </c>
      <c r="AS141" s="7">
        <v>97</v>
      </c>
      <c r="AT141" s="60">
        <f t="shared" si="13"/>
        <v>1.3473359999999994</v>
      </c>
      <c r="AU141" s="61">
        <f t="shared" si="14"/>
        <v>527.73493058883003</v>
      </c>
      <c r="AV141" s="101">
        <f t="shared" si="17"/>
        <v>1.3473359999999994</v>
      </c>
      <c r="AW141" s="60">
        <f t="shared" si="18"/>
        <v>1.3473359999999994</v>
      </c>
      <c r="AX141" s="61">
        <f t="shared" si="19"/>
        <v>527.73493058883003</v>
      </c>
      <c r="AZ141" s="23">
        <f t="shared" si="20"/>
        <v>0.98612511999999963</v>
      </c>
      <c r="BA141" s="103">
        <f t="shared" si="21"/>
        <v>504.81006422454004</v>
      </c>
      <c r="BC141" s="104">
        <f t="shared" si="22"/>
        <v>0.56021792000000015</v>
      </c>
      <c r="BD141" s="105">
        <f t="shared" si="23"/>
        <v>446.14799489607998</v>
      </c>
      <c r="BF141" s="115">
        <f t="shared" si="15"/>
        <v>-1.0331927200000002</v>
      </c>
      <c r="BG141" s="116">
        <f t="shared" si="16"/>
        <v>255.54873388000004</v>
      </c>
    </row>
    <row r="142" spans="1:59" s="101" customFormat="1" ht="14.4" x14ac:dyDescent="0.3">
      <c r="A142" s="101">
        <v>37</v>
      </c>
      <c r="B142" s="101" t="s">
        <v>225</v>
      </c>
      <c r="C142" s="20">
        <v>44236.479155092595</v>
      </c>
      <c r="D142" s="101" t="s">
        <v>25</v>
      </c>
      <c r="E142" s="101" t="s">
        <v>17</v>
      </c>
      <c r="F142" s="101">
        <v>0</v>
      </c>
      <c r="G142" s="101">
        <v>6.1040000000000001</v>
      </c>
      <c r="H142" s="12">
        <v>2068</v>
      </c>
      <c r="I142" s="101">
        <v>1E-3</v>
      </c>
      <c r="J142" s="101" t="s">
        <v>18</v>
      </c>
      <c r="K142" s="101" t="s">
        <v>18</v>
      </c>
      <c r="L142" s="101" t="s">
        <v>18</v>
      </c>
      <c r="M142" s="101" t="s">
        <v>18</v>
      </c>
      <c r="O142" s="101">
        <v>37</v>
      </c>
      <c r="P142" s="101" t="s">
        <v>225</v>
      </c>
      <c r="Q142" s="20">
        <v>44236.479155092595</v>
      </c>
      <c r="R142" s="101" t="s">
        <v>25</v>
      </c>
      <c r="S142" s="101" t="s">
        <v>17</v>
      </c>
      <c r="T142" s="101">
        <v>0</v>
      </c>
      <c r="U142" s="101" t="s">
        <v>18</v>
      </c>
      <c r="V142" s="101" t="s">
        <v>18</v>
      </c>
      <c r="W142" s="101" t="s">
        <v>18</v>
      </c>
      <c r="X142" s="101" t="s">
        <v>18</v>
      </c>
      <c r="Y142" s="101" t="s">
        <v>18</v>
      </c>
      <c r="Z142" s="101" t="s">
        <v>18</v>
      </c>
      <c r="AA142" s="101" t="s">
        <v>18</v>
      </c>
      <c r="AC142" s="101">
        <v>37</v>
      </c>
      <c r="AD142" s="101" t="s">
        <v>225</v>
      </c>
      <c r="AE142" s="20">
        <v>44236.479155092595</v>
      </c>
      <c r="AF142" s="101" t="s">
        <v>25</v>
      </c>
      <c r="AG142" s="101" t="s">
        <v>17</v>
      </c>
      <c r="AH142" s="101">
        <v>0</v>
      </c>
      <c r="AI142" s="101">
        <v>12.266999999999999</v>
      </c>
      <c r="AJ142" s="12">
        <v>3146</v>
      </c>
      <c r="AK142" s="101">
        <v>0.60299999999999998</v>
      </c>
      <c r="AL142" s="101" t="s">
        <v>18</v>
      </c>
      <c r="AM142" s="101" t="s">
        <v>18</v>
      </c>
      <c r="AN142" s="101" t="s">
        <v>18</v>
      </c>
      <c r="AO142" s="101" t="s">
        <v>18</v>
      </c>
      <c r="AQ142" s="101">
        <v>1</v>
      </c>
      <c r="AS142" s="7">
        <v>98</v>
      </c>
      <c r="AT142" s="23">
        <f t="shared" ref="AT142:AT205" si="24">IF(H142&lt;10000,((-0.00000005795*H142^2)+(0.003823*H142)+(-6.715)),(IF(H142&lt;700000,((-0.0000000001209*H142^2)+(0.002635*H142)+(-0.4111)), ((-0.00000002007*V142^2)+(0.2564*V142)+(286.1)))))</f>
        <v>0.94313363920000004</v>
      </c>
      <c r="AU142" s="103">
        <f t="shared" ref="AU142:AU205" si="25">(-0.00000001626*AJ142^2)+(0.1912*AJ142)+(-3.858)</f>
        <v>597.49626964184006</v>
      </c>
      <c r="AV142" s="101">
        <f t="shared" si="17"/>
        <v>0.94313363920000004</v>
      </c>
      <c r="AW142" s="60">
        <f t="shared" si="18"/>
        <v>1.3138182599999997</v>
      </c>
      <c r="AX142" s="61">
        <f t="shared" si="19"/>
        <v>617.47714547468013</v>
      </c>
      <c r="AZ142" s="23">
        <f t="shared" si="20"/>
        <v>0.94313363920000004</v>
      </c>
      <c r="BA142" s="103">
        <f t="shared" si="21"/>
        <v>597.49626964184006</v>
      </c>
      <c r="BC142" s="104">
        <f t="shared" si="22"/>
        <v>0.5429666672000002</v>
      </c>
      <c r="BD142" s="105">
        <f t="shared" si="23"/>
        <v>546.32562049567991</v>
      </c>
      <c r="BF142" s="115">
        <f t="shared" si="15"/>
        <v>-1.0511657151999998</v>
      </c>
      <c r="BG142" s="116">
        <f t="shared" si="16"/>
        <v>303.49096448000006</v>
      </c>
    </row>
    <row r="143" spans="1:59" s="101" customFormat="1" ht="14.4" x14ac:dyDescent="0.3">
      <c r="A143" s="101">
        <v>62</v>
      </c>
      <c r="B143" s="101" t="s">
        <v>226</v>
      </c>
      <c r="C143" s="20">
        <v>44237.60083333333</v>
      </c>
      <c r="D143" s="101" t="s">
        <v>25</v>
      </c>
      <c r="E143" s="101" t="s">
        <v>17</v>
      </c>
      <c r="F143" s="101">
        <v>0</v>
      </c>
      <c r="G143" s="101">
        <v>6.101</v>
      </c>
      <c r="H143" s="12">
        <v>2784</v>
      </c>
      <c r="I143" s="101">
        <v>2E-3</v>
      </c>
      <c r="J143" s="101" t="s">
        <v>18</v>
      </c>
      <c r="K143" s="101" t="s">
        <v>18</v>
      </c>
      <c r="L143" s="101" t="s">
        <v>18</v>
      </c>
      <c r="M143" s="101" t="s">
        <v>18</v>
      </c>
      <c r="O143" s="101">
        <v>62</v>
      </c>
      <c r="P143" s="101" t="s">
        <v>226</v>
      </c>
      <c r="Q143" s="20">
        <v>44237.60083333333</v>
      </c>
      <c r="R143" s="101" t="s">
        <v>25</v>
      </c>
      <c r="S143" s="101" t="s">
        <v>17</v>
      </c>
      <c r="T143" s="101">
        <v>0</v>
      </c>
      <c r="U143" s="101" t="s">
        <v>18</v>
      </c>
      <c r="V143" s="101" t="s">
        <v>18</v>
      </c>
      <c r="W143" s="101" t="s">
        <v>18</v>
      </c>
      <c r="X143" s="101" t="s">
        <v>18</v>
      </c>
      <c r="Y143" s="101" t="s">
        <v>18</v>
      </c>
      <c r="Z143" s="101" t="s">
        <v>18</v>
      </c>
      <c r="AA143" s="101" t="s">
        <v>18</v>
      </c>
      <c r="AC143" s="101">
        <v>62</v>
      </c>
      <c r="AD143" s="101" t="s">
        <v>226</v>
      </c>
      <c r="AE143" s="20">
        <v>44237.60083333333</v>
      </c>
      <c r="AF143" s="101" t="s">
        <v>25</v>
      </c>
      <c r="AG143" s="101" t="s">
        <v>17</v>
      </c>
      <c r="AH143" s="101">
        <v>0</v>
      </c>
      <c r="AI143" s="101">
        <v>12.286</v>
      </c>
      <c r="AJ143" s="12">
        <v>2530</v>
      </c>
      <c r="AK143" s="101">
        <v>0.51900000000000002</v>
      </c>
      <c r="AL143" s="101" t="s">
        <v>18</v>
      </c>
      <c r="AM143" s="101" t="s">
        <v>18</v>
      </c>
      <c r="AN143" s="101" t="s">
        <v>18</v>
      </c>
      <c r="AO143" s="101" t="s">
        <v>18</v>
      </c>
      <c r="AQ143" s="101">
        <v>1</v>
      </c>
      <c r="AS143" s="7">
        <v>99</v>
      </c>
      <c r="AT143" s="23">
        <f t="shared" si="24"/>
        <v>3.4790814848</v>
      </c>
      <c r="AU143" s="103">
        <f t="shared" si="25"/>
        <v>479.77392136600002</v>
      </c>
      <c r="AV143" s="101">
        <f t="shared" si="17"/>
        <v>3.4790814848</v>
      </c>
      <c r="AW143" s="60">
        <f t="shared" si="18"/>
        <v>3.3244214399999992</v>
      </c>
      <c r="AX143" s="61">
        <f t="shared" si="19"/>
        <v>503.49021550700002</v>
      </c>
      <c r="AZ143" s="23">
        <f t="shared" si="20"/>
        <v>3.4790814848</v>
      </c>
      <c r="BA143" s="103">
        <f t="shared" si="21"/>
        <v>479.77392136600002</v>
      </c>
      <c r="BC143" s="104">
        <f t="shared" si="22"/>
        <v>1.6455319168000002</v>
      </c>
      <c r="BD143" s="105">
        <f t="shared" si="23"/>
        <v>419.087649032</v>
      </c>
      <c r="BF143" s="115">
        <f t="shared" si="15"/>
        <v>2.8884771200000436E-2</v>
      </c>
      <c r="BG143" s="116">
        <f t="shared" si="16"/>
        <v>242.46059200000002</v>
      </c>
    </row>
    <row r="144" spans="1:59" s="101" customFormat="1" ht="14.4" x14ac:dyDescent="0.3">
      <c r="A144" s="101">
        <v>60</v>
      </c>
      <c r="B144" s="101" t="s">
        <v>227</v>
      </c>
      <c r="C144" s="20">
        <v>44237.64335648148</v>
      </c>
      <c r="D144" s="101" t="s">
        <v>26</v>
      </c>
      <c r="E144" s="101" t="s">
        <v>17</v>
      </c>
      <c r="F144" s="101">
        <v>0</v>
      </c>
      <c r="G144" s="101">
        <v>6.1109999999999998</v>
      </c>
      <c r="H144" s="12">
        <v>2805</v>
      </c>
      <c r="I144" s="101">
        <v>2E-3</v>
      </c>
      <c r="J144" s="101" t="s">
        <v>18</v>
      </c>
      <c r="K144" s="101" t="s">
        <v>18</v>
      </c>
      <c r="L144" s="101" t="s">
        <v>18</v>
      </c>
      <c r="M144" s="101" t="s">
        <v>18</v>
      </c>
      <c r="O144" s="101">
        <v>60</v>
      </c>
      <c r="P144" s="101" t="s">
        <v>227</v>
      </c>
      <c r="Q144" s="20">
        <v>44237.64335648148</v>
      </c>
      <c r="R144" s="101" t="s">
        <v>26</v>
      </c>
      <c r="S144" s="101" t="s">
        <v>17</v>
      </c>
      <c r="T144" s="101">
        <v>0</v>
      </c>
      <c r="U144" s="101" t="s">
        <v>18</v>
      </c>
      <c r="V144" s="101" t="s">
        <v>18</v>
      </c>
      <c r="W144" s="101" t="s">
        <v>18</v>
      </c>
      <c r="X144" s="101" t="s">
        <v>18</v>
      </c>
      <c r="Y144" s="101" t="s">
        <v>18</v>
      </c>
      <c r="Z144" s="101" t="s">
        <v>18</v>
      </c>
      <c r="AA144" s="101" t="s">
        <v>18</v>
      </c>
      <c r="AC144" s="101">
        <v>60</v>
      </c>
      <c r="AD144" s="101" t="s">
        <v>227</v>
      </c>
      <c r="AE144" s="20">
        <v>44237.64335648148</v>
      </c>
      <c r="AF144" s="101" t="s">
        <v>26</v>
      </c>
      <c r="AG144" s="101" t="s">
        <v>17</v>
      </c>
      <c r="AH144" s="101">
        <v>0</v>
      </c>
      <c r="AI144" s="101">
        <v>12.266</v>
      </c>
      <c r="AJ144" s="12">
        <v>1750</v>
      </c>
      <c r="AK144" s="101">
        <v>0.41299999999999998</v>
      </c>
      <c r="AL144" s="101" t="s">
        <v>18</v>
      </c>
      <c r="AM144" s="101" t="s">
        <v>18</v>
      </c>
      <c r="AN144" s="101" t="s">
        <v>18</v>
      </c>
      <c r="AO144" s="101" t="s">
        <v>18</v>
      </c>
      <c r="AQ144" s="101">
        <v>1</v>
      </c>
      <c r="AS144" s="7">
        <v>100</v>
      </c>
      <c r="AT144" s="23">
        <f t="shared" si="24"/>
        <v>3.5525629512500014</v>
      </c>
      <c r="AU144" s="103">
        <f t="shared" si="25"/>
        <v>330.69220375000003</v>
      </c>
      <c r="AV144" s="101">
        <f t="shared" si="17"/>
        <v>3.5525629512500014</v>
      </c>
      <c r="AW144" s="60">
        <f t="shared" si="18"/>
        <v>3.3837205312499989</v>
      </c>
      <c r="AX144" s="61">
        <f t="shared" si="19"/>
        <v>359.087766875</v>
      </c>
      <c r="AZ144" s="23">
        <f t="shared" si="20"/>
        <v>3.5525629512500014</v>
      </c>
      <c r="BA144" s="103">
        <f t="shared" si="21"/>
        <v>330.69220375000003</v>
      </c>
      <c r="BC144" s="104">
        <f t="shared" si="22"/>
        <v>1.6801185325000001</v>
      </c>
      <c r="BD144" s="105">
        <f t="shared" si="23"/>
        <v>257.946845</v>
      </c>
      <c r="BF144" s="115">
        <f t="shared" si="15"/>
        <v>6.0797480000000625E-2</v>
      </c>
      <c r="BG144" s="116">
        <f t="shared" si="16"/>
        <v>163.30899999999997</v>
      </c>
    </row>
    <row r="145" spans="1:59" s="101" customFormat="1" ht="14.4" x14ac:dyDescent="0.3">
      <c r="A145" s="101">
        <v>37</v>
      </c>
      <c r="B145" s="101" t="s">
        <v>228</v>
      </c>
      <c r="C145" s="20">
        <v>44251.65152777778</v>
      </c>
      <c r="D145" s="101" t="s">
        <v>25</v>
      </c>
      <c r="E145" s="101" t="s">
        <v>17</v>
      </c>
      <c r="F145" s="101">
        <v>0</v>
      </c>
      <c r="G145" s="101">
        <v>6.1130000000000004</v>
      </c>
      <c r="H145" s="12">
        <v>2295</v>
      </c>
      <c r="I145" s="101">
        <v>2E-3</v>
      </c>
      <c r="J145" s="101" t="s">
        <v>18</v>
      </c>
      <c r="K145" s="101" t="s">
        <v>18</v>
      </c>
      <c r="L145" s="101" t="s">
        <v>18</v>
      </c>
      <c r="M145" s="101" t="s">
        <v>18</v>
      </c>
      <c r="O145" s="101">
        <v>37</v>
      </c>
      <c r="P145" s="101" t="s">
        <v>228</v>
      </c>
      <c r="Q145" s="20">
        <v>44251.65152777778</v>
      </c>
      <c r="R145" s="101" t="s">
        <v>25</v>
      </c>
      <c r="S145" s="101" t="s">
        <v>17</v>
      </c>
      <c r="T145" s="101">
        <v>0</v>
      </c>
      <c r="U145" s="101" t="s">
        <v>18</v>
      </c>
      <c r="V145" s="101" t="s">
        <v>18</v>
      </c>
      <c r="W145" s="101" t="s">
        <v>18</v>
      </c>
      <c r="X145" s="101" t="s">
        <v>18</v>
      </c>
      <c r="Y145" s="101" t="s">
        <v>18</v>
      </c>
      <c r="Z145" s="101" t="s">
        <v>18</v>
      </c>
      <c r="AA145" s="101" t="s">
        <v>18</v>
      </c>
      <c r="AC145" s="101">
        <v>37</v>
      </c>
      <c r="AD145" s="101" t="s">
        <v>228</v>
      </c>
      <c r="AE145" s="20">
        <v>44251.65152777778</v>
      </c>
      <c r="AF145" s="101" t="s">
        <v>25</v>
      </c>
      <c r="AG145" s="101" t="s">
        <v>17</v>
      </c>
      <c r="AH145" s="101">
        <v>0</v>
      </c>
      <c r="AI145" s="101">
        <v>12.291</v>
      </c>
      <c r="AJ145" s="12">
        <v>2281</v>
      </c>
      <c r="AK145" s="101">
        <v>0.48499999999999999</v>
      </c>
      <c r="AL145" s="101" t="s">
        <v>18</v>
      </c>
      <c r="AM145" s="101" t="s">
        <v>18</v>
      </c>
      <c r="AN145" s="101" t="s">
        <v>18</v>
      </c>
      <c r="AO145" s="101" t="s">
        <v>18</v>
      </c>
      <c r="AQ145" s="101">
        <v>1</v>
      </c>
      <c r="AS145" s="7">
        <v>101</v>
      </c>
      <c r="AT145" s="23">
        <f t="shared" si="24"/>
        <v>1.7535609012500011</v>
      </c>
      <c r="AU145" s="103">
        <f t="shared" si="25"/>
        <v>432.18459985414</v>
      </c>
      <c r="AV145" s="101">
        <f t="shared" si="17"/>
        <v>1.7535609012500011</v>
      </c>
      <c r="AW145" s="60">
        <f t="shared" si="18"/>
        <v>1.9488992812500001</v>
      </c>
      <c r="AX145" s="61">
        <f t="shared" si="19"/>
        <v>457.40081013803001</v>
      </c>
      <c r="AZ145" s="23">
        <f t="shared" si="20"/>
        <v>1.7535609012500011</v>
      </c>
      <c r="BA145" s="103">
        <f t="shared" si="21"/>
        <v>432.18459985414</v>
      </c>
      <c r="BC145" s="104">
        <f t="shared" si="22"/>
        <v>0.87639423249999981</v>
      </c>
      <c r="BD145" s="105">
        <f t="shared" si="23"/>
        <v>367.64992043527997</v>
      </c>
      <c r="BF145" s="115">
        <f t="shared" si="15"/>
        <v>-0.71043471999999985</v>
      </c>
      <c r="BG145" s="116">
        <f t="shared" si="16"/>
        <v>217.42038508000002</v>
      </c>
    </row>
    <row r="146" spans="1:59" s="101" customFormat="1" ht="14.4" x14ac:dyDescent="0.3">
      <c r="A146" s="101">
        <v>37</v>
      </c>
      <c r="B146" s="101" t="s">
        <v>229</v>
      </c>
      <c r="C146" s="20">
        <v>44256.458356481482</v>
      </c>
      <c r="D146" s="101" t="s">
        <v>25</v>
      </c>
      <c r="E146" s="101" t="s">
        <v>17</v>
      </c>
      <c r="F146" s="101">
        <v>0</v>
      </c>
      <c r="G146" s="101">
        <v>6.1150000000000002</v>
      </c>
      <c r="H146" s="12">
        <v>2175</v>
      </c>
      <c r="I146" s="101">
        <v>1E-3</v>
      </c>
      <c r="J146" s="101" t="s">
        <v>18</v>
      </c>
      <c r="K146" s="101" t="s">
        <v>18</v>
      </c>
      <c r="L146" s="101" t="s">
        <v>18</v>
      </c>
      <c r="M146" s="101" t="s">
        <v>18</v>
      </c>
      <c r="O146" s="101">
        <v>37</v>
      </c>
      <c r="P146" s="101" t="s">
        <v>229</v>
      </c>
      <c r="Q146" s="20">
        <v>44256.458356481482</v>
      </c>
      <c r="R146" s="101" t="s">
        <v>25</v>
      </c>
      <c r="S146" s="101" t="s">
        <v>17</v>
      </c>
      <c r="T146" s="101">
        <v>0</v>
      </c>
      <c r="U146" s="101" t="s">
        <v>18</v>
      </c>
      <c r="V146" s="101" t="s">
        <v>18</v>
      </c>
      <c r="W146" s="101" t="s">
        <v>18</v>
      </c>
      <c r="X146" s="101" t="s">
        <v>18</v>
      </c>
      <c r="Y146" s="101" t="s">
        <v>18</v>
      </c>
      <c r="Z146" s="101" t="s">
        <v>18</v>
      </c>
      <c r="AA146" s="101" t="s">
        <v>18</v>
      </c>
      <c r="AC146" s="101">
        <v>37</v>
      </c>
      <c r="AD146" s="101" t="s">
        <v>229</v>
      </c>
      <c r="AE146" s="20">
        <v>44256.458356481482</v>
      </c>
      <c r="AF146" s="101" t="s">
        <v>25</v>
      </c>
      <c r="AG146" s="101" t="s">
        <v>17</v>
      </c>
      <c r="AH146" s="101">
        <v>0</v>
      </c>
      <c r="AI146" s="101">
        <v>12.25</v>
      </c>
      <c r="AJ146" s="12">
        <v>1664</v>
      </c>
      <c r="AK146" s="101">
        <v>0.40200000000000002</v>
      </c>
      <c r="AL146" s="101" t="s">
        <v>18</v>
      </c>
      <c r="AM146" s="101" t="s">
        <v>18</v>
      </c>
      <c r="AN146" s="101" t="s">
        <v>18</v>
      </c>
      <c r="AO146" s="101" t="s">
        <v>18</v>
      </c>
      <c r="AQ146" s="101">
        <v>1</v>
      </c>
      <c r="AS146" s="7">
        <v>102</v>
      </c>
      <c r="AT146" s="23">
        <f t="shared" si="24"/>
        <v>1.3258852812500006</v>
      </c>
      <c r="AU146" s="103">
        <f t="shared" si="25"/>
        <v>314.25377775104005</v>
      </c>
      <c r="AV146" s="101">
        <f t="shared" si="17"/>
        <v>1.3258852812500006</v>
      </c>
      <c r="AW146" s="60">
        <f t="shared" si="18"/>
        <v>1.6129007812499996</v>
      </c>
      <c r="AX146" s="61">
        <f t="shared" si="19"/>
        <v>343.16179639808001</v>
      </c>
      <c r="AZ146" s="23">
        <f t="shared" si="20"/>
        <v>1.3258852812500006</v>
      </c>
      <c r="BA146" s="103">
        <f t="shared" si="21"/>
        <v>314.25377775104005</v>
      </c>
      <c r="BC146" s="104">
        <f t="shared" si="22"/>
        <v>0.69826731250000029</v>
      </c>
      <c r="BD146" s="105">
        <f t="shared" si="23"/>
        <v>240.17813777408003</v>
      </c>
      <c r="BF146" s="115">
        <f t="shared" si="15"/>
        <v>-0.89075199999999954</v>
      </c>
      <c r="BG146" s="116">
        <f t="shared" si="16"/>
        <v>154.45393088000003</v>
      </c>
    </row>
    <row r="147" spans="1:59" s="101" customFormat="1" ht="14.4" x14ac:dyDescent="0.3">
      <c r="A147" s="65">
        <v>64</v>
      </c>
      <c r="B147" s="101" t="s">
        <v>230</v>
      </c>
      <c r="C147" s="20">
        <v>44257.425081018519</v>
      </c>
      <c r="D147" s="101" t="s">
        <v>231</v>
      </c>
      <c r="E147" s="101" t="s">
        <v>54</v>
      </c>
      <c r="F147" s="101">
        <v>1</v>
      </c>
      <c r="G147" s="101">
        <v>6.1180000000000003</v>
      </c>
      <c r="H147" s="12">
        <v>2400</v>
      </c>
      <c r="I147" s="101">
        <v>2E-3</v>
      </c>
      <c r="J147" s="101">
        <v>1.8000000000000001E-4</v>
      </c>
      <c r="K147" s="101" t="s">
        <v>18</v>
      </c>
      <c r="L147" s="101">
        <v>959.8</v>
      </c>
      <c r="M147" s="101">
        <v>2E-3</v>
      </c>
      <c r="O147" s="101">
        <v>64</v>
      </c>
      <c r="P147" s="101" t="s">
        <v>230</v>
      </c>
      <c r="Q147" s="20">
        <v>44257.425081018519</v>
      </c>
      <c r="R147" s="101" t="s">
        <v>231</v>
      </c>
      <c r="S147" s="101" t="s">
        <v>54</v>
      </c>
      <c r="T147" s="101">
        <v>1</v>
      </c>
      <c r="U147" s="101" t="s">
        <v>18</v>
      </c>
      <c r="V147" s="101" t="s">
        <v>18</v>
      </c>
      <c r="W147" s="101" t="s">
        <v>18</v>
      </c>
      <c r="X147" s="101">
        <v>1.8E-3</v>
      </c>
      <c r="Y147" s="101" t="s">
        <v>18</v>
      </c>
      <c r="Z147" s="101" t="s">
        <v>18</v>
      </c>
      <c r="AA147" s="101" t="s">
        <v>18</v>
      </c>
      <c r="AC147" s="101">
        <v>64</v>
      </c>
      <c r="AD147" s="101" t="s">
        <v>230</v>
      </c>
      <c r="AE147" s="20">
        <v>44257.425081018519</v>
      </c>
      <c r="AF147" s="101" t="s">
        <v>231</v>
      </c>
      <c r="AG147" s="101" t="s">
        <v>54</v>
      </c>
      <c r="AH147" s="101">
        <v>1</v>
      </c>
      <c r="AI147" s="101">
        <v>12.298</v>
      </c>
      <c r="AJ147" s="12">
        <v>2505</v>
      </c>
      <c r="AK147" s="101">
        <v>0.51600000000000001</v>
      </c>
      <c r="AL147" s="101">
        <v>0.4</v>
      </c>
      <c r="AM147" s="101" t="s">
        <v>18</v>
      </c>
      <c r="AN147" s="101">
        <v>128.9</v>
      </c>
      <c r="AO147" s="101">
        <v>0.11600000000000001</v>
      </c>
      <c r="AQ147" s="101">
        <v>1</v>
      </c>
      <c r="AS147" s="7">
        <v>103</v>
      </c>
      <c r="AT147" s="23">
        <f t="shared" si="24"/>
        <v>2.1264079999999996</v>
      </c>
      <c r="AU147" s="103">
        <f t="shared" si="25"/>
        <v>474.99596809350004</v>
      </c>
      <c r="AV147" s="101">
        <f t="shared" si="17"/>
        <v>2.1264079999999996</v>
      </c>
      <c r="AW147" s="60">
        <f t="shared" si="18"/>
        <v>2.2433999999999994</v>
      </c>
      <c r="AX147" s="61">
        <f t="shared" si="19"/>
        <v>498.86311668075001</v>
      </c>
      <c r="AZ147" s="23">
        <f t="shared" si="20"/>
        <v>2.1264079999999996</v>
      </c>
      <c r="BA147" s="103">
        <f t="shared" si="21"/>
        <v>474.99596809350004</v>
      </c>
      <c r="BC147" s="104">
        <f t="shared" si="22"/>
        <v>1.0356880000000002</v>
      </c>
      <c r="BD147" s="105">
        <f t="shared" si="23"/>
        <v>413.92336136199998</v>
      </c>
      <c r="BF147" s="115">
        <f t="shared" si="15"/>
        <v>-0.55229799999999996</v>
      </c>
      <c r="BG147" s="116">
        <f t="shared" si="16"/>
        <v>239.95614699999999</v>
      </c>
    </row>
    <row r="148" spans="1:59" s="101" customFormat="1" ht="14.4" x14ac:dyDescent="0.3">
      <c r="A148" s="65">
        <v>65</v>
      </c>
      <c r="B148" s="101" t="s">
        <v>232</v>
      </c>
      <c r="C148" s="20">
        <v>44257.446319444447</v>
      </c>
      <c r="D148" s="101" t="s">
        <v>231</v>
      </c>
      <c r="E148" s="101" t="s">
        <v>54</v>
      </c>
      <c r="F148" s="101">
        <v>1</v>
      </c>
      <c r="G148" s="101">
        <v>6.1139999999999999</v>
      </c>
      <c r="H148" s="12">
        <v>2455</v>
      </c>
      <c r="I148" s="101">
        <v>2E-3</v>
      </c>
      <c r="J148" s="101">
        <v>1.8000000000000001E-4</v>
      </c>
      <c r="K148" s="101" t="s">
        <v>18</v>
      </c>
      <c r="L148" s="17">
        <v>1005.8</v>
      </c>
      <c r="M148" s="101">
        <v>2E-3</v>
      </c>
      <c r="O148" s="101">
        <v>65</v>
      </c>
      <c r="P148" s="101" t="s">
        <v>232</v>
      </c>
      <c r="Q148" s="20">
        <v>44257.446319444447</v>
      </c>
      <c r="R148" s="101" t="s">
        <v>231</v>
      </c>
      <c r="S148" s="101" t="s">
        <v>54</v>
      </c>
      <c r="T148" s="101">
        <v>1</v>
      </c>
      <c r="U148" s="101" t="s">
        <v>18</v>
      </c>
      <c r="V148" s="12" t="s">
        <v>18</v>
      </c>
      <c r="W148" s="101" t="s">
        <v>18</v>
      </c>
      <c r="X148" s="101">
        <v>1.8E-3</v>
      </c>
      <c r="Y148" s="101" t="s">
        <v>18</v>
      </c>
      <c r="Z148" s="101" t="s">
        <v>18</v>
      </c>
      <c r="AA148" s="101" t="s">
        <v>18</v>
      </c>
      <c r="AC148" s="101">
        <v>65</v>
      </c>
      <c r="AD148" s="101" t="s">
        <v>232</v>
      </c>
      <c r="AE148" s="20">
        <v>44257.446319444447</v>
      </c>
      <c r="AF148" s="101" t="s">
        <v>231</v>
      </c>
      <c r="AG148" s="101" t="s">
        <v>54</v>
      </c>
      <c r="AH148" s="101">
        <v>1</v>
      </c>
      <c r="AI148" s="101">
        <v>12.26</v>
      </c>
      <c r="AJ148" s="12">
        <v>1928</v>
      </c>
      <c r="AK148" s="101">
        <v>0.437</v>
      </c>
      <c r="AL148" s="101">
        <v>0.4</v>
      </c>
      <c r="AM148" s="101" t="s">
        <v>18</v>
      </c>
      <c r="AN148" s="101">
        <v>109.4</v>
      </c>
      <c r="AO148" s="101">
        <v>3.6999999999999998E-2</v>
      </c>
      <c r="AQ148" s="101">
        <v>1</v>
      </c>
      <c r="AS148" s="7">
        <v>104</v>
      </c>
      <c r="AT148" s="23">
        <f t="shared" si="24"/>
        <v>2.3211989012499998</v>
      </c>
      <c r="AU148" s="103">
        <f t="shared" si="25"/>
        <v>364.71515858816002</v>
      </c>
      <c r="AV148" s="101">
        <f t="shared" si="17"/>
        <v>2.3211989012499998</v>
      </c>
      <c r="AW148" s="60">
        <f t="shared" si="18"/>
        <v>2.3978492812499992</v>
      </c>
      <c r="AX148" s="61">
        <f t="shared" si="19"/>
        <v>392.04787236032001</v>
      </c>
      <c r="AZ148" s="23">
        <f t="shared" si="20"/>
        <v>2.3211989012499998</v>
      </c>
      <c r="BA148" s="103">
        <f t="shared" si="21"/>
        <v>364.71515858816002</v>
      </c>
      <c r="BC148" s="104">
        <f t="shared" si="22"/>
        <v>1.1204062324999999</v>
      </c>
      <c r="BD148" s="105">
        <f t="shared" si="23"/>
        <v>294.72273746432001</v>
      </c>
      <c r="BF148" s="115">
        <f t="shared" si="15"/>
        <v>-0.46933071999999987</v>
      </c>
      <c r="BG148" s="116">
        <f t="shared" si="16"/>
        <v>181.55610752000001</v>
      </c>
    </row>
    <row r="149" spans="1:59" s="101" customFormat="1" ht="14.4" x14ac:dyDescent="0.3">
      <c r="A149" s="65">
        <v>66</v>
      </c>
      <c r="B149" s="101" t="s">
        <v>233</v>
      </c>
      <c r="C149" s="20">
        <v>44257.467557870368</v>
      </c>
      <c r="D149" s="101" t="s">
        <v>231</v>
      </c>
      <c r="E149" s="101" t="s">
        <v>54</v>
      </c>
      <c r="F149" s="101">
        <v>1</v>
      </c>
      <c r="G149" s="101">
        <v>6.1219999999999999</v>
      </c>
      <c r="H149" s="12">
        <v>2842</v>
      </c>
      <c r="I149" s="101">
        <v>2E-3</v>
      </c>
      <c r="J149" s="101">
        <v>1.8000000000000001E-4</v>
      </c>
      <c r="K149" s="101" t="s">
        <v>18</v>
      </c>
      <c r="L149" s="17">
        <v>1325.5</v>
      </c>
      <c r="M149" s="101">
        <v>2E-3</v>
      </c>
      <c r="O149" s="101">
        <v>66</v>
      </c>
      <c r="P149" s="101" t="s">
        <v>233</v>
      </c>
      <c r="Q149" s="20">
        <v>44257.467557870368</v>
      </c>
      <c r="R149" s="101" t="s">
        <v>231</v>
      </c>
      <c r="S149" s="101" t="s">
        <v>54</v>
      </c>
      <c r="T149" s="101">
        <v>1</v>
      </c>
      <c r="U149" s="101" t="s">
        <v>18</v>
      </c>
      <c r="V149" s="12" t="s">
        <v>18</v>
      </c>
      <c r="W149" s="101" t="s">
        <v>18</v>
      </c>
      <c r="X149" s="101">
        <v>1.8E-3</v>
      </c>
      <c r="Y149" s="101" t="s">
        <v>18</v>
      </c>
      <c r="Z149" s="101" t="s">
        <v>18</v>
      </c>
      <c r="AA149" s="101" t="s">
        <v>18</v>
      </c>
      <c r="AC149" s="101">
        <v>66</v>
      </c>
      <c r="AD149" s="101" t="s">
        <v>233</v>
      </c>
      <c r="AE149" s="20">
        <v>44257.467557870368</v>
      </c>
      <c r="AF149" s="101" t="s">
        <v>231</v>
      </c>
      <c r="AG149" s="101" t="s">
        <v>54</v>
      </c>
      <c r="AH149" s="101">
        <v>1</v>
      </c>
      <c r="AI149" s="101">
        <v>12.253</v>
      </c>
      <c r="AJ149" s="12">
        <v>1771</v>
      </c>
      <c r="AK149" s="101">
        <v>0.41599999999999998</v>
      </c>
      <c r="AL149" s="101">
        <v>0.4</v>
      </c>
      <c r="AM149" s="101" t="s">
        <v>18</v>
      </c>
      <c r="AN149" s="101">
        <v>104</v>
      </c>
      <c r="AO149" s="101">
        <v>1.6E-2</v>
      </c>
      <c r="AQ149" s="101">
        <v>1</v>
      </c>
      <c r="AS149" s="7">
        <v>105</v>
      </c>
      <c r="AT149" s="23">
        <f t="shared" si="24"/>
        <v>3.6819059362000015</v>
      </c>
      <c r="AU149" s="103">
        <f t="shared" si="25"/>
        <v>334.70620146933999</v>
      </c>
      <c r="AV149" s="101">
        <f t="shared" si="17"/>
        <v>3.6819059362000015</v>
      </c>
      <c r="AW149" s="60">
        <f t="shared" si="18"/>
        <v>3.4882454849999993</v>
      </c>
      <c r="AX149" s="61">
        <f t="shared" si="19"/>
        <v>362.97652559842999</v>
      </c>
      <c r="AZ149" s="23">
        <f t="shared" si="20"/>
        <v>3.6819059362000015</v>
      </c>
      <c r="BA149" s="103">
        <f t="shared" si="21"/>
        <v>334.70620146933999</v>
      </c>
      <c r="BC149" s="104">
        <f t="shared" si="22"/>
        <v>1.7413686692000001</v>
      </c>
      <c r="BD149" s="105">
        <f t="shared" si="23"/>
        <v>262.28565802567999</v>
      </c>
      <c r="BF149" s="115">
        <f t="shared" si="15"/>
        <v>0.11705725280000046</v>
      </c>
      <c r="BG149" s="116">
        <f t="shared" si="16"/>
        <v>165.46741947999999</v>
      </c>
    </row>
    <row r="150" spans="1:59" s="101" customFormat="1" ht="14.4" x14ac:dyDescent="0.3">
      <c r="A150" s="27">
        <v>37</v>
      </c>
      <c r="B150" s="101" t="s">
        <v>234</v>
      </c>
      <c r="C150" s="20">
        <v>44266.451840277776</v>
      </c>
      <c r="D150" s="101" t="s">
        <v>25</v>
      </c>
      <c r="E150" s="101" t="s">
        <v>17</v>
      </c>
      <c r="F150" s="101">
        <v>0</v>
      </c>
      <c r="G150" s="101">
        <v>6.1189999999999998</v>
      </c>
      <c r="H150" s="12">
        <v>2552</v>
      </c>
      <c r="I150" s="101">
        <v>2E-3</v>
      </c>
      <c r="J150" s="101" t="s">
        <v>18</v>
      </c>
      <c r="K150" s="101" t="s">
        <v>18</v>
      </c>
      <c r="L150" s="101" t="s">
        <v>18</v>
      </c>
      <c r="M150" s="101" t="s">
        <v>18</v>
      </c>
      <c r="O150" s="101">
        <v>37</v>
      </c>
      <c r="P150" s="101" t="s">
        <v>234</v>
      </c>
      <c r="Q150" s="20">
        <v>44266.451840277776</v>
      </c>
      <c r="R150" s="101" t="s">
        <v>25</v>
      </c>
      <c r="S150" s="101" t="s">
        <v>17</v>
      </c>
      <c r="T150" s="101">
        <v>0</v>
      </c>
      <c r="U150" s="101" t="s">
        <v>18</v>
      </c>
      <c r="V150" s="12" t="s">
        <v>18</v>
      </c>
      <c r="W150" s="101" t="s">
        <v>18</v>
      </c>
      <c r="X150" s="101" t="s">
        <v>18</v>
      </c>
      <c r="Y150" s="101" t="s">
        <v>18</v>
      </c>
      <c r="Z150" s="101" t="s">
        <v>18</v>
      </c>
      <c r="AA150" s="101" t="s">
        <v>18</v>
      </c>
      <c r="AC150" s="101">
        <v>37</v>
      </c>
      <c r="AD150" s="101" t="s">
        <v>234</v>
      </c>
      <c r="AE150" s="20">
        <v>44266.451840277776</v>
      </c>
      <c r="AF150" s="101" t="s">
        <v>25</v>
      </c>
      <c r="AG150" s="101" t="s">
        <v>17</v>
      </c>
      <c r="AH150" s="101">
        <v>0</v>
      </c>
      <c r="AI150" s="101">
        <v>12.286</v>
      </c>
      <c r="AJ150" s="12">
        <v>2796</v>
      </c>
      <c r="AK150" s="101">
        <v>0.55500000000000005</v>
      </c>
      <c r="AL150" s="101" t="s">
        <v>18</v>
      </c>
      <c r="AM150" s="101" t="s">
        <v>18</v>
      </c>
      <c r="AN150" s="101" t="s">
        <v>18</v>
      </c>
      <c r="AO150" s="101" t="s">
        <v>18</v>
      </c>
      <c r="AQ150" s="101">
        <v>1</v>
      </c>
      <c r="AS150" s="7">
        <v>106</v>
      </c>
      <c r="AT150" s="23">
        <f t="shared" si="24"/>
        <v>2.6638848032000002</v>
      </c>
      <c r="AU150" s="103">
        <f t="shared" si="25"/>
        <v>530.61008556384002</v>
      </c>
      <c r="AV150" s="101">
        <f t="shared" si="17"/>
        <v>2.6638848032000002</v>
      </c>
      <c r="AW150" s="60">
        <f t="shared" si="18"/>
        <v>2.6705549599999996</v>
      </c>
      <c r="AX150" s="61">
        <f t="shared" si="19"/>
        <v>552.71768824368007</v>
      </c>
      <c r="AZ150" s="23">
        <f t="shared" si="20"/>
        <v>2.6638848032000002</v>
      </c>
      <c r="BA150" s="103">
        <f t="shared" si="21"/>
        <v>530.61008556384002</v>
      </c>
      <c r="BC150" s="104">
        <f t="shared" si="22"/>
        <v>1.2719606912000001</v>
      </c>
      <c r="BD150" s="105">
        <f t="shared" si="23"/>
        <v>474.03369443968</v>
      </c>
      <c r="BF150" s="115">
        <f t="shared" si="15"/>
        <v>-0.32278249920000013</v>
      </c>
      <c r="BG150" s="116">
        <f t="shared" si="16"/>
        <v>268.97474848000002</v>
      </c>
    </row>
    <row r="151" spans="1:59" s="101" customFormat="1" ht="14.4" x14ac:dyDescent="0.3">
      <c r="A151" s="101">
        <v>37</v>
      </c>
      <c r="B151" s="101" t="s">
        <v>235</v>
      </c>
      <c r="C151" s="20">
        <v>44271.474594907406</v>
      </c>
      <c r="D151" s="101" t="s">
        <v>25</v>
      </c>
      <c r="E151" s="101" t="s">
        <v>17</v>
      </c>
      <c r="F151" s="101">
        <v>0</v>
      </c>
      <c r="G151" s="101">
        <v>6.11</v>
      </c>
      <c r="H151" s="12">
        <v>1400</v>
      </c>
      <c r="I151" s="101">
        <v>0</v>
      </c>
      <c r="J151" s="101" t="s">
        <v>18</v>
      </c>
      <c r="K151" s="101" t="s">
        <v>18</v>
      </c>
      <c r="L151" s="101" t="s">
        <v>18</v>
      </c>
      <c r="M151" s="101" t="s">
        <v>18</v>
      </c>
      <c r="O151" s="101">
        <v>37</v>
      </c>
      <c r="P151" s="101" t="s">
        <v>235</v>
      </c>
      <c r="Q151" s="20">
        <v>44271.474594907406</v>
      </c>
      <c r="R151" s="101" t="s">
        <v>25</v>
      </c>
      <c r="S151" s="101" t="s">
        <v>17</v>
      </c>
      <c r="T151" s="101">
        <v>0</v>
      </c>
      <c r="U151" s="101" t="s">
        <v>18</v>
      </c>
      <c r="V151" s="101" t="s">
        <v>18</v>
      </c>
      <c r="W151" s="101" t="s">
        <v>18</v>
      </c>
      <c r="X151" s="101" t="s">
        <v>18</v>
      </c>
      <c r="Y151" s="101" t="s">
        <v>18</v>
      </c>
      <c r="Z151" s="101" t="s">
        <v>18</v>
      </c>
      <c r="AA151" s="101" t="s">
        <v>18</v>
      </c>
      <c r="AC151" s="101">
        <v>37</v>
      </c>
      <c r="AD151" s="101" t="s">
        <v>235</v>
      </c>
      <c r="AE151" s="20">
        <v>44271.474594907406</v>
      </c>
      <c r="AF151" s="101" t="s">
        <v>25</v>
      </c>
      <c r="AG151" s="101" t="s">
        <v>17</v>
      </c>
      <c r="AH151" s="101">
        <v>0</v>
      </c>
      <c r="AI151" s="101">
        <v>12.287000000000001</v>
      </c>
      <c r="AJ151" s="12">
        <v>2752</v>
      </c>
      <c r="AK151" s="101">
        <v>0.54900000000000004</v>
      </c>
      <c r="AL151" s="101" t="s">
        <v>18</v>
      </c>
      <c r="AM151" s="101" t="s">
        <v>18</v>
      </c>
      <c r="AN151" s="101" t="s">
        <v>18</v>
      </c>
      <c r="AO151" s="101" t="s">
        <v>18</v>
      </c>
      <c r="AQ151" s="101">
        <v>1</v>
      </c>
      <c r="AS151" s="7">
        <v>107</v>
      </c>
      <c r="AT151" s="23">
        <f t="shared" si="24"/>
        <v>-1.4763820000000001</v>
      </c>
      <c r="AU151" s="103">
        <f t="shared" si="25"/>
        <v>522.20125482496007</v>
      </c>
      <c r="AV151" s="101">
        <f t="shared" si="17"/>
        <v>0</v>
      </c>
      <c r="AW151" s="60">
        <f t="shared" si="18"/>
        <v>-0.54235000000000033</v>
      </c>
      <c r="AX151" s="61">
        <f t="shared" si="19"/>
        <v>544.57541115392007</v>
      </c>
      <c r="AZ151" s="23">
        <f t="shared" si="20"/>
        <v>-1.4763820000000001</v>
      </c>
      <c r="BA151" s="103">
        <f t="shared" si="21"/>
        <v>522.20125482496007</v>
      </c>
      <c r="BC151" s="104">
        <f t="shared" si="22"/>
        <v>-0.35135199999999989</v>
      </c>
      <c r="BD151" s="105">
        <f t="shared" si="23"/>
        <v>464.94512417792004</v>
      </c>
      <c r="BF151" s="115">
        <f t="shared" si="15"/>
        <v>-2.0447579999999999</v>
      </c>
      <c r="BG151" s="116">
        <f t="shared" si="16"/>
        <v>264.60574912000004</v>
      </c>
    </row>
    <row r="152" spans="1:59" s="101" customFormat="1" ht="14.4" x14ac:dyDescent="0.3">
      <c r="A152" s="65">
        <v>37</v>
      </c>
      <c r="B152" s="101" t="s">
        <v>236</v>
      </c>
      <c r="C152" s="20">
        <v>44272.501458333332</v>
      </c>
      <c r="D152" s="101" t="s">
        <v>25</v>
      </c>
      <c r="E152" s="101" t="s">
        <v>17</v>
      </c>
      <c r="F152" s="101">
        <v>0</v>
      </c>
      <c r="G152" s="101">
        <v>6.0590000000000002</v>
      </c>
      <c r="H152" s="12">
        <v>1306</v>
      </c>
      <c r="I152" s="101">
        <v>0</v>
      </c>
      <c r="J152" s="101" t="s">
        <v>18</v>
      </c>
      <c r="K152" s="101" t="s">
        <v>18</v>
      </c>
      <c r="L152" s="101" t="s">
        <v>18</v>
      </c>
      <c r="M152" s="101" t="s">
        <v>18</v>
      </c>
      <c r="O152" s="101">
        <v>37</v>
      </c>
      <c r="P152" s="101" t="s">
        <v>236</v>
      </c>
      <c r="Q152" s="20">
        <v>44272.501458333332</v>
      </c>
      <c r="R152" s="101" t="s">
        <v>25</v>
      </c>
      <c r="S152" s="101" t="s">
        <v>17</v>
      </c>
      <c r="T152" s="101">
        <v>0</v>
      </c>
      <c r="U152" s="101" t="s">
        <v>18</v>
      </c>
      <c r="V152" s="12" t="s">
        <v>18</v>
      </c>
      <c r="W152" s="101" t="s">
        <v>18</v>
      </c>
      <c r="X152" s="101" t="s">
        <v>18</v>
      </c>
      <c r="Y152" s="101" t="s">
        <v>18</v>
      </c>
      <c r="Z152" s="101" t="s">
        <v>18</v>
      </c>
      <c r="AA152" s="101" t="s">
        <v>18</v>
      </c>
      <c r="AC152" s="101">
        <v>37</v>
      </c>
      <c r="AD152" s="101" t="s">
        <v>236</v>
      </c>
      <c r="AE152" s="20">
        <v>44272.501458333332</v>
      </c>
      <c r="AF152" s="101" t="s">
        <v>25</v>
      </c>
      <c r="AG152" s="101" t="s">
        <v>17</v>
      </c>
      <c r="AH152" s="101">
        <v>0</v>
      </c>
      <c r="AI152" s="101">
        <v>12.269</v>
      </c>
      <c r="AJ152" s="12">
        <v>2782</v>
      </c>
      <c r="AK152" s="101">
        <v>0.55300000000000005</v>
      </c>
      <c r="AL152" s="101" t="s">
        <v>18</v>
      </c>
      <c r="AM152" s="101" t="s">
        <v>18</v>
      </c>
      <c r="AN152" s="101" t="s">
        <v>18</v>
      </c>
      <c r="AO152" s="101" t="s">
        <v>18</v>
      </c>
      <c r="AQ152" s="101">
        <v>1</v>
      </c>
      <c r="AS152" s="7">
        <v>108</v>
      </c>
      <c r="AT152" s="23">
        <f t="shared" si="24"/>
        <v>-1.8210036061999997</v>
      </c>
      <c r="AU152" s="103">
        <f t="shared" si="25"/>
        <v>527.9345553397601</v>
      </c>
      <c r="AV152" s="101">
        <f t="shared" si="17"/>
        <v>0</v>
      </c>
      <c r="AW152" s="60">
        <f t="shared" si="18"/>
        <v>-0.80202523500000034</v>
      </c>
      <c r="AX152" s="61">
        <f t="shared" si="19"/>
        <v>550.12699007852007</v>
      </c>
      <c r="AZ152" s="23">
        <f t="shared" si="20"/>
        <v>-1.8210036061999997</v>
      </c>
      <c r="BA152" s="103">
        <f t="shared" si="21"/>
        <v>527.9345553397601</v>
      </c>
      <c r="BC152" s="104">
        <f t="shared" si="22"/>
        <v>-0.46679168919999992</v>
      </c>
      <c r="BD152" s="105">
        <f t="shared" si="23"/>
        <v>471.14188734752003</v>
      </c>
      <c r="BF152" s="115">
        <f t="shared" si="15"/>
        <v>-2.1834861327999997</v>
      </c>
      <c r="BG152" s="116">
        <f t="shared" si="16"/>
        <v>267.58533472000005</v>
      </c>
    </row>
    <row r="153" spans="1:59" s="101" customFormat="1" ht="14.4" x14ac:dyDescent="0.3">
      <c r="A153" s="65">
        <v>37</v>
      </c>
      <c r="B153" s="101" t="s">
        <v>237</v>
      </c>
      <c r="C153" s="20">
        <v>44278.595486111109</v>
      </c>
      <c r="D153" s="101" t="s">
        <v>25</v>
      </c>
      <c r="E153" s="101" t="s">
        <v>17</v>
      </c>
      <c r="F153" s="101">
        <v>0</v>
      </c>
      <c r="G153" s="101">
        <v>6.0910000000000002</v>
      </c>
      <c r="H153" s="12">
        <v>1779</v>
      </c>
      <c r="I153" s="101">
        <v>1E-3</v>
      </c>
      <c r="J153" s="101" t="s">
        <v>18</v>
      </c>
      <c r="K153" s="101" t="s">
        <v>18</v>
      </c>
      <c r="L153" s="101" t="s">
        <v>18</v>
      </c>
      <c r="M153" s="101" t="s">
        <v>18</v>
      </c>
      <c r="O153" s="101">
        <v>37</v>
      </c>
      <c r="P153" s="101" t="s">
        <v>237</v>
      </c>
      <c r="Q153" s="20">
        <v>44278.595486111109</v>
      </c>
      <c r="R153" s="101" t="s">
        <v>25</v>
      </c>
      <c r="S153" s="101" t="s">
        <v>17</v>
      </c>
      <c r="T153" s="101">
        <v>0</v>
      </c>
      <c r="U153" s="101" t="s">
        <v>18</v>
      </c>
      <c r="V153" s="12" t="s">
        <v>18</v>
      </c>
      <c r="W153" s="101" t="s">
        <v>18</v>
      </c>
      <c r="X153" s="101" t="s">
        <v>18</v>
      </c>
      <c r="Y153" s="101" t="s">
        <v>18</v>
      </c>
      <c r="Z153" s="101" t="s">
        <v>18</v>
      </c>
      <c r="AA153" s="101" t="s">
        <v>18</v>
      </c>
      <c r="AC153" s="101">
        <v>37</v>
      </c>
      <c r="AD153" s="101" t="s">
        <v>237</v>
      </c>
      <c r="AE153" s="20">
        <v>44278.595486111109</v>
      </c>
      <c r="AF153" s="101" t="s">
        <v>25</v>
      </c>
      <c r="AG153" s="101" t="s">
        <v>17</v>
      </c>
      <c r="AH153" s="101">
        <v>0</v>
      </c>
      <c r="AI153" s="101">
        <v>12.273999999999999</v>
      </c>
      <c r="AJ153" s="12">
        <v>1989</v>
      </c>
      <c r="AK153" s="101">
        <v>0.44600000000000001</v>
      </c>
      <c r="AL153" s="101" t="s">
        <v>18</v>
      </c>
      <c r="AM153" s="101" t="s">
        <v>18</v>
      </c>
      <c r="AN153" s="101" t="s">
        <v>18</v>
      </c>
      <c r="AO153" s="101" t="s">
        <v>18</v>
      </c>
      <c r="AQ153" s="101">
        <v>1</v>
      </c>
      <c r="AS153" s="7">
        <v>109</v>
      </c>
      <c r="AT153" s="23">
        <f t="shared" si="24"/>
        <v>-9.7285535950000224E-2</v>
      </c>
      <c r="AU153" s="103">
        <f t="shared" si="25"/>
        <v>376.37447347253999</v>
      </c>
      <c r="AV153" s="101">
        <f t="shared" si="17"/>
        <v>0</v>
      </c>
      <c r="AW153" s="60">
        <f t="shared" si="18"/>
        <v>0.50844787124999957</v>
      </c>
      <c r="AX153" s="61">
        <f t="shared" si="19"/>
        <v>403.34227428483001</v>
      </c>
      <c r="AZ153" s="23">
        <f t="shared" si="20"/>
        <v>-9.7285535950000224E-2</v>
      </c>
      <c r="BA153" s="103">
        <f t="shared" si="21"/>
        <v>376.37447347253999</v>
      </c>
      <c r="BC153" s="104">
        <f t="shared" si="22"/>
        <v>0.14013849729999994</v>
      </c>
      <c r="BD153" s="105">
        <f t="shared" si="23"/>
        <v>307.32533979208</v>
      </c>
      <c r="BF153" s="115">
        <f t="shared" si="15"/>
        <v>-1.4826931168000002</v>
      </c>
      <c r="BG153" s="116">
        <f t="shared" si="16"/>
        <v>187.78425387999999</v>
      </c>
    </row>
    <row r="154" spans="1:59" s="101" customFormat="1" ht="14.4" x14ac:dyDescent="0.3">
      <c r="A154" s="65">
        <v>37</v>
      </c>
      <c r="B154" s="101" t="s">
        <v>381</v>
      </c>
      <c r="C154" s="20">
        <v>44292.535810185182</v>
      </c>
      <c r="D154" s="101" t="s">
        <v>25</v>
      </c>
      <c r="E154" s="101" t="s">
        <v>17</v>
      </c>
      <c r="F154" s="101">
        <v>0</v>
      </c>
      <c r="G154" s="101">
        <v>6.0960000000000001</v>
      </c>
      <c r="H154" s="12">
        <v>1813</v>
      </c>
      <c r="I154" s="101">
        <v>1E-3</v>
      </c>
      <c r="J154" s="101" t="s">
        <v>18</v>
      </c>
      <c r="K154" s="101" t="s">
        <v>18</v>
      </c>
      <c r="L154" s="101" t="s">
        <v>18</v>
      </c>
      <c r="M154" s="101" t="s">
        <v>18</v>
      </c>
      <c r="O154" s="101">
        <v>37</v>
      </c>
      <c r="P154" s="101" t="s">
        <v>381</v>
      </c>
      <c r="Q154" s="20">
        <v>44292.535810185182</v>
      </c>
      <c r="R154" s="101" t="s">
        <v>25</v>
      </c>
      <c r="S154" s="101" t="s">
        <v>17</v>
      </c>
      <c r="T154" s="101">
        <v>0</v>
      </c>
      <c r="U154" s="101" t="s">
        <v>18</v>
      </c>
      <c r="V154" s="12" t="s">
        <v>18</v>
      </c>
      <c r="W154" s="101" t="s">
        <v>18</v>
      </c>
      <c r="X154" s="101" t="s">
        <v>18</v>
      </c>
      <c r="Y154" s="101" t="s">
        <v>18</v>
      </c>
      <c r="Z154" s="101" t="s">
        <v>18</v>
      </c>
      <c r="AA154" s="101" t="s">
        <v>18</v>
      </c>
      <c r="AC154" s="101">
        <v>37</v>
      </c>
      <c r="AD154" s="101" t="s">
        <v>381</v>
      </c>
      <c r="AE154" s="20">
        <v>44292.535810185182</v>
      </c>
      <c r="AF154" s="101" t="s">
        <v>25</v>
      </c>
      <c r="AG154" s="101" t="s">
        <v>17</v>
      </c>
      <c r="AH154" s="101">
        <v>0</v>
      </c>
      <c r="AI154" s="101">
        <v>12.263</v>
      </c>
      <c r="AJ154" s="12">
        <v>2411</v>
      </c>
      <c r="AK154" s="101">
        <v>0.503</v>
      </c>
      <c r="AL154" s="101" t="s">
        <v>18</v>
      </c>
      <c r="AM154" s="101" t="s">
        <v>18</v>
      </c>
      <c r="AN154" s="101" t="s">
        <v>18</v>
      </c>
      <c r="AO154" s="101" t="s">
        <v>18</v>
      </c>
      <c r="AQ154" s="101">
        <v>1</v>
      </c>
      <c r="AS154" s="7">
        <v>110</v>
      </c>
      <c r="AT154" s="23">
        <f t="shared" si="24"/>
        <v>2.5619146449999519E-2</v>
      </c>
      <c r="AU154" s="103">
        <f t="shared" si="25"/>
        <v>457.03068190454002</v>
      </c>
      <c r="AV154" s="101">
        <f t="shared" si="17"/>
        <v>2.5619146449999519E-2</v>
      </c>
      <c r="AW154" s="60">
        <f t="shared" si="18"/>
        <v>0.60301309124999936</v>
      </c>
      <c r="AX154" s="61">
        <f t="shared" si="19"/>
        <v>481.46452294882999</v>
      </c>
      <c r="AZ154" s="23">
        <f t="shared" si="20"/>
        <v>2.5619146449999519E-2</v>
      </c>
      <c r="BA154" s="103">
        <f t="shared" si="21"/>
        <v>457.03068190454002</v>
      </c>
      <c r="BC154" s="104">
        <f t="shared" si="22"/>
        <v>0.1862702957000002</v>
      </c>
      <c r="BD154" s="105">
        <f t="shared" si="23"/>
        <v>394.50535425608001</v>
      </c>
      <c r="BF154" s="115">
        <f t="shared" si="15"/>
        <v>-1.4320569711999998</v>
      </c>
      <c r="BG154" s="116">
        <f t="shared" si="16"/>
        <v>230.52019387999997</v>
      </c>
    </row>
    <row r="155" spans="1:59" s="101" customFormat="1" ht="14.4" x14ac:dyDescent="0.3">
      <c r="A155" s="101">
        <v>49</v>
      </c>
      <c r="B155" s="101" t="s">
        <v>382</v>
      </c>
      <c r="C155" s="20">
        <v>44293.464386574073</v>
      </c>
      <c r="D155" s="101" t="s">
        <v>25</v>
      </c>
      <c r="E155" s="101" t="s">
        <v>17</v>
      </c>
      <c r="F155" s="101">
        <v>0</v>
      </c>
      <c r="G155" s="101">
        <v>6.1070000000000002</v>
      </c>
      <c r="H155" s="12">
        <v>2383</v>
      </c>
      <c r="I155" s="101">
        <v>-1E-3</v>
      </c>
      <c r="J155" s="101" t="s">
        <v>18</v>
      </c>
      <c r="K155" s="101" t="s">
        <v>18</v>
      </c>
      <c r="L155" s="101" t="s">
        <v>18</v>
      </c>
      <c r="M155" s="101" t="s">
        <v>18</v>
      </c>
      <c r="O155" s="101">
        <v>49</v>
      </c>
      <c r="P155" s="101" t="s">
        <v>382</v>
      </c>
      <c r="Q155" s="20">
        <v>44293.464386574073</v>
      </c>
      <c r="R155" s="101" t="s">
        <v>25</v>
      </c>
      <c r="S155" s="101" t="s">
        <v>17</v>
      </c>
      <c r="T155" s="101">
        <v>0</v>
      </c>
      <c r="U155" s="101" t="s">
        <v>18</v>
      </c>
      <c r="V155" s="101" t="s">
        <v>18</v>
      </c>
      <c r="W155" s="101" t="s">
        <v>18</v>
      </c>
      <c r="X155" s="101" t="s">
        <v>18</v>
      </c>
      <c r="Y155" s="101" t="s">
        <v>18</v>
      </c>
      <c r="Z155" s="101" t="s">
        <v>18</v>
      </c>
      <c r="AA155" s="101" t="s">
        <v>18</v>
      </c>
      <c r="AC155" s="101">
        <v>49</v>
      </c>
      <c r="AD155" s="101" t="s">
        <v>382</v>
      </c>
      <c r="AE155" s="20">
        <v>44293.464386574073</v>
      </c>
      <c r="AF155" s="101" t="s">
        <v>25</v>
      </c>
      <c r="AG155" s="101" t="s">
        <v>17</v>
      </c>
      <c r="AH155" s="101">
        <v>0</v>
      </c>
      <c r="AI155" s="101">
        <v>12.27</v>
      </c>
      <c r="AJ155" s="12">
        <v>2019</v>
      </c>
      <c r="AK155" s="101">
        <v>0.41199999999999998</v>
      </c>
      <c r="AL155" s="101" t="s">
        <v>18</v>
      </c>
      <c r="AM155" s="101" t="s">
        <v>18</v>
      </c>
      <c r="AN155" s="101" t="s">
        <v>18</v>
      </c>
      <c r="AO155" s="101" t="s">
        <v>18</v>
      </c>
      <c r="AQ155" s="101">
        <v>1</v>
      </c>
      <c r="AS155" s="7">
        <v>111</v>
      </c>
      <c r="AT155" s="23">
        <f t="shared" si="24"/>
        <v>2.0661289724499987</v>
      </c>
      <c r="AU155" s="103">
        <f t="shared" si="25"/>
        <v>382.10851837014002</v>
      </c>
      <c r="AV155" s="101">
        <f t="shared" si="17"/>
        <v>2.0661289724499987</v>
      </c>
      <c r="AW155" s="60">
        <f t="shared" si="18"/>
        <v>2.1956871412499996</v>
      </c>
      <c r="AX155" s="61">
        <f t="shared" si="19"/>
        <v>408.89672682002998</v>
      </c>
      <c r="AZ155" s="23">
        <f t="shared" si="20"/>
        <v>2.0661289724499987</v>
      </c>
      <c r="BA155" s="103">
        <f t="shared" si="21"/>
        <v>382.10851837014002</v>
      </c>
      <c r="BC155" s="104">
        <f t="shared" si="22"/>
        <v>1.0096802116999999</v>
      </c>
      <c r="BD155" s="105">
        <f t="shared" si="23"/>
        <v>313.52327126727999</v>
      </c>
      <c r="BF155" s="115">
        <f t="shared" si="15"/>
        <v>-0.57792382720000024</v>
      </c>
      <c r="BG155" s="116">
        <f t="shared" si="16"/>
        <v>190.84258108</v>
      </c>
    </row>
    <row r="156" spans="1:59" s="101" customFormat="1" ht="14.4" x14ac:dyDescent="0.3">
      <c r="A156" s="101">
        <v>51</v>
      </c>
      <c r="B156" s="101" t="s">
        <v>383</v>
      </c>
      <c r="C156" s="20">
        <v>44293.506956018522</v>
      </c>
      <c r="D156" s="101" t="s">
        <v>25</v>
      </c>
      <c r="E156" s="101" t="s">
        <v>17</v>
      </c>
      <c r="F156" s="101">
        <v>0</v>
      </c>
      <c r="G156" s="101">
        <v>6.093</v>
      </c>
      <c r="H156" s="12">
        <v>2304</v>
      </c>
      <c r="I156" s="101">
        <v>-1E-3</v>
      </c>
      <c r="J156" s="101" t="s">
        <v>18</v>
      </c>
      <c r="K156" s="101" t="s">
        <v>18</v>
      </c>
      <c r="L156" s="101" t="s">
        <v>18</v>
      </c>
      <c r="M156" s="101" t="s">
        <v>18</v>
      </c>
      <c r="O156" s="101">
        <v>51</v>
      </c>
      <c r="P156" s="101" t="s">
        <v>383</v>
      </c>
      <c r="Q156" s="20">
        <v>44293.506956018522</v>
      </c>
      <c r="R156" s="101" t="s">
        <v>25</v>
      </c>
      <c r="S156" s="101" t="s">
        <v>17</v>
      </c>
      <c r="T156" s="101">
        <v>0</v>
      </c>
      <c r="U156" s="101" t="s">
        <v>18</v>
      </c>
      <c r="V156" s="101" t="s">
        <v>18</v>
      </c>
      <c r="W156" s="101" t="s">
        <v>18</v>
      </c>
      <c r="X156" s="101" t="s">
        <v>18</v>
      </c>
      <c r="Y156" s="101" t="s">
        <v>18</v>
      </c>
      <c r="Z156" s="101" t="s">
        <v>18</v>
      </c>
      <c r="AA156" s="101" t="s">
        <v>18</v>
      </c>
      <c r="AC156" s="101">
        <v>51</v>
      </c>
      <c r="AD156" s="101" t="s">
        <v>383</v>
      </c>
      <c r="AE156" s="20">
        <v>44293.506956018522</v>
      </c>
      <c r="AF156" s="101" t="s">
        <v>25</v>
      </c>
      <c r="AG156" s="101" t="s">
        <v>17</v>
      </c>
      <c r="AH156" s="101">
        <v>0</v>
      </c>
      <c r="AI156" s="101">
        <v>12.252000000000001</v>
      </c>
      <c r="AJ156" s="12">
        <v>1894</v>
      </c>
      <c r="AK156" s="101">
        <v>0.34599999999999997</v>
      </c>
      <c r="AL156" s="101" t="s">
        <v>18</v>
      </c>
      <c r="AM156" s="101" t="s">
        <v>18</v>
      </c>
      <c r="AN156" s="101" t="s">
        <v>18</v>
      </c>
      <c r="AO156" s="101" t="s">
        <v>18</v>
      </c>
      <c r="AQ156" s="101">
        <v>1</v>
      </c>
      <c r="AS156" s="7">
        <v>112</v>
      </c>
      <c r="AT156" s="23">
        <f t="shared" si="24"/>
        <v>1.7855692928</v>
      </c>
      <c r="AU156" s="103">
        <f t="shared" si="25"/>
        <v>358.21647154264002</v>
      </c>
      <c r="AV156" s="101">
        <f t="shared" si="17"/>
        <v>1.7855692928</v>
      </c>
      <c r="AW156" s="60">
        <f t="shared" si="18"/>
        <v>1.974123839999999</v>
      </c>
      <c r="AX156" s="61">
        <f t="shared" si="19"/>
        <v>385.75242919627999</v>
      </c>
      <c r="AZ156" s="23">
        <f t="shared" si="20"/>
        <v>1.7855692928</v>
      </c>
      <c r="BA156" s="103">
        <f t="shared" si="21"/>
        <v>358.21647154264002</v>
      </c>
      <c r="BC156" s="104">
        <f t="shared" si="22"/>
        <v>0.88992244480000005</v>
      </c>
      <c r="BD156" s="105">
        <f t="shared" si="23"/>
        <v>287.69825373728003</v>
      </c>
      <c r="BF156" s="115">
        <f t="shared" si="15"/>
        <v>-0.69689327679999957</v>
      </c>
      <c r="BG156" s="116">
        <f t="shared" si="16"/>
        <v>178.07912607999998</v>
      </c>
    </row>
    <row r="157" spans="1:59" s="101" customFormat="1" ht="14.4" x14ac:dyDescent="0.3">
      <c r="A157" s="101">
        <v>52</v>
      </c>
      <c r="B157" s="101" t="s">
        <v>384</v>
      </c>
      <c r="C157" s="20">
        <v>44293.528240740743</v>
      </c>
      <c r="D157" s="101" t="s">
        <v>26</v>
      </c>
      <c r="E157" s="101" t="s">
        <v>17</v>
      </c>
      <c r="F157" s="101">
        <v>0</v>
      </c>
      <c r="G157" s="101">
        <v>6.1020000000000003</v>
      </c>
      <c r="H157" s="12">
        <v>2118</v>
      </c>
      <c r="I157" s="101">
        <v>-2E-3</v>
      </c>
      <c r="J157" s="101" t="s">
        <v>18</v>
      </c>
      <c r="K157" s="101" t="s">
        <v>18</v>
      </c>
      <c r="L157" s="101" t="s">
        <v>18</v>
      </c>
      <c r="M157" s="101" t="s">
        <v>18</v>
      </c>
      <c r="O157" s="101">
        <v>52</v>
      </c>
      <c r="P157" s="101" t="s">
        <v>384</v>
      </c>
      <c r="Q157" s="20">
        <v>44293.528240740743</v>
      </c>
      <c r="R157" s="101" t="s">
        <v>26</v>
      </c>
      <c r="S157" s="101" t="s">
        <v>17</v>
      </c>
      <c r="T157" s="101">
        <v>0</v>
      </c>
      <c r="U157" s="101" t="s">
        <v>18</v>
      </c>
      <c r="V157" s="101" t="s">
        <v>18</v>
      </c>
      <c r="W157" s="101" t="s">
        <v>18</v>
      </c>
      <c r="X157" s="101" t="s">
        <v>18</v>
      </c>
      <c r="Y157" s="101" t="s">
        <v>18</v>
      </c>
      <c r="Z157" s="101" t="s">
        <v>18</v>
      </c>
      <c r="AA157" s="101" t="s">
        <v>18</v>
      </c>
      <c r="AC157" s="101">
        <v>52</v>
      </c>
      <c r="AD157" s="101" t="s">
        <v>384</v>
      </c>
      <c r="AE157" s="20">
        <v>44293.528240740743</v>
      </c>
      <c r="AF157" s="101" t="s">
        <v>26</v>
      </c>
      <c r="AG157" s="101" t="s">
        <v>17</v>
      </c>
      <c r="AH157" s="101">
        <v>0</v>
      </c>
      <c r="AI157" s="101">
        <v>12.234999999999999</v>
      </c>
      <c r="AJ157" s="12">
        <v>2429</v>
      </c>
      <c r="AK157" s="101">
        <v>0.63</v>
      </c>
      <c r="AL157" s="101" t="s">
        <v>18</v>
      </c>
      <c r="AM157" s="101" t="s">
        <v>18</v>
      </c>
      <c r="AN157" s="101" t="s">
        <v>18</v>
      </c>
      <c r="AO157" s="101" t="s">
        <v>18</v>
      </c>
      <c r="AQ157" s="101">
        <v>1</v>
      </c>
      <c r="AS157" s="7">
        <v>113</v>
      </c>
      <c r="AT157" s="23">
        <f t="shared" si="24"/>
        <v>1.1221547041999997</v>
      </c>
      <c r="AU157" s="103">
        <f t="shared" si="25"/>
        <v>460.47086533333999</v>
      </c>
      <c r="AV157" s="101">
        <f t="shared" si="17"/>
        <v>1.1221547041999997</v>
      </c>
      <c r="AW157" s="60">
        <f t="shared" si="18"/>
        <v>1.4535158849999998</v>
      </c>
      <c r="AX157" s="61">
        <f t="shared" si="19"/>
        <v>484.79625442643004</v>
      </c>
      <c r="AZ157" s="23">
        <f t="shared" si="20"/>
        <v>1.1221547041999997</v>
      </c>
      <c r="BA157" s="103">
        <f t="shared" si="21"/>
        <v>460.47086533333999</v>
      </c>
      <c r="BC157" s="104">
        <f t="shared" si="22"/>
        <v>0.61512295720000032</v>
      </c>
      <c r="BD157" s="105">
        <f t="shared" si="23"/>
        <v>398.22373095367999</v>
      </c>
      <c r="BF157" s="115">
        <f t="shared" si="15"/>
        <v>-0.97624935519999978</v>
      </c>
      <c r="BG157" s="116">
        <f t="shared" si="16"/>
        <v>232.32943147999998</v>
      </c>
    </row>
    <row r="158" spans="1:59" s="101" customFormat="1" ht="14.4" x14ac:dyDescent="0.3">
      <c r="A158" s="101">
        <v>39</v>
      </c>
      <c r="B158" s="101" t="s">
        <v>385</v>
      </c>
      <c r="C158" s="20">
        <v>44305.429097222222</v>
      </c>
      <c r="D158" s="101" t="s">
        <v>25</v>
      </c>
      <c r="E158" s="101" t="s">
        <v>17</v>
      </c>
      <c r="F158" s="101">
        <v>0</v>
      </c>
      <c r="G158" s="101">
        <v>6.1139999999999999</v>
      </c>
      <c r="H158" s="12">
        <v>1841</v>
      </c>
      <c r="I158" s="101">
        <v>-1E-3</v>
      </c>
      <c r="J158" s="101" t="s">
        <v>18</v>
      </c>
      <c r="K158" s="101" t="s">
        <v>18</v>
      </c>
      <c r="L158" s="101" t="s">
        <v>18</v>
      </c>
      <c r="M158" s="101" t="s">
        <v>18</v>
      </c>
      <c r="O158" s="101">
        <v>39</v>
      </c>
      <c r="P158" s="101" t="s">
        <v>385</v>
      </c>
      <c r="Q158" s="20">
        <v>44305.429097222222</v>
      </c>
      <c r="R158" s="101" t="s">
        <v>25</v>
      </c>
      <c r="S158" s="101" t="s">
        <v>17</v>
      </c>
      <c r="T158" s="101">
        <v>0</v>
      </c>
      <c r="U158" s="101" t="s">
        <v>18</v>
      </c>
      <c r="V158" s="101" t="s">
        <v>18</v>
      </c>
      <c r="W158" s="101" t="s">
        <v>18</v>
      </c>
      <c r="X158" s="101" t="s">
        <v>18</v>
      </c>
      <c r="Y158" s="101" t="s">
        <v>18</v>
      </c>
      <c r="Z158" s="101" t="s">
        <v>18</v>
      </c>
      <c r="AA158" s="101" t="s">
        <v>18</v>
      </c>
      <c r="AC158" s="101">
        <v>39</v>
      </c>
      <c r="AD158" s="101" t="s">
        <v>385</v>
      </c>
      <c r="AE158" s="20">
        <v>44305.429097222222</v>
      </c>
      <c r="AF158" s="101" t="s">
        <v>25</v>
      </c>
      <c r="AG158" s="101" t="s">
        <v>17</v>
      </c>
      <c r="AH158" s="101">
        <v>0</v>
      </c>
      <c r="AI158" s="101">
        <v>12.286</v>
      </c>
      <c r="AJ158" s="12">
        <v>2060</v>
      </c>
      <c r="AK158" s="101">
        <v>0.42099999999999999</v>
      </c>
      <c r="AL158" s="101" t="s">
        <v>18</v>
      </c>
      <c r="AM158" s="101" t="s">
        <v>18</v>
      </c>
      <c r="AN158" s="101" t="s">
        <v>18</v>
      </c>
      <c r="AO158" s="101" t="s">
        <v>18</v>
      </c>
      <c r="AQ158" s="101">
        <v>1</v>
      </c>
      <c r="AS158" s="7">
        <v>114</v>
      </c>
      <c r="AT158" s="23">
        <f t="shared" si="24"/>
        <v>0.12673416605000032</v>
      </c>
      <c r="AU158" s="103">
        <f t="shared" si="25"/>
        <v>389.944999064</v>
      </c>
      <c r="AV158" s="101">
        <f t="shared" si="17"/>
        <v>0.12673416605000032</v>
      </c>
      <c r="AW158" s="60">
        <f t="shared" si="18"/>
        <v>0.68092722124999927</v>
      </c>
      <c r="AX158" s="61">
        <f t="shared" si="19"/>
        <v>416.487629228</v>
      </c>
      <c r="AZ158" s="23">
        <f t="shared" si="20"/>
        <v>0.12673416605000032</v>
      </c>
      <c r="BA158" s="103">
        <f t="shared" si="21"/>
        <v>389.944999064</v>
      </c>
      <c r="BC158" s="104">
        <f t="shared" si="22"/>
        <v>0.22451342930000018</v>
      </c>
      <c r="BD158" s="105">
        <f t="shared" si="23"/>
        <v>321.99370332799998</v>
      </c>
      <c r="BF158" s="115">
        <f t="shared" si="15"/>
        <v>-1.3903302287999999</v>
      </c>
      <c r="BG158" s="116">
        <f t="shared" si="16"/>
        <v>195.01728800000001</v>
      </c>
    </row>
    <row r="159" spans="1:59" s="101" customFormat="1" ht="14.4" x14ac:dyDescent="0.3">
      <c r="A159" s="101">
        <v>39</v>
      </c>
      <c r="B159" s="101" t="s">
        <v>386</v>
      </c>
      <c r="C159" s="20">
        <v>44320.443414351852</v>
      </c>
      <c r="D159" s="101" t="s">
        <v>25</v>
      </c>
      <c r="E159" s="101" t="s">
        <v>17</v>
      </c>
      <c r="F159" s="101">
        <v>0</v>
      </c>
      <c r="G159" s="101">
        <v>6.085</v>
      </c>
      <c r="H159" s="12">
        <v>2352</v>
      </c>
      <c r="I159" s="101">
        <v>0</v>
      </c>
      <c r="J159" s="101" t="s">
        <v>18</v>
      </c>
      <c r="K159" s="101" t="s">
        <v>18</v>
      </c>
      <c r="L159" s="101" t="s">
        <v>18</v>
      </c>
      <c r="M159" s="101" t="s">
        <v>18</v>
      </c>
      <c r="O159" s="101">
        <v>39</v>
      </c>
      <c r="P159" s="101" t="s">
        <v>386</v>
      </c>
      <c r="Q159" s="20">
        <v>44320.443414351852</v>
      </c>
      <c r="R159" s="101" t="s">
        <v>25</v>
      </c>
      <c r="S159" s="101" t="s">
        <v>17</v>
      </c>
      <c r="T159" s="101">
        <v>0</v>
      </c>
      <c r="U159" s="101" t="s">
        <v>18</v>
      </c>
      <c r="V159" s="101" t="s">
        <v>18</v>
      </c>
      <c r="W159" s="101" t="s">
        <v>18</v>
      </c>
      <c r="X159" s="101" t="s">
        <v>18</v>
      </c>
      <c r="Y159" s="101" t="s">
        <v>18</v>
      </c>
      <c r="Z159" s="101" t="s">
        <v>18</v>
      </c>
      <c r="AA159" s="101" t="s">
        <v>18</v>
      </c>
      <c r="AC159" s="101">
        <v>39</v>
      </c>
      <c r="AD159" s="101" t="s">
        <v>386</v>
      </c>
      <c r="AE159" s="20">
        <v>44320.443414351852</v>
      </c>
      <c r="AF159" s="101" t="s">
        <v>25</v>
      </c>
      <c r="AG159" s="101" t="s">
        <v>17</v>
      </c>
      <c r="AH159" s="101">
        <v>0</v>
      </c>
      <c r="AI159" s="101">
        <v>12.234</v>
      </c>
      <c r="AJ159" s="12">
        <v>2855</v>
      </c>
      <c r="AK159" s="101">
        <v>0.57899999999999996</v>
      </c>
      <c r="AL159" s="101" t="s">
        <v>18</v>
      </c>
      <c r="AM159" s="101" t="s">
        <v>18</v>
      </c>
      <c r="AN159" s="101" t="s">
        <v>18</v>
      </c>
      <c r="AO159" s="101" t="s">
        <v>18</v>
      </c>
      <c r="AQ159" s="101">
        <v>1</v>
      </c>
      <c r="AS159" s="7">
        <v>115</v>
      </c>
      <c r="AT159" s="23">
        <f t="shared" si="24"/>
        <v>1.9561221631999999</v>
      </c>
      <c r="AU159" s="103">
        <f t="shared" si="25"/>
        <v>541.88546433350007</v>
      </c>
      <c r="AV159" s="101">
        <f t="shared" si="17"/>
        <v>1.9561221631999999</v>
      </c>
      <c r="AW159" s="60">
        <f t="shared" si="18"/>
        <v>2.1087129600000001</v>
      </c>
      <c r="AX159" s="61">
        <f t="shared" si="19"/>
        <v>563.63536016075</v>
      </c>
      <c r="AZ159" s="23">
        <f t="shared" si="20"/>
        <v>1.9561221631999999</v>
      </c>
      <c r="BA159" s="103">
        <f t="shared" si="21"/>
        <v>541.88546433350007</v>
      </c>
      <c r="BC159" s="104">
        <f t="shared" si="22"/>
        <v>0.96247045119999997</v>
      </c>
      <c r="BD159" s="105">
        <f t="shared" si="23"/>
        <v>486.22048584200007</v>
      </c>
      <c r="BF159" s="115">
        <f t="shared" si="15"/>
        <v>-0.62463065920000016</v>
      </c>
      <c r="BG159" s="116">
        <f t="shared" si="16"/>
        <v>274.82272699999999</v>
      </c>
    </row>
    <row r="160" spans="1:59" s="101" customFormat="1" ht="14.4" x14ac:dyDescent="0.3">
      <c r="A160" s="101">
        <v>39</v>
      </c>
      <c r="B160" s="101" t="s">
        <v>387</v>
      </c>
      <c r="C160" s="20">
        <v>44323.459027777775</v>
      </c>
      <c r="D160" s="101" t="s">
        <v>25</v>
      </c>
      <c r="E160" s="101" t="s">
        <v>17</v>
      </c>
      <c r="F160" s="101">
        <v>0</v>
      </c>
      <c r="G160" s="101">
        <v>6.1180000000000003</v>
      </c>
      <c r="H160" s="12">
        <v>2545</v>
      </c>
      <c r="I160" s="101">
        <v>1E-3</v>
      </c>
      <c r="J160" s="101" t="s">
        <v>18</v>
      </c>
      <c r="K160" s="101" t="s">
        <v>18</v>
      </c>
      <c r="L160" s="101" t="s">
        <v>18</v>
      </c>
      <c r="M160" s="101" t="s">
        <v>18</v>
      </c>
      <c r="O160" s="101">
        <v>39</v>
      </c>
      <c r="P160" s="101" t="s">
        <v>387</v>
      </c>
      <c r="Q160" s="20">
        <v>44323.459027777775</v>
      </c>
      <c r="R160" s="101" t="s">
        <v>25</v>
      </c>
      <c r="S160" s="101" t="s">
        <v>17</v>
      </c>
      <c r="T160" s="101">
        <v>0</v>
      </c>
      <c r="U160" s="101" t="s">
        <v>18</v>
      </c>
      <c r="V160" s="101" t="s">
        <v>18</v>
      </c>
      <c r="W160" s="101" t="s">
        <v>18</v>
      </c>
      <c r="X160" s="101" t="s">
        <v>18</v>
      </c>
      <c r="Y160" s="101" t="s">
        <v>18</v>
      </c>
      <c r="Z160" s="101" t="s">
        <v>18</v>
      </c>
      <c r="AA160" s="101" t="s">
        <v>18</v>
      </c>
      <c r="AC160" s="101">
        <v>39</v>
      </c>
      <c r="AD160" s="101" t="s">
        <v>387</v>
      </c>
      <c r="AE160" s="20">
        <v>44323.459027777775</v>
      </c>
      <c r="AF160" s="101" t="s">
        <v>25</v>
      </c>
      <c r="AG160" s="101" t="s">
        <v>17</v>
      </c>
      <c r="AH160" s="101">
        <v>0</v>
      </c>
      <c r="AI160" s="101">
        <v>12.271000000000001</v>
      </c>
      <c r="AJ160" s="12">
        <v>3193</v>
      </c>
      <c r="AK160" s="101">
        <v>0.64700000000000002</v>
      </c>
      <c r="AL160" s="101" t="s">
        <v>18</v>
      </c>
      <c r="AM160" s="101" t="s">
        <v>18</v>
      </c>
      <c r="AN160" s="101" t="s">
        <v>18</v>
      </c>
      <c r="AO160" s="101" t="s">
        <v>18</v>
      </c>
      <c r="AQ160" s="101">
        <v>1</v>
      </c>
      <c r="AS160" s="7">
        <v>116</v>
      </c>
      <c r="AT160" s="23">
        <f t="shared" si="24"/>
        <v>2.6391914012500006</v>
      </c>
      <c r="AU160" s="103">
        <f t="shared" si="25"/>
        <v>606.47782525126013</v>
      </c>
      <c r="AV160" s="101">
        <f t="shared" si="17"/>
        <v>2.6391914012500006</v>
      </c>
      <c r="AW160" s="60">
        <f t="shared" si="18"/>
        <v>2.6508617812499997</v>
      </c>
      <c r="AX160" s="61">
        <f t="shared" si="19"/>
        <v>626.17224422027004</v>
      </c>
      <c r="AZ160" s="23">
        <f t="shared" si="20"/>
        <v>2.6391914012500006</v>
      </c>
      <c r="BA160" s="103">
        <f t="shared" si="21"/>
        <v>606.47782525126013</v>
      </c>
      <c r="BC160" s="104">
        <f t="shared" si="22"/>
        <v>1.2609322324999999</v>
      </c>
      <c r="BD160" s="105">
        <f t="shared" si="23"/>
        <v>556.03291724552003</v>
      </c>
      <c r="BF160" s="115">
        <f t="shared" si="15"/>
        <v>-0.33336772000000003</v>
      </c>
      <c r="BG160" s="116">
        <f t="shared" si="16"/>
        <v>308.09390572000007</v>
      </c>
    </row>
    <row r="161" spans="1:59" s="101" customFormat="1" ht="14.4" x14ac:dyDescent="0.3">
      <c r="A161" s="101">
        <v>39</v>
      </c>
      <c r="B161" s="101" t="s">
        <v>388</v>
      </c>
      <c r="C161" s="20">
        <v>44334.443414351852</v>
      </c>
      <c r="D161" s="101" t="s">
        <v>25</v>
      </c>
      <c r="E161" s="101" t="s">
        <v>17</v>
      </c>
      <c r="F161" s="101">
        <v>0</v>
      </c>
      <c r="G161" s="101">
        <v>6.0629999999999997</v>
      </c>
      <c r="H161" s="12">
        <v>2303</v>
      </c>
      <c r="I161" s="101">
        <v>0</v>
      </c>
      <c r="J161" s="101" t="s">
        <v>18</v>
      </c>
      <c r="K161" s="101" t="s">
        <v>18</v>
      </c>
      <c r="L161" s="101" t="s">
        <v>18</v>
      </c>
      <c r="M161" s="101" t="s">
        <v>18</v>
      </c>
      <c r="O161" s="101">
        <v>39</v>
      </c>
      <c r="P161" s="101" t="s">
        <v>388</v>
      </c>
      <c r="Q161" s="20">
        <v>44334.443414351852</v>
      </c>
      <c r="R161" s="101" t="s">
        <v>25</v>
      </c>
      <c r="S161" s="101" t="s">
        <v>17</v>
      </c>
      <c r="T161" s="101">
        <v>0</v>
      </c>
      <c r="U161" s="101" t="s">
        <v>18</v>
      </c>
      <c r="V161" s="12" t="s">
        <v>18</v>
      </c>
      <c r="W161" s="101" t="s">
        <v>18</v>
      </c>
      <c r="X161" s="101" t="s">
        <v>18</v>
      </c>
      <c r="Y161" s="101" t="s">
        <v>18</v>
      </c>
      <c r="Z161" s="101" t="s">
        <v>18</v>
      </c>
      <c r="AA161" s="101" t="s">
        <v>18</v>
      </c>
      <c r="AC161" s="101">
        <v>39</v>
      </c>
      <c r="AD161" s="101" t="s">
        <v>388</v>
      </c>
      <c r="AE161" s="20">
        <v>44334.443414351852</v>
      </c>
      <c r="AF161" s="101" t="s">
        <v>25</v>
      </c>
      <c r="AG161" s="101" t="s">
        <v>17</v>
      </c>
      <c r="AH161" s="101">
        <v>0</v>
      </c>
      <c r="AI161" s="101">
        <v>12.214</v>
      </c>
      <c r="AJ161" s="12">
        <v>1939</v>
      </c>
      <c r="AK161" s="101">
        <v>0.39700000000000002</v>
      </c>
      <c r="AL161" s="101" t="s">
        <v>18</v>
      </c>
      <c r="AM161" s="101" t="s">
        <v>18</v>
      </c>
      <c r="AN161" s="101" t="s">
        <v>18</v>
      </c>
      <c r="AO161" s="101" t="s">
        <v>18</v>
      </c>
      <c r="AQ161" s="101">
        <v>1</v>
      </c>
      <c r="AS161" s="7">
        <v>117</v>
      </c>
      <c r="AT161" s="23">
        <f t="shared" si="24"/>
        <v>1.7820132684499992</v>
      </c>
      <c r="AU161" s="103">
        <f t="shared" si="25"/>
        <v>366.81766693654004</v>
      </c>
      <c r="AV161" s="101">
        <f t="shared" si="17"/>
        <v>1.7820132684499992</v>
      </c>
      <c r="AW161" s="60">
        <f t="shared" si="18"/>
        <v>1.9713209412499992</v>
      </c>
      <c r="AX161" s="61">
        <f t="shared" si="19"/>
        <v>394.08460231282999</v>
      </c>
      <c r="AZ161" s="23">
        <f t="shared" si="20"/>
        <v>1.7820132684499992</v>
      </c>
      <c r="BA161" s="103">
        <f t="shared" si="21"/>
        <v>366.81766693654004</v>
      </c>
      <c r="BC161" s="104">
        <f t="shared" si="22"/>
        <v>0.88841814770000016</v>
      </c>
      <c r="BD161" s="105">
        <f t="shared" si="23"/>
        <v>296.99535192008</v>
      </c>
      <c r="BF161" s="115">
        <f t="shared" si="15"/>
        <v>-0.69839800319999989</v>
      </c>
      <c r="BG161" s="116">
        <f t="shared" si="16"/>
        <v>182.68016188000001</v>
      </c>
    </row>
    <row r="162" spans="1:59" s="101" customFormat="1" ht="14.4" x14ac:dyDescent="0.3">
      <c r="A162" s="101">
        <v>39</v>
      </c>
      <c r="B162" s="101" t="s">
        <v>389</v>
      </c>
      <c r="C162" s="20">
        <v>44335.403101851851</v>
      </c>
      <c r="D162" s="101" t="s">
        <v>25</v>
      </c>
      <c r="E162" s="101" t="s">
        <v>17</v>
      </c>
      <c r="F162" s="101">
        <v>0</v>
      </c>
      <c r="G162" s="101">
        <v>6.1</v>
      </c>
      <c r="H162" s="12">
        <v>2663</v>
      </c>
      <c r="I162" s="101">
        <v>1E-3</v>
      </c>
      <c r="J162" s="101" t="s">
        <v>18</v>
      </c>
      <c r="K162" s="101" t="s">
        <v>18</v>
      </c>
      <c r="L162" s="101" t="s">
        <v>18</v>
      </c>
      <c r="M162" s="101" t="s">
        <v>18</v>
      </c>
      <c r="O162" s="101">
        <v>39</v>
      </c>
      <c r="P162" s="101" t="s">
        <v>389</v>
      </c>
      <c r="Q162" s="20">
        <v>44335.403101851851</v>
      </c>
      <c r="R162" s="101" t="s">
        <v>25</v>
      </c>
      <c r="S162" s="101" t="s">
        <v>17</v>
      </c>
      <c r="T162" s="101">
        <v>0</v>
      </c>
      <c r="U162" s="101" t="s">
        <v>18</v>
      </c>
      <c r="V162" s="12" t="s">
        <v>18</v>
      </c>
      <c r="W162" s="101" t="s">
        <v>18</v>
      </c>
      <c r="X162" s="101" t="s">
        <v>18</v>
      </c>
      <c r="Y162" s="101" t="s">
        <v>18</v>
      </c>
      <c r="Z162" s="101" t="s">
        <v>18</v>
      </c>
      <c r="AA162" s="101" t="s">
        <v>18</v>
      </c>
      <c r="AC162" s="101">
        <v>39</v>
      </c>
      <c r="AD162" s="101" t="s">
        <v>389</v>
      </c>
      <c r="AE162" s="20">
        <v>44335.403101851851</v>
      </c>
      <c r="AF162" s="101" t="s">
        <v>25</v>
      </c>
      <c r="AG162" s="101" t="s">
        <v>17</v>
      </c>
      <c r="AH162" s="101">
        <v>0</v>
      </c>
      <c r="AI162" s="101">
        <v>12.199</v>
      </c>
      <c r="AJ162" s="12">
        <v>2113</v>
      </c>
      <c r="AK162" s="101">
        <v>0.43099999999999999</v>
      </c>
      <c r="AL162" s="101" t="s">
        <v>18</v>
      </c>
      <c r="AM162" s="101" t="s">
        <v>18</v>
      </c>
      <c r="AN162" s="101" t="s">
        <v>18</v>
      </c>
      <c r="AO162" s="101" t="s">
        <v>18</v>
      </c>
      <c r="AQ162" s="101">
        <v>1</v>
      </c>
      <c r="AS162" s="7">
        <v>118</v>
      </c>
      <c r="AT162" s="23">
        <f t="shared" si="24"/>
        <v>3.0546925764500017</v>
      </c>
      <c r="AU162" s="103">
        <f t="shared" si="25"/>
        <v>400.07500285606</v>
      </c>
      <c r="AV162" s="101">
        <f t="shared" si="17"/>
        <v>3.0546925764500017</v>
      </c>
      <c r="AW162" s="60">
        <f t="shared" si="18"/>
        <v>2.9831108412499994</v>
      </c>
      <c r="AX162" s="61">
        <f t="shared" si="19"/>
        <v>426.29994644986999</v>
      </c>
      <c r="AZ162" s="23">
        <f t="shared" si="20"/>
        <v>3.0546925764500017</v>
      </c>
      <c r="BA162" s="103">
        <f t="shared" si="21"/>
        <v>400.07500285606</v>
      </c>
      <c r="BC162" s="104">
        <f t="shared" si="22"/>
        <v>1.4487436757000001</v>
      </c>
      <c r="BD162" s="105">
        <f t="shared" si="23"/>
        <v>332.94315909512</v>
      </c>
      <c r="BF162" s="115">
        <f t="shared" si="15"/>
        <v>-0.15473205120000033</v>
      </c>
      <c r="BG162" s="116">
        <f t="shared" si="16"/>
        <v>200.40529132</v>
      </c>
    </row>
    <row r="163" spans="1:59" s="101" customFormat="1" ht="14.4" x14ac:dyDescent="0.3">
      <c r="A163" s="101">
        <v>39</v>
      </c>
      <c r="B163" s="101" t="s">
        <v>390</v>
      </c>
      <c r="C163" s="20">
        <v>44336.708981481483</v>
      </c>
      <c r="D163" s="101" t="s">
        <v>25</v>
      </c>
      <c r="E163" s="101" t="s">
        <v>17</v>
      </c>
      <c r="F163" s="101">
        <v>0</v>
      </c>
      <c r="G163" s="101">
        <v>6.11</v>
      </c>
      <c r="H163" s="12">
        <v>2187</v>
      </c>
      <c r="I163" s="101">
        <v>0</v>
      </c>
      <c r="J163" s="101" t="s">
        <v>18</v>
      </c>
      <c r="K163" s="101" t="s">
        <v>18</v>
      </c>
      <c r="L163" s="101" t="s">
        <v>18</v>
      </c>
      <c r="M163" s="101" t="s">
        <v>18</v>
      </c>
      <c r="O163" s="101">
        <v>39</v>
      </c>
      <c r="P163" s="101" t="s">
        <v>390</v>
      </c>
      <c r="Q163" s="20">
        <v>44336.708981481483</v>
      </c>
      <c r="R163" s="101" t="s">
        <v>25</v>
      </c>
      <c r="S163" s="101" t="s">
        <v>17</v>
      </c>
      <c r="T163" s="101">
        <v>0</v>
      </c>
      <c r="U163" s="101" t="s">
        <v>18</v>
      </c>
      <c r="V163" s="101" t="s">
        <v>18</v>
      </c>
      <c r="W163" s="101" t="s">
        <v>18</v>
      </c>
      <c r="X163" s="101" t="s">
        <v>18</v>
      </c>
      <c r="Y163" s="101" t="s">
        <v>18</v>
      </c>
      <c r="Z163" s="101" t="s">
        <v>18</v>
      </c>
      <c r="AA163" s="101" t="s">
        <v>18</v>
      </c>
      <c r="AC163" s="101">
        <v>39</v>
      </c>
      <c r="AD163" s="101" t="s">
        <v>390</v>
      </c>
      <c r="AE163" s="20">
        <v>44336.708981481483</v>
      </c>
      <c r="AF163" s="101" t="s">
        <v>25</v>
      </c>
      <c r="AG163" s="101" t="s">
        <v>17</v>
      </c>
      <c r="AH163" s="101">
        <v>0</v>
      </c>
      <c r="AI163" s="101">
        <v>12.225</v>
      </c>
      <c r="AJ163" s="12">
        <v>1796</v>
      </c>
      <c r="AK163" s="101">
        <v>0.36799999999999999</v>
      </c>
      <c r="AL163" s="101" t="s">
        <v>18</v>
      </c>
      <c r="AM163" s="101" t="s">
        <v>18</v>
      </c>
      <c r="AN163" s="101" t="s">
        <v>18</v>
      </c>
      <c r="AO163" s="101" t="s">
        <v>18</v>
      </c>
      <c r="AQ163" s="101">
        <v>1</v>
      </c>
      <c r="AS163" s="7">
        <v>119</v>
      </c>
      <c r="AT163" s="23">
        <f t="shared" si="24"/>
        <v>1.3687279464500008</v>
      </c>
      <c r="AU163" s="103">
        <f t="shared" si="25"/>
        <v>339.48475148384</v>
      </c>
      <c r="AV163" s="101">
        <f t="shared" si="17"/>
        <v>1.3687279464500008</v>
      </c>
      <c r="AW163" s="60">
        <f t="shared" si="18"/>
        <v>1.646473091249999</v>
      </c>
      <c r="AX163" s="61">
        <f t="shared" si="19"/>
        <v>367.60592808368</v>
      </c>
      <c r="AZ163" s="23">
        <f t="shared" si="20"/>
        <v>1.3687279464500008</v>
      </c>
      <c r="BA163" s="103">
        <f t="shared" si="21"/>
        <v>339.48475148384</v>
      </c>
      <c r="BC163" s="104">
        <f t="shared" si="22"/>
        <v>0.71589169570000011</v>
      </c>
      <c r="BD163" s="105">
        <f t="shared" si="23"/>
        <v>267.45088227968</v>
      </c>
      <c r="BF163" s="115">
        <f t="shared" si="15"/>
        <v>-0.87273997120000013</v>
      </c>
      <c r="BG163" s="116">
        <f t="shared" si="16"/>
        <v>168.03498847999998</v>
      </c>
    </row>
    <row r="164" spans="1:59" s="101" customFormat="1" ht="14.4" x14ac:dyDescent="0.3">
      <c r="A164" s="101">
        <v>39</v>
      </c>
      <c r="B164" s="101" t="s">
        <v>391</v>
      </c>
      <c r="C164" s="20">
        <v>44340.400763888887</v>
      </c>
      <c r="D164" s="101" t="s">
        <v>25</v>
      </c>
      <c r="E164" s="101" t="s">
        <v>17</v>
      </c>
      <c r="F164" s="101">
        <v>0</v>
      </c>
      <c r="G164" s="101">
        <v>6.1159999999999997</v>
      </c>
      <c r="H164" s="12">
        <v>2045</v>
      </c>
      <c r="I164" s="101">
        <v>-1E-3</v>
      </c>
      <c r="J164" s="101" t="s">
        <v>18</v>
      </c>
      <c r="K164" s="101" t="s">
        <v>18</v>
      </c>
      <c r="L164" s="101" t="s">
        <v>18</v>
      </c>
      <c r="M164" s="101" t="s">
        <v>18</v>
      </c>
      <c r="O164" s="101">
        <v>39</v>
      </c>
      <c r="P164" s="101" t="s">
        <v>391</v>
      </c>
      <c r="Q164" s="20">
        <v>44340.400763888887</v>
      </c>
      <c r="R164" s="101" t="s">
        <v>25</v>
      </c>
      <c r="S164" s="101" t="s">
        <v>17</v>
      </c>
      <c r="T164" s="101">
        <v>0</v>
      </c>
      <c r="U164" s="101" t="s">
        <v>18</v>
      </c>
      <c r="V164" s="12" t="s">
        <v>18</v>
      </c>
      <c r="W164" s="101" t="s">
        <v>18</v>
      </c>
      <c r="X164" s="101" t="s">
        <v>18</v>
      </c>
      <c r="Y164" s="101" t="s">
        <v>18</v>
      </c>
      <c r="Z164" s="101" t="s">
        <v>18</v>
      </c>
      <c r="AA164" s="101" t="s">
        <v>18</v>
      </c>
      <c r="AC164" s="101">
        <v>39</v>
      </c>
      <c r="AD164" s="101" t="s">
        <v>391</v>
      </c>
      <c r="AE164" s="20">
        <v>44340.400763888887</v>
      </c>
      <c r="AF164" s="101" t="s">
        <v>25</v>
      </c>
      <c r="AG164" s="101" t="s">
        <v>17</v>
      </c>
      <c r="AH164" s="101">
        <v>0</v>
      </c>
      <c r="AI164" s="101">
        <v>12.239000000000001</v>
      </c>
      <c r="AJ164" s="12">
        <v>2300</v>
      </c>
      <c r="AK164" s="101">
        <v>0.46899999999999997</v>
      </c>
      <c r="AL164" s="101" t="s">
        <v>18</v>
      </c>
      <c r="AM164" s="101" t="s">
        <v>18</v>
      </c>
      <c r="AN164" s="101" t="s">
        <v>18</v>
      </c>
      <c r="AO164" s="101" t="s">
        <v>18</v>
      </c>
      <c r="AQ164" s="101">
        <v>1</v>
      </c>
      <c r="AS164" s="7">
        <v>120</v>
      </c>
      <c r="AT164" s="23">
        <f t="shared" si="24"/>
        <v>0.86068665124999999</v>
      </c>
      <c r="AU164" s="103">
        <f t="shared" si="25"/>
        <v>435.81598460000004</v>
      </c>
      <c r="AV164" s="101">
        <f t="shared" si="17"/>
        <v>0.86068665124999999</v>
      </c>
      <c r="AW164" s="60">
        <f t="shared" si="18"/>
        <v>1.249593031249999</v>
      </c>
      <c r="AX164" s="61">
        <f t="shared" si="19"/>
        <v>460.91794670000002</v>
      </c>
      <c r="AZ164" s="23">
        <f t="shared" si="20"/>
        <v>0.86068665124999999</v>
      </c>
      <c r="BA164" s="103">
        <f t="shared" si="21"/>
        <v>435.81598460000004</v>
      </c>
      <c r="BC164" s="104">
        <f t="shared" si="22"/>
        <v>0.51001873250000007</v>
      </c>
      <c r="BD164" s="105">
        <f t="shared" si="23"/>
        <v>371.57499919999998</v>
      </c>
      <c r="BF164" s="115">
        <f t="shared" si="15"/>
        <v>-1.0856017200000001</v>
      </c>
      <c r="BG164" s="116">
        <f t="shared" si="16"/>
        <v>219.33859999999999</v>
      </c>
    </row>
    <row r="165" spans="1:59" s="101" customFormat="1" ht="14.4" x14ac:dyDescent="0.3">
      <c r="A165" s="101">
        <v>39</v>
      </c>
      <c r="B165" s="101" t="s">
        <v>392</v>
      </c>
      <c r="C165" s="20">
        <v>44341.434062499997</v>
      </c>
      <c r="D165" s="101" t="s">
        <v>25</v>
      </c>
      <c r="E165" s="101" t="s">
        <v>17</v>
      </c>
      <c r="F165" s="101">
        <v>0</v>
      </c>
      <c r="G165" s="101">
        <v>6.1079999999999997</v>
      </c>
      <c r="H165" s="12">
        <v>2317</v>
      </c>
      <c r="I165" s="101">
        <v>0</v>
      </c>
      <c r="J165" s="101" t="s">
        <v>18</v>
      </c>
      <c r="K165" s="101" t="s">
        <v>18</v>
      </c>
      <c r="L165" s="101" t="s">
        <v>18</v>
      </c>
      <c r="M165" s="101" t="s">
        <v>18</v>
      </c>
      <c r="O165" s="101">
        <v>39</v>
      </c>
      <c r="P165" s="101" t="s">
        <v>392</v>
      </c>
      <c r="Q165" s="20">
        <v>44341.434062499997</v>
      </c>
      <c r="R165" s="101" t="s">
        <v>25</v>
      </c>
      <c r="S165" s="101" t="s">
        <v>17</v>
      </c>
      <c r="T165" s="101">
        <v>0</v>
      </c>
      <c r="U165" s="101" t="s">
        <v>18</v>
      </c>
      <c r="V165" s="12" t="s">
        <v>18</v>
      </c>
      <c r="W165" s="101" t="s">
        <v>18</v>
      </c>
      <c r="X165" s="101" t="s">
        <v>18</v>
      </c>
      <c r="Y165" s="101" t="s">
        <v>18</v>
      </c>
      <c r="Z165" s="101" t="s">
        <v>18</v>
      </c>
      <c r="AA165" s="101" t="s">
        <v>18</v>
      </c>
      <c r="AC165" s="101">
        <v>39</v>
      </c>
      <c r="AD165" s="101" t="s">
        <v>392</v>
      </c>
      <c r="AE165" s="20">
        <v>44341.434062499997</v>
      </c>
      <c r="AF165" s="101" t="s">
        <v>25</v>
      </c>
      <c r="AG165" s="101" t="s">
        <v>17</v>
      </c>
      <c r="AH165" s="101">
        <v>0</v>
      </c>
      <c r="AI165" s="101">
        <v>12.234</v>
      </c>
      <c r="AJ165" s="12">
        <v>2361</v>
      </c>
      <c r="AK165" s="101">
        <v>0.48099999999999998</v>
      </c>
      <c r="AL165" s="101" t="s">
        <v>18</v>
      </c>
      <c r="AM165" s="101" t="s">
        <v>18</v>
      </c>
      <c r="AN165" s="101" t="s">
        <v>18</v>
      </c>
      <c r="AO165" s="101" t="s">
        <v>18</v>
      </c>
      <c r="AQ165" s="101">
        <v>1</v>
      </c>
      <c r="AS165" s="7">
        <v>121</v>
      </c>
      <c r="AT165" s="23">
        <f t="shared" si="24"/>
        <v>1.831787062450001</v>
      </c>
      <c r="AU165" s="103">
        <f t="shared" si="25"/>
        <v>447.47456154053998</v>
      </c>
      <c r="AV165" s="101">
        <f t="shared" si="17"/>
        <v>1.831787062450001</v>
      </c>
      <c r="AW165" s="60">
        <f t="shared" si="18"/>
        <v>2.0105653912499992</v>
      </c>
      <c r="AX165" s="61">
        <f t="shared" si="19"/>
        <v>472.20949987082997</v>
      </c>
      <c r="AZ165" s="23">
        <f t="shared" si="20"/>
        <v>1.831787062450001</v>
      </c>
      <c r="BA165" s="103">
        <f t="shared" si="21"/>
        <v>447.47456154053998</v>
      </c>
      <c r="BC165" s="104">
        <f t="shared" si="22"/>
        <v>0.90950475169999989</v>
      </c>
      <c r="BD165" s="105">
        <f t="shared" si="23"/>
        <v>384.17644332807998</v>
      </c>
      <c r="BF165" s="115">
        <f t="shared" si="15"/>
        <v>-0.67732906719999963</v>
      </c>
      <c r="BG165" s="116">
        <f t="shared" si="16"/>
        <v>225.48868587999999</v>
      </c>
    </row>
    <row r="166" spans="1:59" s="101" customFormat="1" ht="14.4" x14ac:dyDescent="0.3">
      <c r="A166" s="101">
        <v>39</v>
      </c>
      <c r="B166" s="101" t="s">
        <v>393</v>
      </c>
      <c r="C166" s="20">
        <v>44342.415543981479</v>
      </c>
      <c r="D166" s="101" t="s">
        <v>25</v>
      </c>
      <c r="E166" s="101" t="s">
        <v>17</v>
      </c>
      <c r="F166" s="101">
        <v>0</v>
      </c>
      <c r="G166" s="101">
        <v>6.1070000000000002</v>
      </c>
      <c r="H166" s="12">
        <v>2401</v>
      </c>
      <c r="I166" s="101">
        <v>0</v>
      </c>
      <c r="J166" s="101" t="s">
        <v>18</v>
      </c>
      <c r="K166" s="101" t="s">
        <v>18</v>
      </c>
      <c r="L166" s="101" t="s">
        <v>18</v>
      </c>
      <c r="M166" s="101" t="s">
        <v>18</v>
      </c>
      <c r="O166" s="101">
        <v>39</v>
      </c>
      <c r="P166" s="101" t="s">
        <v>393</v>
      </c>
      <c r="Q166" s="20">
        <v>44342.415543981479</v>
      </c>
      <c r="R166" s="101" t="s">
        <v>25</v>
      </c>
      <c r="S166" s="101" t="s">
        <v>17</v>
      </c>
      <c r="T166" s="101">
        <v>0</v>
      </c>
      <c r="U166" s="101" t="s">
        <v>18</v>
      </c>
      <c r="V166" s="12" t="s">
        <v>18</v>
      </c>
      <c r="W166" s="101" t="s">
        <v>18</v>
      </c>
      <c r="X166" s="101" t="s">
        <v>18</v>
      </c>
      <c r="Y166" s="101" t="s">
        <v>18</v>
      </c>
      <c r="Z166" s="101" t="s">
        <v>18</v>
      </c>
      <c r="AA166" s="101" t="s">
        <v>18</v>
      </c>
      <c r="AC166" s="101">
        <v>39</v>
      </c>
      <c r="AD166" s="101" t="s">
        <v>393</v>
      </c>
      <c r="AE166" s="20">
        <v>44342.415543981479</v>
      </c>
      <c r="AF166" s="101" t="s">
        <v>25</v>
      </c>
      <c r="AG166" s="101" t="s">
        <v>17</v>
      </c>
      <c r="AH166" s="101">
        <v>0</v>
      </c>
      <c r="AI166" s="101">
        <v>12.215999999999999</v>
      </c>
      <c r="AJ166" s="12">
        <v>2108</v>
      </c>
      <c r="AK166" s="101">
        <v>0.43</v>
      </c>
      <c r="AL166" s="101" t="s">
        <v>18</v>
      </c>
      <c r="AM166" s="101" t="s">
        <v>18</v>
      </c>
      <c r="AN166" s="101" t="s">
        <v>18</v>
      </c>
      <c r="AO166" s="101" t="s">
        <v>18</v>
      </c>
      <c r="AQ166" s="101">
        <v>1</v>
      </c>
      <c r="AS166" s="7">
        <v>122</v>
      </c>
      <c r="AT166" s="23">
        <f t="shared" si="24"/>
        <v>2.129952782050001</v>
      </c>
      <c r="AU166" s="103">
        <f t="shared" si="25"/>
        <v>399.11934602335998</v>
      </c>
      <c r="AV166" s="101">
        <f t="shared" si="17"/>
        <v>2.129952782050001</v>
      </c>
      <c r="AW166" s="60">
        <f t="shared" si="18"/>
        <v>2.2462070212499992</v>
      </c>
      <c r="AX166" s="61">
        <f t="shared" si="19"/>
        <v>425.37427121072005</v>
      </c>
      <c r="AZ166" s="23">
        <f t="shared" si="20"/>
        <v>2.129952782050001</v>
      </c>
      <c r="BA166" s="103">
        <f t="shared" si="21"/>
        <v>399.11934602335998</v>
      </c>
      <c r="BC166" s="104">
        <f t="shared" si="22"/>
        <v>1.0372204853</v>
      </c>
      <c r="BD166" s="105">
        <f t="shared" si="23"/>
        <v>331.91019769472001</v>
      </c>
      <c r="BF166" s="115">
        <f t="shared" si="15"/>
        <v>-0.55079032480000034</v>
      </c>
      <c r="BG166" s="116">
        <f t="shared" si="16"/>
        <v>199.89740191999999</v>
      </c>
    </row>
    <row r="167" spans="1:59" s="101" customFormat="1" ht="14.4" x14ac:dyDescent="0.3">
      <c r="A167" s="101">
        <v>39</v>
      </c>
      <c r="B167" s="101" t="s">
        <v>394</v>
      </c>
      <c r="C167" s="20">
        <v>44348.458194444444</v>
      </c>
      <c r="D167" s="101" t="s">
        <v>25</v>
      </c>
      <c r="E167" s="101" t="s">
        <v>17</v>
      </c>
      <c r="F167" s="101">
        <v>0</v>
      </c>
      <c r="G167" s="101">
        <v>6.0659999999999998</v>
      </c>
      <c r="H167" s="12">
        <v>2321</v>
      </c>
      <c r="I167" s="101">
        <v>0</v>
      </c>
      <c r="J167" s="101" t="s">
        <v>18</v>
      </c>
      <c r="K167" s="101" t="s">
        <v>18</v>
      </c>
      <c r="L167" s="101" t="s">
        <v>18</v>
      </c>
      <c r="M167" s="101" t="s">
        <v>18</v>
      </c>
      <c r="O167" s="101">
        <v>39</v>
      </c>
      <c r="P167" s="101" t="s">
        <v>394</v>
      </c>
      <c r="Q167" s="20">
        <v>44348.458194444444</v>
      </c>
      <c r="R167" s="101" t="s">
        <v>25</v>
      </c>
      <c r="S167" s="101" t="s">
        <v>17</v>
      </c>
      <c r="T167" s="101">
        <v>0</v>
      </c>
      <c r="U167" s="101" t="s">
        <v>18</v>
      </c>
      <c r="V167" s="101" t="s">
        <v>18</v>
      </c>
      <c r="W167" s="101" t="s">
        <v>18</v>
      </c>
      <c r="X167" s="101" t="s">
        <v>18</v>
      </c>
      <c r="Y167" s="101" t="s">
        <v>18</v>
      </c>
      <c r="Z167" s="101" t="s">
        <v>18</v>
      </c>
      <c r="AA167" s="101" t="s">
        <v>18</v>
      </c>
      <c r="AC167" s="101">
        <v>39</v>
      </c>
      <c r="AD167" s="101" t="s">
        <v>394</v>
      </c>
      <c r="AE167" s="20">
        <v>44348.458194444444</v>
      </c>
      <c r="AF167" s="101" t="s">
        <v>25</v>
      </c>
      <c r="AG167" s="101" t="s">
        <v>17</v>
      </c>
      <c r="AH167" s="101">
        <v>0</v>
      </c>
      <c r="AI167" s="101">
        <v>12.206</v>
      </c>
      <c r="AJ167" s="12">
        <v>1557</v>
      </c>
      <c r="AK167" s="101">
        <v>0.32</v>
      </c>
      <c r="AL167" s="101" t="s">
        <v>18</v>
      </c>
      <c r="AM167" s="101" t="s">
        <v>18</v>
      </c>
      <c r="AN167" s="101" t="s">
        <v>18</v>
      </c>
      <c r="AO167" s="101" t="s">
        <v>18</v>
      </c>
      <c r="AQ167" s="101">
        <v>1</v>
      </c>
      <c r="AS167" s="7">
        <v>123</v>
      </c>
      <c r="AT167" s="23">
        <f t="shared" si="24"/>
        <v>1.8460039740499994</v>
      </c>
      <c r="AU167" s="103">
        <f t="shared" si="25"/>
        <v>293.80098171125996</v>
      </c>
      <c r="AV167" s="101">
        <f t="shared" si="17"/>
        <v>1.8460039740499994</v>
      </c>
      <c r="AW167" s="60">
        <f t="shared" si="18"/>
        <v>2.0217796212499994</v>
      </c>
      <c r="AX167" s="61">
        <f t="shared" si="19"/>
        <v>323.34562989027</v>
      </c>
      <c r="AZ167" s="23">
        <f t="shared" si="20"/>
        <v>1.8460039740499994</v>
      </c>
      <c r="BA167" s="103">
        <f t="shared" si="21"/>
        <v>293.80098171125996</v>
      </c>
      <c r="BC167" s="104">
        <f t="shared" si="22"/>
        <v>0.91553995729999982</v>
      </c>
      <c r="BD167" s="105">
        <f t="shared" si="23"/>
        <v>218.07003316552004</v>
      </c>
      <c r="BF167" s="115">
        <f t="shared" si="15"/>
        <v>-0.67130827680000005</v>
      </c>
      <c r="BG167" s="116">
        <f t="shared" si="16"/>
        <v>143.40105771999998</v>
      </c>
    </row>
    <row r="168" spans="1:59" s="101" customFormat="1" ht="14.4" x14ac:dyDescent="0.3">
      <c r="A168" s="101">
        <v>39</v>
      </c>
      <c r="B168" s="101" t="s">
        <v>395</v>
      </c>
      <c r="C168" s="20">
        <v>44350.430763888886</v>
      </c>
      <c r="D168" s="101" t="s">
        <v>25</v>
      </c>
      <c r="E168" s="101" t="s">
        <v>17</v>
      </c>
      <c r="F168" s="101">
        <v>0</v>
      </c>
      <c r="G168" s="101">
        <v>6.0490000000000004</v>
      </c>
      <c r="H168" s="12">
        <v>1105</v>
      </c>
      <c r="I168" s="101">
        <v>-2E-3</v>
      </c>
      <c r="J168" s="101" t="s">
        <v>18</v>
      </c>
      <c r="K168" s="101" t="s">
        <v>18</v>
      </c>
      <c r="L168" s="101" t="s">
        <v>18</v>
      </c>
      <c r="M168" s="101" t="s">
        <v>18</v>
      </c>
      <c r="O168" s="101">
        <v>39</v>
      </c>
      <c r="P168" s="101" t="s">
        <v>395</v>
      </c>
      <c r="Q168" s="20">
        <v>44350.430763888886</v>
      </c>
      <c r="R168" s="101" t="s">
        <v>25</v>
      </c>
      <c r="S168" s="101" t="s">
        <v>17</v>
      </c>
      <c r="T168" s="101">
        <v>0</v>
      </c>
      <c r="U168" s="101" t="s">
        <v>18</v>
      </c>
      <c r="V168" s="101" t="s">
        <v>18</v>
      </c>
      <c r="W168" s="101" t="s">
        <v>18</v>
      </c>
      <c r="X168" s="101" t="s">
        <v>18</v>
      </c>
      <c r="Y168" s="101" t="s">
        <v>18</v>
      </c>
      <c r="Z168" s="101" t="s">
        <v>18</v>
      </c>
      <c r="AA168" s="101" t="s">
        <v>18</v>
      </c>
      <c r="AC168" s="101">
        <v>39</v>
      </c>
      <c r="AD168" s="101" t="s">
        <v>395</v>
      </c>
      <c r="AE168" s="20">
        <v>44350.430763888886</v>
      </c>
      <c r="AF168" s="101" t="s">
        <v>25</v>
      </c>
      <c r="AG168" s="101" t="s">
        <v>17</v>
      </c>
      <c r="AH168" s="101">
        <v>0</v>
      </c>
      <c r="AI168" s="101">
        <v>12.218999999999999</v>
      </c>
      <c r="AJ168" s="12">
        <v>1757</v>
      </c>
      <c r="AK168" s="101">
        <v>0.36</v>
      </c>
      <c r="AL168" s="101" t="s">
        <v>18</v>
      </c>
      <c r="AM168" s="101" t="s">
        <v>18</v>
      </c>
      <c r="AN168" s="101" t="s">
        <v>18</v>
      </c>
      <c r="AO168" s="101" t="s">
        <v>18</v>
      </c>
      <c r="AQ168" s="101">
        <v>1</v>
      </c>
      <c r="AS168" s="7">
        <v>124</v>
      </c>
      <c r="AT168" s="23">
        <f t="shared" si="24"/>
        <v>-2.5613433987500001</v>
      </c>
      <c r="AU168" s="103">
        <f t="shared" si="25"/>
        <v>332.03020458326</v>
      </c>
      <c r="AV168" s="101">
        <f t="shared" si="17"/>
        <v>0</v>
      </c>
      <c r="AW168" s="60">
        <f t="shared" si="18"/>
        <v>-1.3560282187500006</v>
      </c>
      <c r="AX168" s="61">
        <f t="shared" si="19"/>
        <v>360.38402593427003</v>
      </c>
      <c r="AZ168" s="23">
        <f t="shared" si="20"/>
        <v>-2.5613433987500001</v>
      </c>
      <c r="BA168" s="103">
        <f t="shared" si="21"/>
        <v>332.03020458326</v>
      </c>
      <c r="BC168" s="104">
        <f t="shared" si="22"/>
        <v>-0.70502056749999986</v>
      </c>
      <c r="BD168" s="105">
        <f t="shared" si="23"/>
        <v>259.39311850951998</v>
      </c>
      <c r="BF168" s="115">
        <f t="shared" si="15"/>
        <v>-2.4792269199999999</v>
      </c>
      <c r="BG168" s="116">
        <f t="shared" si="16"/>
        <v>164.02864172</v>
      </c>
    </row>
    <row r="169" spans="1:59" s="101" customFormat="1" ht="14.4" x14ac:dyDescent="0.3">
      <c r="A169" s="101">
        <v>39</v>
      </c>
      <c r="B169" s="101" t="s">
        <v>396</v>
      </c>
      <c r="C169" s="20">
        <v>44361.486192129632</v>
      </c>
      <c r="D169" s="101" t="s">
        <v>25</v>
      </c>
      <c r="E169" s="101" t="s">
        <v>17</v>
      </c>
      <c r="F169" s="101">
        <v>0</v>
      </c>
      <c r="G169" s="101">
        <v>6.0469999999999997</v>
      </c>
      <c r="H169" s="12">
        <v>942</v>
      </c>
      <c r="I169" s="101">
        <v>-3.0000000000000001E-3</v>
      </c>
      <c r="J169" s="101" t="s">
        <v>18</v>
      </c>
      <c r="K169" s="101" t="s">
        <v>18</v>
      </c>
      <c r="L169" s="101" t="s">
        <v>18</v>
      </c>
      <c r="M169" s="101" t="s">
        <v>18</v>
      </c>
      <c r="O169" s="101">
        <v>39</v>
      </c>
      <c r="P169" s="101" t="s">
        <v>396</v>
      </c>
      <c r="Q169" s="20">
        <v>44361.486192129632</v>
      </c>
      <c r="R169" s="101" t="s">
        <v>25</v>
      </c>
      <c r="S169" s="101" t="s">
        <v>17</v>
      </c>
      <c r="T169" s="101">
        <v>0</v>
      </c>
      <c r="U169" s="101" t="s">
        <v>18</v>
      </c>
      <c r="V169" s="101" t="s">
        <v>18</v>
      </c>
      <c r="W169" s="101" t="s">
        <v>18</v>
      </c>
      <c r="X169" s="101" t="s">
        <v>18</v>
      </c>
      <c r="Y169" s="101" t="s">
        <v>18</v>
      </c>
      <c r="Z169" s="101" t="s">
        <v>18</v>
      </c>
      <c r="AA169" s="101" t="s">
        <v>18</v>
      </c>
      <c r="AC169" s="101">
        <v>39</v>
      </c>
      <c r="AD169" s="101" t="s">
        <v>396</v>
      </c>
      <c r="AE169" s="20">
        <v>44361.486192129632</v>
      </c>
      <c r="AF169" s="101" t="s">
        <v>25</v>
      </c>
      <c r="AG169" s="101" t="s">
        <v>17</v>
      </c>
      <c r="AH169" s="101">
        <v>0</v>
      </c>
      <c r="AI169" s="101">
        <v>12.215</v>
      </c>
      <c r="AJ169" s="12">
        <v>2445</v>
      </c>
      <c r="AK169" s="101">
        <v>0.497</v>
      </c>
      <c r="AL169" s="101" t="s">
        <v>18</v>
      </c>
      <c r="AM169" s="101" t="s">
        <v>18</v>
      </c>
      <c r="AN169" s="101" t="s">
        <v>18</v>
      </c>
      <c r="AO169" s="101" t="s">
        <v>18</v>
      </c>
      <c r="AQ169" s="101">
        <v>1</v>
      </c>
      <c r="AS169" s="7">
        <v>125</v>
      </c>
      <c r="AT169" s="23">
        <f t="shared" si="24"/>
        <v>-3.1651567437999999</v>
      </c>
      <c r="AU169" s="103">
        <f t="shared" si="25"/>
        <v>463.52879731350004</v>
      </c>
      <c r="AV169" s="101">
        <f t="shared" si="17"/>
        <v>0</v>
      </c>
      <c r="AW169" s="60">
        <f t="shared" si="18"/>
        <v>-1.8040335150000004</v>
      </c>
      <c r="AX169" s="61">
        <f t="shared" si="19"/>
        <v>487.75775937074997</v>
      </c>
      <c r="AZ169" s="23">
        <f t="shared" si="20"/>
        <v>-3.1651567437999999</v>
      </c>
      <c r="BA169" s="103">
        <f t="shared" si="21"/>
        <v>463.52879731350004</v>
      </c>
      <c r="BC169" s="104">
        <f t="shared" si="22"/>
        <v>-0.8895902108</v>
      </c>
      <c r="BD169" s="105">
        <f t="shared" si="23"/>
        <v>401.52894080199997</v>
      </c>
      <c r="BF169" s="115">
        <f t="shared" si="15"/>
        <v>-2.7181546671999999</v>
      </c>
      <c r="BG169" s="116">
        <f t="shared" si="16"/>
        <v>233.93670700000001</v>
      </c>
    </row>
    <row r="170" spans="1:59" s="101" customFormat="1" ht="14.4" x14ac:dyDescent="0.3">
      <c r="A170" s="101">
        <v>39</v>
      </c>
      <c r="B170" s="101" t="s">
        <v>397</v>
      </c>
      <c r="C170" s="20">
        <v>44362.380115740743</v>
      </c>
      <c r="D170" s="101" t="s">
        <v>25</v>
      </c>
      <c r="E170" s="101" t="s">
        <v>17</v>
      </c>
      <c r="F170" s="101">
        <v>0</v>
      </c>
      <c r="G170" s="101">
        <v>6.0860000000000003</v>
      </c>
      <c r="H170" s="12">
        <v>1131</v>
      </c>
      <c r="I170" s="101">
        <v>-2E-3</v>
      </c>
      <c r="J170" s="101" t="s">
        <v>18</v>
      </c>
      <c r="K170" s="101" t="s">
        <v>18</v>
      </c>
      <c r="L170" s="101" t="s">
        <v>18</v>
      </c>
      <c r="M170" s="101" t="s">
        <v>18</v>
      </c>
      <c r="O170" s="101">
        <v>39</v>
      </c>
      <c r="P170" s="101" t="s">
        <v>397</v>
      </c>
      <c r="Q170" s="20">
        <v>44362.380115740743</v>
      </c>
      <c r="R170" s="101" t="s">
        <v>25</v>
      </c>
      <c r="S170" s="101" t="s">
        <v>17</v>
      </c>
      <c r="T170" s="101">
        <v>0</v>
      </c>
      <c r="U170" s="101" t="s">
        <v>18</v>
      </c>
      <c r="V170" s="101" t="s">
        <v>18</v>
      </c>
      <c r="W170" s="101" t="s">
        <v>18</v>
      </c>
      <c r="X170" s="101" t="s">
        <v>18</v>
      </c>
      <c r="Y170" s="101" t="s">
        <v>18</v>
      </c>
      <c r="Z170" s="101" t="s">
        <v>18</v>
      </c>
      <c r="AA170" s="101" t="s">
        <v>18</v>
      </c>
      <c r="AC170" s="101">
        <v>39</v>
      </c>
      <c r="AD170" s="101" t="s">
        <v>397</v>
      </c>
      <c r="AE170" s="20">
        <v>44362.380115740743</v>
      </c>
      <c r="AF170" s="101" t="s">
        <v>25</v>
      </c>
      <c r="AG170" s="101" t="s">
        <v>17</v>
      </c>
      <c r="AH170" s="101">
        <v>0</v>
      </c>
      <c r="AI170" s="101">
        <v>12.237</v>
      </c>
      <c r="AJ170" s="12">
        <v>1884</v>
      </c>
      <c r="AK170" s="101">
        <v>0.38500000000000001</v>
      </c>
      <c r="AL170" s="101" t="s">
        <v>18</v>
      </c>
      <c r="AM170" s="101" t="s">
        <v>18</v>
      </c>
      <c r="AN170" s="101" t="s">
        <v>18</v>
      </c>
      <c r="AO170" s="101" t="s">
        <v>18</v>
      </c>
      <c r="AQ170" s="101">
        <v>1</v>
      </c>
      <c r="AS170" s="7">
        <v>126</v>
      </c>
      <c r="AT170" s="23">
        <f t="shared" si="24"/>
        <v>-2.4653143799499997</v>
      </c>
      <c r="AU170" s="103">
        <f t="shared" si="25"/>
        <v>356.30508584543998</v>
      </c>
      <c r="AV170" s="101">
        <f t="shared" si="17"/>
        <v>0</v>
      </c>
      <c r="AW170" s="60">
        <f t="shared" si="18"/>
        <v>-1.2844628287500006</v>
      </c>
      <c r="AX170" s="61">
        <f t="shared" si="19"/>
        <v>383.90080064687999</v>
      </c>
      <c r="AZ170" s="23">
        <f t="shared" si="20"/>
        <v>-2.4653143799499997</v>
      </c>
      <c r="BA170" s="103">
        <f t="shared" si="21"/>
        <v>356.30508584543998</v>
      </c>
      <c r="BC170" s="104">
        <f t="shared" si="22"/>
        <v>-0.67486600670000008</v>
      </c>
      <c r="BD170" s="105">
        <f t="shared" si="23"/>
        <v>285.63221788288001</v>
      </c>
      <c r="BF170" s="115">
        <f t="shared" si="15"/>
        <v>-2.4410410528000002</v>
      </c>
      <c r="BG170" s="116">
        <f t="shared" si="16"/>
        <v>177.05572768000002</v>
      </c>
    </row>
    <row r="171" spans="1:59" s="101" customFormat="1" ht="14.4" x14ac:dyDescent="0.3">
      <c r="A171" s="101">
        <v>39</v>
      </c>
      <c r="B171" s="101" t="s">
        <v>398</v>
      </c>
      <c r="C171" s="20">
        <v>44370.476168981484</v>
      </c>
      <c r="D171" s="101" t="s">
        <v>25</v>
      </c>
      <c r="E171" s="101" t="s">
        <v>17</v>
      </c>
      <c r="F171" s="101">
        <v>0</v>
      </c>
      <c r="G171" s="101">
        <v>6.077</v>
      </c>
      <c r="H171" s="12">
        <v>1011</v>
      </c>
      <c r="I171" s="101">
        <v>-3.0000000000000001E-3</v>
      </c>
      <c r="J171" s="101" t="s">
        <v>18</v>
      </c>
      <c r="K171" s="101" t="s">
        <v>18</v>
      </c>
      <c r="L171" s="101" t="s">
        <v>18</v>
      </c>
      <c r="M171" s="101" t="s">
        <v>18</v>
      </c>
      <c r="O171" s="101">
        <v>39</v>
      </c>
      <c r="P171" s="101" t="s">
        <v>398</v>
      </c>
      <c r="Q171" s="20">
        <v>44370.476168981484</v>
      </c>
      <c r="R171" s="101" t="s">
        <v>25</v>
      </c>
      <c r="S171" s="101" t="s">
        <v>17</v>
      </c>
      <c r="T171" s="101">
        <v>0</v>
      </c>
      <c r="U171" s="101" t="s">
        <v>18</v>
      </c>
      <c r="V171" s="101" t="s">
        <v>18</v>
      </c>
      <c r="W171" s="101" t="s">
        <v>18</v>
      </c>
      <c r="X171" s="101" t="s">
        <v>18</v>
      </c>
      <c r="Y171" s="101" t="s">
        <v>18</v>
      </c>
      <c r="Z171" s="101" t="s">
        <v>18</v>
      </c>
      <c r="AA171" s="101" t="s">
        <v>18</v>
      </c>
      <c r="AC171" s="101">
        <v>39</v>
      </c>
      <c r="AD171" s="101" t="s">
        <v>398</v>
      </c>
      <c r="AE171" s="20">
        <v>44370.476168981484</v>
      </c>
      <c r="AF171" s="101" t="s">
        <v>25</v>
      </c>
      <c r="AG171" s="101" t="s">
        <v>17</v>
      </c>
      <c r="AH171" s="101">
        <v>0</v>
      </c>
      <c r="AI171" s="101">
        <v>12.234</v>
      </c>
      <c r="AJ171" s="12">
        <v>1845</v>
      </c>
      <c r="AK171" s="101">
        <v>0.378</v>
      </c>
      <c r="AL171" s="101" t="s">
        <v>18</v>
      </c>
      <c r="AM171" s="101" t="s">
        <v>18</v>
      </c>
      <c r="AN171" s="101" t="s">
        <v>18</v>
      </c>
      <c r="AO171" s="101" t="s">
        <v>18</v>
      </c>
      <c r="AQ171" s="101">
        <v>1</v>
      </c>
      <c r="AS171" s="7">
        <v>127</v>
      </c>
      <c r="AT171" s="23">
        <f t="shared" si="24"/>
        <v>-2.9091789119499998</v>
      </c>
      <c r="AU171" s="103">
        <f t="shared" si="25"/>
        <v>348.85065055350003</v>
      </c>
      <c r="AV171" s="101">
        <f t="shared" si="17"/>
        <v>0</v>
      </c>
      <c r="AW171" s="60">
        <f t="shared" si="18"/>
        <v>-1.6145249287500008</v>
      </c>
      <c r="AX171" s="61">
        <f t="shared" si="19"/>
        <v>376.67932935075004</v>
      </c>
      <c r="AZ171" s="23">
        <f t="shared" si="20"/>
        <v>-2.9091789119499998</v>
      </c>
      <c r="BA171" s="103">
        <f t="shared" si="21"/>
        <v>348.85065055350003</v>
      </c>
      <c r="BC171" s="104">
        <f t="shared" si="22"/>
        <v>-0.81240191869999989</v>
      </c>
      <c r="BD171" s="105">
        <f t="shared" si="23"/>
        <v>277.57462928199999</v>
      </c>
      <c r="BF171" s="115">
        <f t="shared" si="15"/>
        <v>-2.6171120607999998</v>
      </c>
      <c r="BG171" s="116">
        <f t="shared" si="16"/>
        <v>173.06118700000002</v>
      </c>
    </row>
    <row r="172" spans="1:59" s="101" customFormat="1" ht="14.4" x14ac:dyDescent="0.3">
      <c r="A172" s="101">
        <v>39</v>
      </c>
      <c r="B172" s="101" t="s">
        <v>399</v>
      </c>
      <c r="C172" s="20">
        <v>44375.432523148149</v>
      </c>
      <c r="D172" s="101" t="s">
        <v>25</v>
      </c>
      <c r="E172" s="101" t="s">
        <v>17</v>
      </c>
      <c r="F172" s="101">
        <v>0</v>
      </c>
      <c r="G172" s="101">
        <v>6.0410000000000004</v>
      </c>
      <c r="H172" s="12">
        <v>1372</v>
      </c>
      <c r="I172" s="101">
        <v>-2E-3</v>
      </c>
      <c r="J172" s="101" t="s">
        <v>18</v>
      </c>
      <c r="K172" s="101" t="s">
        <v>18</v>
      </c>
      <c r="L172" s="101" t="s">
        <v>18</v>
      </c>
      <c r="M172" s="101" t="s">
        <v>18</v>
      </c>
      <c r="O172" s="101">
        <v>39</v>
      </c>
      <c r="P172" s="101" t="s">
        <v>399</v>
      </c>
      <c r="Q172" s="20">
        <v>44375.432523148149</v>
      </c>
      <c r="R172" s="101" t="s">
        <v>25</v>
      </c>
      <c r="S172" s="101" t="s">
        <v>17</v>
      </c>
      <c r="T172" s="101">
        <v>0</v>
      </c>
      <c r="U172" s="101" t="s">
        <v>18</v>
      </c>
      <c r="V172" s="101" t="s">
        <v>18</v>
      </c>
      <c r="W172" s="101" t="s">
        <v>18</v>
      </c>
      <c r="X172" s="101" t="s">
        <v>18</v>
      </c>
      <c r="Y172" s="101" t="s">
        <v>18</v>
      </c>
      <c r="Z172" s="101" t="s">
        <v>18</v>
      </c>
      <c r="AA172" s="101" t="s">
        <v>18</v>
      </c>
      <c r="AC172" s="101">
        <v>39</v>
      </c>
      <c r="AD172" s="101" t="s">
        <v>399</v>
      </c>
      <c r="AE172" s="20">
        <v>44375.432523148149</v>
      </c>
      <c r="AF172" s="101" t="s">
        <v>25</v>
      </c>
      <c r="AG172" s="101" t="s">
        <v>17</v>
      </c>
      <c r="AH172" s="101">
        <v>0</v>
      </c>
      <c r="AI172" s="101">
        <v>12.183</v>
      </c>
      <c r="AJ172" s="12">
        <v>1848</v>
      </c>
      <c r="AK172" s="101">
        <v>0.378</v>
      </c>
      <c r="AL172" s="101" t="s">
        <v>18</v>
      </c>
      <c r="AM172" s="101" t="s">
        <v>18</v>
      </c>
      <c r="AN172" s="101" t="s">
        <v>18</v>
      </c>
      <c r="AO172" s="101" t="s">
        <v>18</v>
      </c>
      <c r="AQ172" s="101">
        <v>1</v>
      </c>
      <c r="AS172" s="7">
        <v>128</v>
      </c>
      <c r="AT172" s="23">
        <f t="shared" si="24"/>
        <v>-1.5789281528000005</v>
      </c>
      <c r="AU172" s="103">
        <f t="shared" si="25"/>
        <v>349.42407040896001</v>
      </c>
      <c r="AV172" s="101">
        <f t="shared" si="17"/>
        <v>0</v>
      </c>
      <c r="AW172" s="60">
        <f t="shared" si="18"/>
        <v>-0.61973934000000064</v>
      </c>
      <c r="AX172" s="61">
        <f t="shared" si="19"/>
        <v>377.23483392192003</v>
      </c>
      <c r="AZ172" s="23">
        <f t="shared" si="20"/>
        <v>-1.5789281528000005</v>
      </c>
      <c r="BA172" s="103">
        <f t="shared" si="21"/>
        <v>349.42407040896001</v>
      </c>
      <c r="BC172" s="104">
        <f t="shared" si="22"/>
        <v>-0.38600680480000005</v>
      </c>
      <c r="BD172" s="105">
        <f t="shared" si="23"/>
        <v>278.19444654592002</v>
      </c>
      <c r="BF172" s="115">
        <f t="shared" si="15"/>
        <v>-2.0861093631999998</v>
      </c>
      <c r="BG172" s="116">
        <f t="shared" si="16"/>
        <v>173.36864512</v>
      </c>
    </row>
    <row r="173" spans="1:59" s="101" customFormat="1" ht="14.4" x14ac:dyDescent="0.3">
      <c r="A173" s="101">
        <v>39</v>
      </c>
      <c r="B173" s="101" t="s">
        <v>400</v>
      </c>
      <c r="C173" s="20">
        <v>44376.579953703702</v>
      </c>
      <c r="D173" s="101" t="s">
        <v>25</v>
      </c>
      <c r="E173" s="101" t="s">
        <v>17</v>
      </c>
      <c r="F173" s="101">
        <v>0</v>
      </c>
      <c r="G173" s="101">
        <v>6.0590000000000002</v>
      </c>
      <c r="H173" s="12">
        <v>1210</v>
      </c>
      <c r="I173" s="101">
        <v>-2E-3</v>
      </c>
      <c r="J173" s="101" t="s">
        <v>18</v>
      </c>
      <c r="K173" s="101" t="s">
        <v>18</v>
      </c>
      <c r="L173" s="101" t="s">
        <v>18</v>
      </c>
      <c r="M173" s="101" t="s">
        <v>18</v>
      </c>
      <c r="O173" s="101">
        <v>39</v>
      </c>
      <c r="P173" s="101" t="s">
        <v>400</v>
      </c>
      <c r="Q173" s="20">
        <v>44376.579953703702</v>
      </c>
      <c r="R173" s="101" t="s">
        <v>25</v>
      </c>
      <c r="S173" s="101" t="s">
        <v>17</v>
      </c>
      <c r="T173" s="101">
        <v>0</v>
      </c>
      <c r="U173" s="101" t="s">
        <v>18</v>
      </c>
      <c r="V173" s="101" t="s">
        <v>18</v>
      </c>
      <c r="W173" s="101" t="s">
        <v>18</v>
      </c>
      <c r="X173" s="101" t="s">
        <v>18</v>
      </c>
      <c r="Y173" s="101" t="s">
        <v>18</v>
      </c>
      <c r="Z173" s="101" t="s">
        <v>18</v>
      </c>
      <c r="AA173" s="101" t="s">
        <v>18</v>
      </c>
      <c r="AC173" s="101">
        <v>39</v>
      </c>
      <c r="AD173" s="101" t="s">
        <v>400</v>
      </c>
      <c r="AE173" s="20">
        <v>44376.579953703702</v>
      </c>
      <c r="AF173" s="101" t="s">
        <v>25</v>
      </c>
      <c r="AG173" s="101" t="s">
        <v>17</v>
      </c>
      <c r="AH173" s="101">
        <v>0</v>
      </c>
      <c r="AI173" s="101">
        <v>12.209</v>
      </c>
      <c r="AJ173" s="12">
        <v>2451</v>
      </c>
      <c r="AK173" s="101">
        <v>0.499</v>
      </c>
      <c r="AL173" s="101" t="s">
        <v>18</v>
      </c>
      <c r="AM173" s="101" t="s">
        <v>18</v>
      </c>
      <c r="AN173" s="101" t="s">
        <v>18</v>
      </c>
      <c r="AO173" s="101" t="s">
        <v>18</v>
      </c>
      <c r="AQ173" s="101">
        <v>1</v>
      </c>
      <c r="AS173" s="7">
        <v>129</v>
      </c>
      <c r="AT173" s="23">
        <f t="shared" si="24"/>
        <v>-2.174014595</v>
      </c>
      <c r="AU173" s="103">
        <f t="shared" si="25"/>
        <v>464.67551965974002</v>
      </c>
      <c r="AV173" s="101">
        <f t="shared" si="17"/>
        <v>0</v>
      </c>
      <c r="AW173" s="60">
        <f t="shared" si="18"/>
        <v>-1.0668378750000005</v>
      </c>
      <c r="AX173" s="61">
        <f t="shared" si="19"/>
        <v>488.86831543923</v>
      </c>
      <c r="AZ173" s="23">
        <f t="shared" si="20"/>
        <v>-2.174014595</v>
      </c>
      <c r="BA173" s="103">
        <f t="shared" si="21"/>
        <v>464.67551965974002</v>
      </c>
      <c r="BC173" s="104">
        <f t="shared" si="22"/>
        <v>-0.58203726999999983</v>
      </c>
      <c r="BD173" s="105">
        <f t="shared" si="23"/>
        <v>402.76839112647997</v>
      </c>
      <c r="BF173" s="115">
        <f t="shared" ref="BF173:BF236" si="26">IF(H173&lt;100000,((0.0000000152*H173^2)+(0.0014347*H173)+(-4.08313)),((0.00000295*V173^2)+(0.083061*V173)+(133)))</f>
        <v>-2.3248886799999999</v>
      </c>
      <c r="BG173" s="116">
        <f t="shared" ref="BG173:BG236" si="27">(-0.00000172*AJ173^2)+(0.108838*AJ173)+(-21.89)</f>
        <v>234.53920828000003</v>
      </c>
    </row>
    <row r="174" spans="1:59" s="101" customFormat="1" ht="14.4" x14ac:dyDescent="0.3">
      <c r="A174" s="101">
        <v>39</v>
      </c>
      <c r="B174" s="101" t="s">
        <v>401</v>
      </c>
      <c r="C174" s="20">
        <v>44386.441377314812</v>
      </c>
      <c r="D174" s="101" t="s">
        <v>25</v>
      </c>
      <c r="E174" s="101" t="s">
        <v>17</v>
      </c>
      <c r="F174" s="101">
        <v>0</v>
      </c>
      <c r="G174" s="101">
        <v>6.0419999999999998</v>
      </c>
      <c r="H174" s="12">
        <v>1340</v>
      </c>
      <c r="I174" s="101">
        <v>-2E-3</v>
      </c>
      <c r="J174" s="101" t="s">
        <v>18</v>
      </c>
      <c r="K174" s="101" t="s">
        <v>18</v>
      </c>
      <c r="L174" s="101" t="s">
        <v>18</v>
      </c>
      <c r="M174" s="101" t="s">
        <v>18</v>
      </c>
      <c r="O174" s="101">
        <v>39</v>
      </c>
      <c r="P174" s="101" t="s">
        <v>401</v>
      </c>
      <c r="Q174" s="20">
        <v>44386.441377314812</v>
      </c>
      <c r="R174" s="101" t="s">
        <v>25</v>
      </c>
      <c r="S174" s="101" t="s">
        <v>17</v>
      </c>
      <c r="T174" s="101">
        <v>0</v>
      </c>
      <c r="U174" s="101" t="s">
        <v>18</v>
      </c>
      <c r="V174" s="12" t="s">
        <v>18</v>
      </c>
      <c r="W174" s="101" t="s">
        <v>18</v>
      </c>
      <c r="X174" s="101" t="s">
        <v>18</v>
      </c>
      <c r="Y174" s="101" t="s">
        <v>18</v>
      </c>
      <c r="Z174" s="101" t="s">
        <v>18</v>
      </c>
      <c r="AA174" s="101" t="s">
        <v>18</v>
      </c>
      <c r="AC174" s="101">
        <v>39</v>
      </c>
      <c r="AD174" s="101" t="s">
        <v>401</v>
      </c>
      <c r="AE174" s="20">
        <v>44386.441377314812</v>
      </c>
      <c r="AF174" s="101" t="s">
        <v>25</v>
      </c>
      <c r="AG174" s="101" t="s">
        <v>17</v>
      </c>
      <c r="AH174" s="101">
        <v>0</v>
      </c>
      <c r="AI174" s="101">
        <v>12.209</v>
      </c>
      <c r="AJ174" s="12">
        <v>3527</v>
      </c>
      <c r="AK174" s="101">
        <v>0.71399999999999997</v>
      </c>
      <c r="AL174" s="101" t="s">
        <v>18</v>
      </c>
      <c r="AM174" s="101" t="s">
        <v>18</v>
      </c>
      <c r="AN174" s="101" t="s">
        <v>18</v>
      </c>
      <c r="AO174" s="101" t="s">
        <v>18</v>
      </c>
      <c r="AQ174" s="101">
        <v>1</v>
      </c>
      <c r="AS174" s="7">
        <v>130</v>
      </c>
      <c r="AT174" s="23">
        <f t="shared" si="24"/>
        <v>-1.6962350199999996</v>
      </c>
      <c r="AU174" s="103">
        <f t="shared" si="25"/>
        <v>670.30213000646006</v>
      </c>
      <c r="AV174" s="101">
        <f t="shared" ref="AV174:AV237" si="28">IF(AT174&lt;0,0,AT174)</f>
        <v>0</v>
      </c>
      <c r="AW174" s="60">
        <f t="shared" ref="AW174:AW237" si="29">IF(H174&lt;15000,((0.00000002125*H174^2)+(0.002705*H174)+(-4.371)),(IF(H174&lt;700000,((-0.0000000008162*H174^2)+(0.003141*H174)+(0.4702)), ((0.000000003285*V174^2)+(0.1899*V174)+(559.5)))))</f>
        <v>-0.7081435000000007</v>
      </c>
      <c r="AX174" s="61">
        <f t="shared" ref="AX174:AX237" si="30">((-0.00000006277*AJ174^2)+(0.1854*AJ174)+(34.83))</f>
        <v>687.95495821067004</v>
      </c>
      <c r="AZ174" s="23">
        <f t="shared" ref="AZ174:AZ237" si="31">IF(H174&lt;10000,((-0.00000005795*H174^2)+(0.003823*H174)+(-6.715)),(IF(H174&lt;700000,((-0.0000000001209*H174^2)+(0.002635*H174)+(-0.4111)), ((-0.00000002007*V174^2)+(0.2564*V174)+(286.1)))))</f>
        <v>-1.6962350199999996</v>
      </c>
      <c r="BA174" s="103">
        <f t="shared" ref="BA174:BA237" si="32">(-0.00000001626*AJ174^2)+(0.1912*AJ174)+(-3.858)</f>
        <v>670.30213000646006</v>
      </c>
      <c r="BC174" s="104">
        <f t="shared" ref="BC174:BC237" si="33">IF(H174&lt;10000,((0.0000001453*H174^2)+(0.0008349*H174)+(-1.805)),(IF(H174&lt;700000,((-0.00000000008054*H174^2)+(0.002348*H174)+(-2.47)), ((-0.00000001938*V174^2)+(0.2471*V174)+(226.8)))))</f>
        <v>-0.42533332000000001</v>
      </c>
      <c r="BD174" s="105">
        <f t="shared" ref="BD174:BD237" si="34">(-0.00000002552*AJ174^2)+(0.2067*AJ174)+(-103.7)</f>
        <v>625.01343811591994</v>
      </c>
      <c r="BF174" s="115">
        <f t="shared" si="26"/>
        <v>-2.1333388800000002</v>
      </c>
      <c r="BG174" s="116">
        <f t="shared" si="27"/>
        <v>340.58529212000002</v>
      </c>
    </row>
    <row r="175" spans="1:59" s="101" customFormat="1" ht="14.4" x14ac:dyDescent="0.3">
      <c r="A175" s="101">
        <v>39</v>
      </c>
      <c r="B175" s="101" t="s">
        <v>402</v>
      </c>
      <c r="C175" s="20">
        <v>44389.426828703705</v>
      </c>
      <c r="D175" s="101" t="s">
        <v>25</v>
      </c>
      <c r="E175" s="101" t="s">
        <v>17</v>
      </c>
      <c r="F175" s="101">
        <v>0</v>
      </c>
      <c r="G175" s="101">
        <v>6.0510000000000002</v>
      </c>
      <c r="H175" s="12">
        <v>1261</v>
      </c>
      <c r="I175" s="101">
        <v>-2E-3</v>
      </c>
      <c r="J175" s="101" t="s">
        <v>18</v>
      </c>
      <c r="K175" s="101" t="s">
        <v>18</v>
      </c>
      <c r="L175" s="101" t="s">
        <v>18</v>
      </c>
      <c r="M175" s="101" t="s">
        <v>18</v>
      </c>
      <c r="O175" s="101">
        <v>39</v>
      </c>
      <c r="P175" s="101" t="s">
        <v>402</v>
      </c>
      <c r="Q175" s="20">
        <v>44389.426828703705</v>
      </c>
      <c r="R175" s="101" t="s">
        <v>25</v>
      </c>
      <c r="S175" s="101" t="s">
        <v>17</v>
      </c>
      <c r="T175" s="101">
        <v>0</v>
      </c>
      <c r="U175" s="101" t="s">
        <v>18</v>
      </c>
      <c r="V175" s="12" t="s">
        <v>18</v>
      </c>
      <c r="W175" s="101" t="s">
        <v>18</v>
      </c>
      <c r="X175" s="101" t="s">
        <v>18</v>
      </c>
      <c r="Y175" s="101" t="s">
        <v>18</v>
      </c>
      <c r="Z175" s="101" t="s">
        <v>18</v>
      </c>
      <c r="AA175" s="101" t="s">
        <v>18</v>
      </c>
      <c r="AC175" s="101">
        <v>39</v>
      </c>
      <c r="AD175" s="101" t="s">
        <v>402</v>
      </c>
      <c r="AE175" s="20">
        <v>44389.426828703705</v>
      </c>
      <c r="AF175" s="101" t="s">
        <v>25</v>
      </c>
      <c r="AG175" s="101" t="s">
        <v>17</v>
      </c>
      <c r="AH175" s="101">
        <v>0</v>
      </c>
      <c r="AI175" s="101">
        <v>12.21</v>
      </c>
      <c r="AJ175" s="12">
        <v>2494</v>
      </c>
      <c r="AK175" s="101">
        <v>0.50700000000000001</v>
      </c>
      <c r="AL175" s="101" t="s">
        <v>18</v>
      </c>
      <c r="AM175" s="101" t="s">
        <v>18</v>
      </c>
      <c r="AN175" s="101" t="s">
        <v>18</v>
      </c>
      <c r="AO175" s="101" t="s">
        <v>18</v>
      </c>
      <c r="AQ175" s="101">
        <v>1</v>
      </c>
      <c r="AS175" s="7">
        <v>131</v>
      </c>
      <c r="AT175" s="23">
        <f t="shared" si="24"/>
        <v>-1.9863445119500005</v>
      </c>
      <c r="AU175" s="103">
        <f t="shared" si="25"/>
        <v>472.89366221464002</v>
      </c>
      <c r="AV175" s="101">
        <f t="shared" si="28"/>
        <v>0</v>
      </c>
      <c r="AW175" s="60">
        <f t="shared" si="29"/>
        <v>-0.92620492875000071</v>
      </c>
      <c r="AX175" s="61">
        <f t="shared" si="30"/>
        <v>496.82716834028002</v>
      </c>
      <c r="AZ175" s="23">
        <f t="shared" si="31"/>
        <v>-1.9863445119500005</v>
      </c>
      <c r="BA175" s="103">
        <f t="shared" si="32"/>
        <v>472.89366221464002</v>
      </c>
      <c r="BC175" s="104">
        <f t="shared" si="33"/>
        <v>-0.52114651869999995</v>
      </c>
      <c r="BD175" s="105">
        <f t="shared" si="34"/>
        <v>411.65106468128005</v>
      </c>
      <c r="BF175" s="115">
        <f t="shared" si="26"/>
        <v>-2.2498034607999999</v>
      </c>
      <c r="BG175" s="116">
        <f t="shared" si="27"/>
        <v>238.85351008000004</v>
      </c>
    </row>
    <row r="176" spans="1:59" s="101" customFormat="1" ht="14.4" x14ac:dyDescent="0.3">
      <c r="A176" s="101">
        <v>39</v>
      </c>
      <c r="B176" s="101" t="s">
        <v>403</v>
      </c>
      <c r="C176" s="20">
        <v>44391.56659722222</v>
      </c>
      <c r="D176" s="101" t="s">
        <v>25</v>
      </c>
      <c r="E176" s="101" t="s">
        <v>17</v>
      </c>
      <c r="F176" s="101">
        <v>0</v>
      </c>
      <c r="G176" s="101">
        <v>6.0510000000000002</v>
      </c>
      <c r="H176" s="12">
        <v>1660</v>
      </c>
      <c r="I176" s="101">
        <v>-1E-3</v>
      </c>
      <c r="J176" s="101" t="s">
        <v>18</v>
      </c>
      <c r="K176" s="101" t="s">
        <v>18</v>
      </c>
      <c r="L176" s="101" t="s">
        <v>18</v>
      </c>
      <c r="M176" s="101" t="s">
        <v>18</v>
      </c>
      <c r="O176" s="101">
        <v>39</v>
      </c>
      <c r="P176" s="101" t="s">
        <v>403</v>
      </c>
      <c r="Q176" s="20">
        <v>44391.56659722222</v>
      </c>
      <c r="R176" s="101" t="s">
        <v>25</v>
      </c>
      <c r="S176" s="101" t="s">
        <v>17</v>
      </c>
      <c r="T176" s="101">
        <v>0</v>
      </c>
      <c r="U176" s="101" t="s">
        <v>18</v>
      </c>
      <c r="V176" s="12" t="s">
        <v>18</v>
      </c>
      <c r="W176" s="101" t="s">
        <v>18</v>
      </c>
      <c r="X176" s="101" t="s">
        <v>18</v>
      </c>
      <c r="Y176" s="101" t="s">
        <v>18</v>
      </c>
      <c r="Z176" s="101" t="s">
        <v>18</v>
      </c>
      <c r="AA176" s="101" t="s">
        <v>18</v>
      </c>
      <c r="AC176" s="101">
        <v>39</v>
      </c>
      <c r="AD176" s="101" t="s">
        <v>403</v>
      </c>
      <c r="AE176" s="20">
        <v>44391.56659722222</v>
      </c>
      <c r="AF176" s="101" t="s">
        <v>25</v>
      </c>
      <c r="AG176" s="101" t="s">
        <v>17</v>
      </c>
      <c r="AH176" s="101">
        <v>0</v>
      </c>
      <c r="AI176" s="101">
        <v>12.212</v>
      </c>
      <c r="AJ176" s="12">
        <v>3719</v>
      </c>
      <c r="AK176" s="101">
        <v>0.752</v>
      </c>
      <c r="AL176" s="101" t="s">
        <v>18</v>
      </c>
      <c r="AM176" s="101" t="s">
        <v>18</v>
      </c>
      <c r="AN176" s="101" t="s">
        <v>18</v>
      </c>
      <c r="AO176" s="101" t="s">
        <v>18</v>
      </c>
      <c r="AQ176" s="101">
        <v>1</v>
      </c>
      <c r="AS176" s="7">
        <v>132</v>
      </c>
      <c r="AT176" s="23">
        <f t="shared" si="24"/>
        <v>-0.52850701999999927</v>
      </c>
      <c r="AU176" s="103">
        <f t="shared" si="25"/>
        <v>706.98990857414003</v>
      </c>
      <c r="AV176" s="101">
        <f t="shared" si="28"/>
        <v>0</v>
      </c>
      <c r="AW176" s="60">
        <f t="shared" si="29"/>
        <v>0.17785649999999897</v>
      </c>
      <c r="AX176" s="61">
        <f t="shared" si="30"/>
        <v>723.46443057803003</v>
      </c>
      <c r="AZ176" s="23">
        <f t="shared" si="31"/>
        <v>-0.52850701999999927</v>
      </c>
      <c r="BA176" s="103">
        <f t="shared" si="32"/>
        <v>706.98990857414003</v>
      </c>
      <c r="BC176" s="104">
        <f t="shared" si="33"/>
        <v>-1.8677319999999886E-2</v>
      </c>
      <c r="BD176" s="105">
        <f t="shared" si="34"/>
        <v>664.66433387528002</v>
      </c>
      <c r="BF176" s="115">
        <f t="shared" si="26"/>
        <v>-1.6596428799999998</v>
      </c>
      <c r="BG176" s="116">
        <f t="shared" si="27"/>
        <v>359.08926908000001</v>
      </c>
    </row>
    <row r="177" spans="1:59" s="101" customFormat="1" ht="14.4" x14ac:dyDescent="0.3">
      <c r="A177" s="101">
        <v>39</v>
      </c>
      <c r="B177" s="101" t="s">
        <v>404</v>
      </c>
      <c r="C177" s="20">
        <v>44392.571597222224</v>
      </c>
      <c r="D177" s="101" t="s">
        <v>25</v>
      </c>
      <c r="E177" s="101" t="s">
        <v>17</v>
      </c>
      <c r="F177" s="101">
        <v>0</v>
      </c>
      <c r="G177" s="101">
        <v>6.0709999999999997</v>
      </c>
      <c r="H177" s="12">
        <v>1690</v>
      </c>
      <c r="I177" s="101">
        <v>-1E-3</v>
      </c>
      <c r="J177" s="101" t="s">
        <v>18</v>
      </c>
      <c r="K177" s="101" t="s">
        <v>18</v>
      </c>
      <c r="L177" s="101" t="s">
        <v>18</v>
      </c>
      <c r="M177" s="101" t="s">
        <v>18</v>
      </c>
      <c r="O177" s="101">
        <v>39</v>
      </c>
      <c r="P177" s="101" t="s">
        <v>404</v>
      </c>
      <c r="Q177" s="20">
        <v>44392.571597222224</v>
      </c>
      <c r="R177" s="101" t="s">
        <v>25</v>
      </c>
      <c r="S177" s="101" t="s">
        <v>17</v>
      </c>
      <c r="T177" s="101">
        <v>0</v>
      </c>
      <c r="U177" s="101" t="s">
        <v>18</v>
      </c>
      <c r="V177" s="101" t="s">
        <v>18</v>
      </c>
      <c r="W177" s="101" t="s">
        <v>18</v>
      </c>
      <c r="X177" s="101" t="s">
        <v>18</v>
      </c>
      <c r="Y177" s="101" t="s">
        <v>18</v>
      </c>
      <c r="Z177" s="101" t="s">
        <v>18</v>
      </c>
      <c r="AA177" s="101" t="s">
        <v>18</v>
      </c>
      <c r="AC177" s="101">
        <v>39</v>
      </c>
      <c r="AD177" s="101" t="s">
        <v>404</v>
      </c>
      <c r="AE177" s="20">
        <v>44392.571597222224</v>
      </c>
      <c r="AF177" s="101" t="s">
        <v>25</v>
      </c>
      <c r="AG177" s="101" t="s">
        <v>17</v>
      </c>
      <c r="AH177" s="101">
        <v>0</v>
      </c>
      <c r="AI177" s="101">
        <v>12.212</v>
      </c>
      <c r="AJ177" s="12">
        <v>2454</v>
      </c>
      <c r="AK177" s="101">
        <v>0.499</v>
      </c>
      <c r="AL177" s="101" t="s">
        <v>18</v>
      </c>
      <c r="AM177" s="101" t="s">
        <v>18</v>
      </c>
      <c r="AN177" s="101" t="s">
        <v>18</v>
      </c>
      <c r="AO177" s="101" t="s">
        <v>18</v>
      </c>
      <c r="AQ177" s="101">
        <v>1</v>
      </c>
      <c r="AS177" s="7">
        <v>133</v>
      </c>
      <c r="AT177" s="23">
        <f t="shared" si="24"/>
        <v>-0.41964099499999996</v>
      </c>
      <c r="AU177" s="103">
        <f t="shared" si="25"/>
        <v>465.24888039384001</v>
      </c>
      <c r="AV177" s="101">
        <f t="shared" si="28"/>
        <v>0</v>
      </c>
      <c r="AW177" s="60">
        <f t="shared" si="29"/>
        <v>0.26114212499999923</v>
      </c>
      <c r="AX177" s="61">
        <f t="shared" si="30"/>
        <v>489.42359177868002</v>
      </c>
      <c r="AZ177" s="23">
        <f t="shared" si="31"/>
        <v>-0.41964099499999996</v>
      </c>
      <c r="BA177" s="103">
        <f t="shared" si="32"/>
        <v>465.24888039384001</v>
      </c>
      <c r="BC177" s="104">
        <f t="shared" si="33"/>
        <v>2.0972330000000206E-2</v>
      </c>
      <c r="BD177" s="105">
        <f t="shared" si="34"/>
        <v>403.38811559968002</v>
      </c>
      <c r="BF177" s="115">
        <f t="shared" si="26"/>
        <v>-1.61507428</v>
      </c>
      <c r="BG177" s="116">
        <f t="shared" si="27"/>
        <v>234.84041248000005</v>
      </c>
    </row>
    <row r="178" spans="1:59" s="101" customFormat="1" ht="14.4" x14ac:dyDescent="0.3">
      <c r="A178" s="101">
        <v>39</v>
      </c>
      <c r="B178" s="101" t="s">
        <v>405</v>
      </c>
      <c r="C178" s="20">
        <v>44393.482928240737</v>
      </c>
      <c r="D178" s="101" t="s">
        <v>25</v>
      </c>
      <c r="E178" s="101" t="s">
        <v>17</v>
      </c>
      <c r="F178" s="101">
        <v>0</v>
      </c>
      <c r="G178" s="101">
        <v>6.0590000000000002</v>
      </c>
      <c r="H178" s="12">
        <v>1592</v>
      </c>
      <c r="I178" s="101">
        <v>-1E-3</v>
      </c>
      <c r="J178" s="101" t="s">
        <v>18</v>
      </c>
      <c r="K178" s="101" t="s">
        <v>18</v>
      </c>
      <c r="L178" s="101" t="s">
        <v>18</v>
      </c>
      <c r="M178" s="101" t="s">
        <v>18</v>
      </c>
      <c r="O178" s="101">
        <v>39</v>
      </c>
      <c r="P178" s="101" t="s">
        <v>405</v>
      </c>
      <c r="Q178" s="20">
        <v>44393.482928240737</v>
      </c>
      <c r="R178" s="101" t="s">
        <v>25</v>
      </c>
      <c r="S178" s="101" t="s">
        <v>17</v>
      </c>
      <c r="T178" s="101">
        <v>0</v>
      </c>
      <c r="U178" s="101" t="s">
        <v>18</v>
      </c>
      <c r="V178" s="12" t="s">
        <v>18</v>
      </c>
      <c r="W178" s="101" t="s">
        <v>18</v>
      </c>
      <c r="X178" s="101" t="s">
        <v>18</v>
      </c>
      <c r="Y178" s="101" t="s">
        <v>18</v>
      </c>
      <c r="Z178" s="101" t="s">
        <v>18</v>
      </c>
      <c r="AA178" s="101" t="s">
        <v>18</v>
      </c>
      <c r="AC178" s="101">
        <v>39</v>
      </c>
      <c r="AD178" s="101" t="s">
        <v>405</v>
      </c>
      <c r="AE178" s="20">
        <v>44393.482928240737</v>
      </c>
      <c r="AF178" s="101" t="s">
        <v>25</v>
      </c>
      <c r="AG178" s="101" t="s">
        <v>17</v>
      </c>
      <c r="AH178" s="101">
        <v>0</v>
      </c>
      <c r="AI178" s="101">
        <v>12.227</v>
      </c>
      <c r="AJ178" s="12">
        <v>2378</v>
      </c>
      <c r="AK178" s="101">
        <v>0.48399999999999999</v>
      </c>
      <c r="AL178" s="101" t="s">
        <v>18</v>
      </c>
      <c r="AM178" s="101" t="s">
        <v>18</v>
      </c>
      <c r="AN178" s="101" t="s">
        <v>18</v>
      </c>
      <c r="AO178" s="101" t="s">
        <v>18</v>
      </c>
      <c r="AQ178" s="101">
        <v>1</v>
      </c>
      <c r="AS178" s="7">
        <v>134</v>
      </c>
      <c r="AT178" s="23">
        <f t="shared" si="24"/>
        <v>-0.77565618879999931</v>
      </c>
      <c r="AU178" s="103">
        <f t="shared" si="25"/>
        <v>450.72365158616003</v>
      </c>
      <c r="AV178" s="101">
        <f t="shared" si="28"/>
        <v>0</v>
      </c>
      <c r="AW178" s="60">
        <f t="shared" si="29"/>
        <v>-1.0782640000000399E-2</v>
      </c>
      <c r="AX178" s="61">
        <f t="shared" si="30"/>
        <v>475.35624293132003</v>
      </c>
      <c r="AZ178" s="23">
        <f t="shared" si="31"/>
        <v>-0.77565618879999931</v>
      </c>
      <c r="BA178" s="103">
        <f t="shared" si="32"/>
        <v>450.72365158616003</v>
      </c>
      <c r="BC178" s="104">
        <f t="shared" si="33"/>
        <v>-0.10758158080000002</v>
      </c>
      <c r="BD178" s="105">
        <f t="shared" si="34"/>
        <v>387.68828736032003</v>
      </c>
      <c r="BF178" s="115">
        <f t="shared" si="26"/>
        <v>-1.7605637472</v>
      </c>
      <c r="BG178" s="116">
        <f t="shared" si="27"/>
        <v>227.20036352000005</v>
      </c>
    </row>
    <row r="179" spans="1:59" s="101" customFormat="1" ht="14.4" x14ac:dyDescent="0.3">
      <c r="A179" s="101">
        <v>39</v>
      </c>
      <c r="B179" s="101" t="s">
        <v>406</v>
      </c>
      <c r="C179" s="20">
        <v>44399.430960648147</v>
      </c>
      <c r="D179" s="101" t="s">
        <v>25</v>
      </c>
      <c r="E179" s="101" t="s">
        <v>17</v>
      </c>
      <c r="F179" s="101">
        <v>0</v>
      </c>
      <c r="G179" s="101">
        <v>6.0549999999999997</v>
      </c>
      <c r="H179" s="12">
        <v>1440</v>
      </c>
      <c r="I179" s="101">
        <v>-2E-3</v>
      </c>
      <c r="J179" s="101" t="s">
        <v>18</v>
      </c>
      <c r="K179" s="101" t="s">
        <v>18</v>
      </c>
      <c r="L179" s="101" t="s">
        <v>18</v>
      </c>
      <c r="M179" s="101" t="s">
        <v>18</v>
      </c>
      <c r="O179" s="101">
        <v>39</v>
      </c>
      <c r="P179" s="101" t="s">
        <v>406</v>
      </c>
      <c r="Q179" s="20">
        <v>44399.430960648147</v>
      </c>
      <c r="R179" s="101" t="s">
        <v>25</v>
      </c>
      <c r="S179" s="101" t="s">
        <v>17</v>
      </c>
      <c r="T179" s="101">
        <v>0</v>
      </c>
      <c r="U179" s="101" t="s">
        <v>18</v>
      </c>
      <c r="V179" s="101" t="s">
        <v>18</v>
      </c>
      <c r="W179" s="101" t="s">
        <v>18</v>
      </c>
      <c r="X179" s="101" t="s">
        <v>18</v>
      </c>
      <c r="Y179" s="101" t="s">
        <v>18</v>
      </c>
      <c r="Z179" s="101" t="s">
        <v>18</v>
      </c>
      <c r="AA179" s="101" t="s">
        <v>18</v>
      </c>
      <c r="AC179" s="101">
        <v>39</v>
      </c>
      <c r="AD179" s="101" t="s">
        <v>406</v>
      </c>
      <c r="AE179" s="20">
        <v>44399.430960648147</v>
      </c>
      <c r="AF179" s="101" t="s">
        <v>25</v>
      </c>
      <c r="AG179" s="101" t="s">
        <v>17</v>
      </c>
      <c r="AH179" s="101">
        <v>0</v>
      </c>
      <c r="AI179" s="101">
        <v>12.218999999999999</v>
      </c>
      <c r="AJ179" s="12">
        <v>2819</v>
      </c>
      <c r="AK179" s="101">
        <v>0.57199999999999995</v>
      </c>
      <c r="AL179" s="101" t="s">
        <v>18</v>
      </c>
      <c r="AM179" s="101" t="s">
        <v>18</v>
      </c>
      <c r="AN179" s="101" t="s">
        <v>18</v>
      </c>
      <c r="AO179" s="101" t="s">
        <v>18</v>
      </c>
      <c r="AQ179" s="101">
        <v>1</v>
      </c>
      <c r="AS179" s="7">
        <v>135</v>
      </c>
      <c r="AT179" s="23">
        <f t="shared" si="24"/>
        <v>-1.3300451200000003</v>
      </c>
      <c r="AU179" s="103">
        <f t="shared" si="25"/>
        <v>535.00558566614006</v>
      </c>
      <c r="AV179" s="101">
        <f t="shared" si="28"/>
        <v>0</v>
      </c>
      <c r="AW179" s="60">
        <f t="shared" si="29"/>
        <v>-0.43173600000000034</v>
      </c>
      <c r="AX179" s="61">
        <f t="shared" si="30"/>
        <v>556.9737818120301</v>
      </c>
      <c r="AZ179" s="23">
        <f t="shared" si="31"/>
        <v>-1.3300451200000003</v>
      </c>
      <c r="BA179" s="103">
        <f t="shared" si="32"/>
        <v>535.00558566614006</v>
      </c>
      <c r="BC179" s="104">
        <f t="shared" si="33"/>
        <v>-0.30144991999999982</v>
      </c>
      <c r="BD179" s="105">
        <f t="shared" si="34"/>
        <v>478.7844986592799</v>
      </c>
      <c r="BF179" s="115">
        <f t="shared" si="26"/>
        <v>-1.9856432799999997</v>
      </c>
      <c r="BG179" s="116">
        <f t="shared" si="27"/>
        <v>271.25589308000002</v>
      </c>
    </row>
    <row r="180" spans="1:59" s="101" customFormat="1" ht="14.4" x14ac:dyDescent="0.3">
      <c r="A180" s="101">
        <v>39</v>
      </c>
      <c r="B180" s="101" t="s">
        <v>407</v>
      </c>
      <c r="C180" s="20">
        <v>44404.454675925925</v>
      </c>
      <c r="D180" s="101" t="s">
        <v>25</v>
      </c>
      <c r="E180" s="101" t="s">
        <v>17</v>
      </c>
      <c r="F180" s="101">
        <v>0</v>
      </c>
      <c r="G180" s="101">
        <v>6.0670000000000002</v>
      </c>
      <c r="H180" s="12">
        <v>1602</v>
      </c>
      <c r="I180" s="101">
        <v>-1E-3</v>
      </c>
      <c r="J180" s="101" t="s">
        <v>18</v>
      </c>
      <c r="K180" s="101" t="s">
        <v>18</v>
      </c>
      <c r="L180" s="101" t="s">
        <v>18</v>
      </c>
      <c r="M180" s="101" t="s">
        <v>18</v>
      </c>
      <c r="O180" s="101">
        <v>39</v>
      </c>
      <c r="P180" s="101" t="s">
        <v>407</v>
      </c>
      <c r="Q180" s="20">
        <v>44404.454675925925</v>
      </c>
      <c r="R180" s="101" t="s">
        <v>25</v>
      </c>
      <c r="S180" s="101" t="s">
        <v>17</v>
      </c>
      <c r="T180" s="101">
        <v>0</v>
      </c>
      <c r="U180" s="101" t="s">
        <v>18</v>
      </c>
      <c r="V180" s="12" t="s">
        <v>18</v>
      </c>
      <c r="W180" s="101" t="s">
        <v>18</v>
      </c>
      <c r="X180" s="101" t="s">
        <v>18</v>
      </c>
      <c r="Y180" s="101" t="s">
        <v>18</v>
      </c>
      <c r="Z180" s="101" t="s">
        <v>18</v>
      </c>
      <c r="AA180" s="101" t="s">
        <v>18</v>
      </c>
      <c r="AC180" s="101">
        <v>39</v>
      </c>
      <c r="AD180" s="101" t="s">
        <v>407</v>
      </c>
      <c r="AE180" s="20">
        <v>44404.454675925925</v>
      </c>
      <c r="AF180" s="101" t="s">
        <v>25</v>
      </c>
      <c r="AG180" s="101" t="s">
        <v>17</v>
      </c>
      <c r="AH180" s="101">
        <v>0</v>
      </c>
      <c r="AI180" s="101">
        <v>12.237</v>
      </c>
      <c r="AJ180" s="12">
        <v>2658</v>
      </c>
      <c r="AK180" s="101">
        <v>0.54</v>
      </c>
      <c r="AL180" s="101" t="s">
        <v>18</v>
      </c>
      <c r="AM180" s="101" t="s">
        <v>18</v>
      </c>
      <c r="AN180" s="101" t="s">
        <v>18</v>
      </c>
      <c r="AO180" s="101" t="s">
        <v>18</v>
      </c>
      <c r="AQ180" s="101">
        <v>1</v>
      </c>
      <c r="AS180" s="7">
        <v>136</v>
      </c>
      <c r="AT180" s="23">
        <f t="shared" si="24"/>
        <v>-0.73927711179999989</v>
      </c>
      <c r="AU180" s="103">
        <f t="shared" si="25"/>
        <v>504.23672368536</v>
      </c>
      <c r="AV180" s="101">
        <f t="shared" si="28"/>
        <v>0</v>
      </c>
      <c r="AW180" s="60">
        <f t="shared" si="29"/>
        <v>1.6946084999998945E-2</v>
      </c>
      <c r="AX180" s="61">
        <f t="shared" si="30"/>
        <v>527.17973220971999</v>
      </c>
      <c r="AZ180" s="23">
        <f t="shared" si="31"/>
        <v>-0.73927711179999989</v>
      </c>
      <c r="BA180" s="103">
        <f t="shared" si="32"/>
        <v>504.23672368536</v>
      </c>
      <c r="BC180" s="104">
        <f t="shared" si="33"/>
        <v>-9.4591698800000179E-2</v>
      </c>
      <c r="BD180" s="105">
        <f t="shared" si="34"/>
        <v>445.52830211871998</v>
      </c>
      <c r="BF180" s="115">
        <f t="shared" si="26"/>
        <v>-1.7457312591999998</v>
      </c>
      <c r="BG180" s="116">
        <f t="shared" si="27"/>
        <v>255.24966591999998</v>
      </c>
    </row>
    <row r="181" spans="1:59" s="101" customFormat="1" ht="14.4" x14ac:dyDescent="0.3">
      <c r="A181" s="101">
        <v>39</v>
      </c>
      <c r="B181" s="101" t="s">
        <v>408</v>
      </c>
      <c r="C181" s="20">
        <v>44411.536504629628</v>
      </c>
      <c r="D181" s="101" t="s">
        <v>25</v>
      </c>
      <c r="E181" s="101" t="s">
        <v>17</v>
      </c>
      <c r="F181" s="101">
        <v>0</v>
      </c>
      <c r="G181" s="101">
        <v>6.0590000000000002</v>
      </c>
      <c r="H181" s="12">
        <v>1892</v>
      </c>
      <c r="I181" s="101">
        <v>-1E-3</v>
      </c>
      <c r="J181" s="101" t="s">
        <v>18</v>
      </c>
      <c r="K181" s="101" t="s">
        <v>18</v>
      </c>
      <c r="L181" s="101" t="s">
        <v>18</v>
      </c>
      <c r="M181" s="101" t="s">
        <v>18</v>
      </c>
      <c r="O181" s="101">
        <v>39</v>
      </c>
      <c r="P181" s="101" t="s">
        <v>408</v>
      </c>
      <c r="Q181" s="20">
        <v>44411.536504629628</v>
      </c>
      <c r="R181" s="101" t="s">
        <v>25</v>
      </c>
      <c r="S181" s="101" t="s">
        <v>17</v>
      </c>
      <c r="T181" s="101">
        <v>0</v>
      </c>
      <c r="U181" s="101" t="s">
        <v>18</v>
      </c>
      <c r="V181" s="12" t="s">
        <v>18</v>
      </c>
      <c r="W181" s="101" t="s">
        <v>18</v>
      </c>
      <c r="X181" s="101" t="s">
        <v>18</v>
      </c>
      <c r="Y181" s="101" t="s">
        <v>18</v>
      </c>
      <c r="Z181" s="101" t="s">
        <v>18</v>
      </c>
      <c r="AA181" s="101" t="s">
        <v>18</v>
      </c>
      <c r="AC181" s="101">
        <v>39</v>
      </c>
      <c r="AD181" s="101" t="s">
        <v>408</v>
      </c>
      <c r="AE181" s="20">
        <v>44411.536504629628</v>
      </c>
      <c r="AF181" s="101" t="s">
        <v>25</v>
      </c>
      <c r="AG181" s="101" t="s">
        <v>17</v>
      </c>
      <c r="AH181" s="101">
        <v>0</v>
      </c>
      <c r="AI181" s="101">
        <v>12.231999999999999</v>
      </c>
      <c r="AJ181" s="12">
        <v>1987</v>
      </c>
      <c r="AK181" s="101">
        <v>0.40600000000000003</v>
      </c>
      <c r="AL181" s="101" t="s">
        <v>18</v>
      </c>
      <c r="AM181" s="101" t="s">
        <v>18</v>
      </c>
      <c r="AN181" s="101" t="s">
        <v>18</v>
      </c>
      <c r="AO181" s="101" t="s">
        <v>18</v>
      </c>
      <c r="AQ181" s="101">
        <v>1</v>
      </c>
      <c r="AS181" s="7">
        <v>137</v>
      </c>
      <c r="AT181" s="23">
        <f t="shared" si="24"/>
        <v>0.31067447120000047</v>
      </c>
      <c r="AU181" s="103">
        <f t="shared" si="25"/>
        <v>375.99220277206001</v>
      </c>
      <c r="AV181" s="101">
        <f t="shared" si="28"/>
        <v>0.31067447120000047</v>
      </c>
      <c r="AW181" s="60">
        <f t="shared" si="29"/>
        <v>0.82292786000000007</v>
      </c>
      <c r="AX181" s="61">
        <f t="shared" si="30"/>
        <v>402.97197343187003</v>
      </c>
      <c r="AZ181" s="23">
        <f t="shared" si="31"/>
        <v>0.31067447120000047</v>
      </c>
      <c r="BA181" s="103">
        <f t="shared" si="32"/>
        <v>375.99220277206001</v>
      </c>
      <c r="BC181" s="104">
        <f t="shared" si="33"/>
        <v>0.29475597919999985</v>
      </c>
      <c r="BD181" s="105">
        <f t="shared" si="34"/>
        <v>306.91214272712</v>
      </c>
      <c r="BF181" s="115">
        <f t="shared" si="26"/>
        <v>-1.3142667071999998</v>
      </c>
      <c r="BG181" s="116">
        <f t="shared" si="27"/>
        <v>187.58025531999999</v>
      </c>
    </row>
    <row r="182" spans="1:59" s="101" customFormat="1" ht="14.4" x14ac:dyDescent="0.3">
      <c r="A182" s="101">
        <v>60</v>
      </c>
      <c r="B182" s="101" t="s">
        <v>409</v>
      </c>
      <c r="C182" s="20">
        <v>44412.443009259259</v>
      </c>
      <c r="D182" s="101" t="s">
        <v>25</v>
      </c>
      <c r="E182" s="101" t="s">
        <v>17</v>
      </c>
      <c r="F182" s="101">
        <v>0</v>
      </c>
      <c r="G182" s="101">
        <v>6.0570000000000004</v>
      </c>
      <c r="H182" s="12">
        <v>1865</v>
      </c>
      <c r="I182" s="101">
        <v>-1E-3</v>
      </c>
      <c r="J182" s="101" t="s">
        <v>18</v>
      </c>
      <c r="K182" s="101" t="s">
        <v>18</v>
      </c>
      <c r="L182" s="101" t="s">
        <v>18</v>
      </c>
      <c r="M182" s="101" t="s">
        <v>18</v>
      </c>
      <c r="O182" s="101">
        <v>60</v>
      </c>
      <c r="P182" s="101" t="s">
        <v>409</v>
      </c>
      <c r="Q182" s="20">
        <v>44412.443009259259</v>
      </c>
      <c r="R182" s="101" t="s">
        <v>25</v>
      </c>
      <c r="S182" s="101" t="s">
        <v>17</v>
      </c>
      <c r="T182" s="101">
        <v>0</v>
      </c>
      <c r="U182" s="101" t="s">
        <v>18</v>
      </c>
      <c r="V182" s="12" t="s">
        <v>18</v>
      </c>
      <c r="W182" s="101" t="s">
        <v>18</v>
      </c>
      <c r="X182" s="101" t="s">
        <v>18</v>
      </c>
      <c r="Y182" s="101" t="s">
        <v>18</v>
      </c>
      <c r="Z182" s="101" t="s">
        <v>18</v>
      </c>
      <c r="AA182" s="101" t="s">
        <v>18</v>
      </c>
      <c r="AC182" s="101">
        <v>60</v>
      </c>
      <c r="AD182" s="101" t="s">
        <v>409</v>
      </c>
      <c r="AE182" s="20">
        <v>44412.443009259259</v>
      </c>
      <c r="AF182" s="101" t="s">
        <v>25</v>
      </c>
      <c r="AG182" s="101" t="s">
        <v>17</v>
      </c>
      <c r="AH182" s="101">
        <v>0</v>
      </c>
      <c r="AI182" s="101">
        <v>12.22</v>
      </c>
      <c r="AJ182" s="12">
        <v>2522</v>
      </c>
      <c r="AK182" s="101">
        <v>0.51300000000000001</v>
      </c>
      <c r="AL182" s="101" t="s">
        <v>18</v>
      </c>
      <c r="AM182" s="101" t="s">
        <v>18</v>
      </c>
      <c r="AN182" s="101" t="s">
        <v>18</v>
      </c>
      <c r="AO182" s="101" t="s">
        <v>18</v>
      </c>
      <c r="AQ182" s="101">
        <v>1</v>
      </c>
      <c r="AS182" s="7">
        <v>138</v>
      </c>
      <c r="AT182" s="23">
        <f t="shared" si="24"/>
        <v>0.21333186125000037</v>
      </c>
      <c r="AU182" s="103">
        <f t="shared" si="25"/>
        <v>478.24497853016004</v>
      </c>
      <c r="AV182" s="101">
        <f t="shared" si="28"/>
        <v>0.21333186125000037</v>
      </c>
      <c r="AW182" s="60">
        <f t="shared" si="29"/>
        <v>0.74773728124999916</v>
      </c>
      <c r="AX182" s="61">
        <f t="shared" si="30"/>
        <v>502.00955241931996</v>
      </c>
      <c r="AZ182" s="23">
        <f t="shared" si="31"/>
        <v>0.21333186125000037</v>
      </c>
      <c r="BA182" s="103">
        <f t="shared" si="32"/>
        <v>478.24497853016004</v>
      </c>
      <c r="BC182" s="104">
        <f t="shared" si="33"/>
        <v>0.25747459250000015</v>
      </c>
      <c r="BD182" s="105">
        <f t="shared" si="34"/>
        <v>417.43508044832009</v>
      </c>
      <c r="BF182" s="115">
        <f t="shared" si="26"/>
        <v>-1.3545454799999996</v>
      </c>
      <c r="BG182" s="116">
        <f t="shared" si="27"/>
        <v>241.65940352000001</v>
      </c>
    </row>
    <row r="183" spans="1:59" s="101" customFormat="1" ht="14.4" x14ac:dyDescent="0.3">
      <c r="A183" s="101">
        <v>105</v>
      </c>
      <c r="B183" s="101" t="s">
        <v>410</v>
      </c>
      <c r="C183" s="20">
        <v>44413.430879629632</v>
      </c>
      <c r="D183" s="101" t="s">
        <v>25</v>
      </c>
      <c r="E183" s="101" t="s">
        <v>17</v>
      </c>
      <c r="F183" s="101">
        <v>0</v>
      </c>
      <c r="G183" s="101">
        <v>6.07</v>
      </c>
      <c r="H183" s="12">
        <v>1981</v>
      </c>
      <c r="I183" s="101">
        <v>-1E-3</v>
      </c>
      <c r="J183" s="101" t="s">
        <v>18</v>
      </c>
      <c r="K183" s="101" t="s">
        <v>18</v>
      </c>
      <c r="L183" s="101" t="s">
        <v>18</v>
      </c>
      <c r="M183" s="101" t="s">
        <v>18</v>
      </c>
      <c r="O183" s="101">
        <v>105</v>
      </c>
      <c r="P183" s="101" t="s">
        <v>410</v>
      </c>
      <c r="Q183" s="20">
        <v>44413.430879629632</v>
      </c>
      <c r="R183" s="101" t="s">
        <v>25</v>
      </c>
      <c r="S183" s="101" t="s">
        <v>17</v>
      </c>
      <c r="T183" s="101">
        <v>0</v>
      </c>
      <c r="U183" s="101" t="s">
        <v>18</v>
      </c>
      <c r="V183" s="101" t="s">
        <v>18</v>
      </c>
      <c r="W183" s="101" t="s">
        <v>18</v>
      </c>
      <c r="X183" s="101" t="s">
        <v>18</v>
      </c>
      <c r="Y183" s="101" t="s">
        <v>18</v>
      </c>
      <c r="Z183" s="101" t="s">
        <v>18</v>
      </c>
      <c r="AA183" s="101" t="s">
        <v>18</v>
      </c>
      <c r="AC183" s="101">
        <v>105</v>
      </c>
      <c r="AD183" s="101" t="s">
        <v>410</v>
      </c>
      <c r="AE183" s="20">
        <v>44413.430879629632</v>
      </c>
      <c r="AF183" s="101" t="s">
        <v>25</v>
      </c>
      <c r="AG183" s="101" t="s">
        <v>17</v>
      </c>
      <c r="AH183" s="101">
        <v>0</v>
      </c>
      <c r="AI183" s="101">
        <v>12.244</v>
      </c>
      <c r="AJ183" s="12">
        <v>3867</v>
      </c>
      <c r="AK183" s="101">
        <v>0.78200000000000003</v>
      </c>
      <c r="AL183" s="101" t="s">
        <v>18</v>
      </c>
      <c r="AM183" s="101" t="s">
        <v>18</v>
      </c>
      <c r="AN183" s="101" t="s">
        <v>18</v>
      </c>
      <c r="AO183" s="101" t="s">
        <v>18</v>
      </c>
      <c r="AQ183" s="101">
        <v>1</v>
      </c>
      <c r="AS183" s="7">
        <v>139</v>
      </c>
      <c r="AT183" s="23">
        <f t="shared" si="24"/>
        <v>0.63094628004999986</v>
      </c>
      <c r="AU183" s="103">
        <f t="shared" si="25"/>
        <v>735.26925301686003</v>
      </c>
      <c r="AV183" s="101">
        <f t="shared" si="28"/>
        <v>0.63094628004999986</v>
      </c>
      <c r="AW183" s="60">
        <f t="shared" si="29"/>
        <v>1.0709976712499998</v>
      </c>
      <c r="AX183" s="61">
        <f t="shared" si="30"/>
        <v>750.83315694147007</v>
      </c>
      <c r="AZ183" s="23">
        <f t="shared" si="31"/>
        <v>0.63094628004999986</v>
      </c>
      <c r="BA183" s="103">
        <f t="shared" si="32"/>
        <v>735.26925301686003</v>
      </c>
      <c r="BC183" s="104">
        <f t="shared" si="33"/>
        <v>0.41914655329999984</v>
      </c>
      <c r="BD183" s="105">
        <f t="shared" si="34"/>
        <v>695.22728185671997</v>
      </c>
      <c r="BF183" s="115">
        <f t="shared" si="26"/>
        <v>-1.1813390127999996</v>
      </c>
      <c r="BG183" s="116">
        <f t="shared" si="27"/>
        <v>373.26620092000002</v>
      </c>
    </row>
    <row r="184" spans="1:59" s="101" customFormat="1" ht="14.4" x14ac:dyDescent="0.3">
      <c r="A184" s="101">
        <v>147</v>
      </c>
      <c r="B184" s="101" t="s">
        <v>411</v>
      </c>
      <c r="C184" s="20">
        <v>44414.417905092596</v>
      </c>
      <c r="D184" s="101" t="s">
        <v>25</v>
      </c>
      <c r="E184" s="101" t="s">
        <v>17</v>
      </c>
      <c r="F184" s="101">
        <v>0</v>
      </c>
      <c r="G184" s="101">
        <v>6.0730000000000004</v>
      </c>
      <c r="H184" s="12">
        <v>2052</v>
      </c>
      <c r="I184" s="101">
        <v>-1E-3</v>
      </c>
      <c r="J184" s="101" t="s">
        <v>18</v>
      </c>
      <c r="K184" s="101" t="s">
        <v>18</v>
      </c>
      <c r="L184" s="101" t="s">
        <v>18</v>
      </c>
      <c r="M184" s="101" t="s">
        <v>18</v>
      </c>
      <c r="O184" s="101">
        <v>147</v>
      </c>
      <c r="P184" s="101" t="s">
        <v>411</v>
      </c>
      <c r="Q184" s="20">
        <v>44414.417905092596</v>
      </c>
      <c r="R184" s="101" t="s">
        <v>25</v>
      </c>
      <c r="S184" s="101" t="s">
        <v>17</v>
      </c>
      <c r="T184" s="101">
        <v>0</v>
      </c>
      <c r="U184" s="101" t="s">
        <v>18</v>
      </c>
      <c r="V184" s="101" t="s">
        <v>18</v>
      </c>
      <c r="W184" s="101" t="s">
        <v>18</v>
      </c>
      <c r="X184" s="101" t="s">
        <v>18</v>
      </c>
      <c r="Y184" s="101" t="s">
        <v>18</v>
      </c>
      <c r="Z184" s="101" t="s">
        <v>18</v>
      </c>
      <c r="AA184" s="101" t="s">
        <v>18</v>
      </c>
      <c r="AC184" s="101">
        <v>147</v>
      </c>
      <c r="AD184" s="101" t="s">
        <v>411</v>
      </c>
      <c r="AE184" s="20">
        <v>44414.417905092596</v>
      </c>
      <c r="AF184" s="101" t="s">
        <v>25</v>
      </c>
      <c r="AG184" s="101" t="s">
        <v>17</v>
      </c>
      <c r="AH184" s="101">
        <v>0</v>
      </c>
      <c r="AI184" s="101">
        <v>12.247</v>
      </c>
      <c r="AJ184" s="12">
        <v>1963</v>
      </c>
      <c r="AK184" s="101">
        <v>0.40100000000000002</v>
      </c>
      <c r="AL184" s="101" t="s">
        <v>18</v>
      </c>
      <c r="AM184" s="101" t="s">
        <v>18</v>
      </c>
      <c r="AN184" s="101" t="s">
        <v>18</v>
      </c>
      <c r="AO184" s="101" t="s">
        <v>18</v>
      </c>
      <c r="AQ184" s="101">
        <v>1</v>
      </c>
      <c r="AS184" s="7">
        <v>140</v>
      </c>
      <c r="AT184" s="23">
        <f t="shared" si="24"/>
        <v>0.88578570319999983</v>
      </c>
      <c r="AU184" s="103">
        <f t="shared" si="25"/>
        <v>371.40494422006003</v>
      </c>
      <c r="AV184" s="101">
        <f t="shared" si="28"/>
        <v>0.88578570319999983</v>
      </c>
      <c r="AW184" s="60">
        <f t="shared" si="29"/>
        <v>1.2691374599999996</v>
      </c>
      <c r="AX184" s="61">
        <f t="shared" si="30"/>
        <v>398.52832402786999</v>
      </c>
      <c r="AZ184" s="23">
        <f t="shared" si="31"/>
        <v>0.88578570319999983</v>
      </c>
      <c r="BA184" s="103">
        <f t="shared" si="32"/>
        <v>371.40494422006003</v>
      </c>
      <c r="BC184" s="104">
        <f t="shared" si="33"/>
        <v>0.52003009119999999</v>
      </c>
      <c r="BD184" s="105">
        <f t="shared" si="34"/>
        <v>301.95376202312002</v>
      </c>
      <c r="BF184" s="115">
        <f t="shared" si="26"/>
        <v>-1.0751228991999997</v>
      </c>
      <c r="BG184" s="116">
        <f t="shared" si="27"/>
        <v>185.13119932000001</v>
      </c>
    </row>
    <row r="185" spans="1:59" s="101" customFormat="1" ht="14.4" x14ac:dyDescent="0.3">
      <c r="A185" s="101">
        <v>39</v>
      </c>
      <c r="B185" s="101" t="s">
        <v>412</v>
      </c>
      <c r="C185" s="20">
        <v>44418.445983796293</v>
      </c>
      <c r="D185" s="101" t="s">
        <v>25</v>
      </c>
      <c r="E185" s="101" t="s">
        <v>17</v>
      </c>
      <c r="F185" s="101">
        <v>0</v>
      </c>
      <c r="G185" s="101">
        <v>6.0679999999999996</v>
      </c>
      <c r="H185" s="12">
        <v>2390</v>
      </c>
      <c r="I185" s="101">
        <v>0</v>
      </c>
      <c r="J185" s="101" t="s">
        <v>18</v>
      </c>
      <c r="K185" s="101" t="s">
        <v>18</v>
      </c>
      <c r="L185" s="101" t="s">
        <v>18</v>
      </c>
      <c r="M185" s="101" t="s">
        <v>18</v>
      </c>
      <c r="O185" s="101">
        <v>39</v>
      </c>
      <c r="P185" s="101" t="s">
        <v>412</v>
      </c>
      <c r="Q185" s="20">
        <v>44418.445983796293</v>
      </c>
      <c r="R185" s="101" t="s">
        <v>25</v>
      </c>
      <c r="S185" s="101" t="s">
        <v>17</v>
      </c>
      <c r="T185" s="101">
        <v>0</v>
      </c>
      <c r="U185" s="101" t="s">
        <v>18</v>
      </c>
      <c r="V185" s="12" t="s">
        <v>18</v>
      </c>
      <c r="W185" s="101" t="s">
        <v>18</v>
      </c>
      <c r="X185" s="101" t="s">
        <v>18</v>
      </c>
      <c r="Y185" s="101" t="s">
        <v>18</v>
      </c>
      <c r="Z185" s="101" t="s">
        <v>18</v>
      </c>
      <c r="AA185" s="101" t="s">
        <v>18</v>
      </c>
      <c r="AC185" s="101">
        <v>39</v>
      </c>
      <c r="AD185" s="101" t="s">
        <v>412</v>
      </c>
      <c r="AE185" s="20">
        <v>44418.445983796293</v>
      </c>
      <c r="AF185" s="101" t="s">
        <v>25</v>
      </c>
      <c r="AG185" s="101" t="s">
        <v>17</v>
      </c>
      <c r="AH185" s="101">
        <v>0</v>
      </c>
      <c r="AI185" s="101">
        <v>12.198</v>
      </c>
      <c r="AJ185" s="12">
        <v>2343</v>
      </c>
      <c r="AK185" s="101">
        <v>0.47699999999999998</v>
      </c>
      <c r="AL185" s="101" t="s">
        <v>18</v>
      </c>
      <c r="AM185" s="101" t="s">
        <v>18</v>
      </c>
      <c r="AN185" s="101" t="s">
        <v>18</v>
      </c>
      <c r="AO185" s="101" t="s">
        <v>18</v>
      </c>
      <c r="AQ185" s="101">
        <v>1</v>
      </c>
      <c r="AS185" s="7">
        <v>141</v>
      </c>
      <c r="AT185" s="23">
        <f t="shared" si="24"/>
        <v>2.0909538049999998</v>
      </c>
      <c r="AU185" s="103">
        <f t="shared" si="25"/>
        <v>444.03433830725999</v>
      </c>
      <c r="AV185" s="101">
        <f t="shared" si="28"/>
        <v>2.0909538049999998</v>
      </c>
      <c r="AW185" s="60">
        <f t="shared" si="29"/>
        <v>2.2153321249999998</v>
      </c>
      <c r="AX185" s="61">
        <f t="shared" si="30"/>
        <v>468.87761473226999</v>
      </c>
      <c r="AZ185" s="23">
        <f t="shared" si="31"/>
        <v>2.0909538049999998</v>
      </c>
      <c r="BA185" s="103">
        <f t="shared" si="32"/>
        <v>444.03433830725999</v>
      </c>
      <c r="BC185" s="104">
        <f t="shared" si="33"/>
        <v>1.02037913</v>
      </c>
      <c r="BD185" s="105">
        <f t="shared" si="34"/>
        <v>380.45800415752001</v>
      </c>
      <c r="BF185" s="115">
        <f t="shared" si="26"/>
        <v>-0.56737307999999986</v>
      </c>
      <c r="BG185" s="116">
        <f t="shared" si="27"/>
        <v>223.67523772000004</v>
      </c>
    </row>
    <row r="186" spans="1:59" s="101" customFormat="1" ht="14.4" x14ac:dyDescent="0.3">
      <c r="A186" s="101">
        <v>65</v>
      </c>
      <c r="B186" s="101" t="s">
        <v>413</v>
      </c>
      <c r="C186" s="20">
        <v>44425.484016203707</v>
      </c>
      <c r="D186" s="101" t="s">
        <v>25</v>
      </c>
      <c r="E186" s="101" t="s">
        <v>17</v>
      </c>
      <c r="F186" s="101">
        <v>0</v>
      </c>
      <c r="G186" s="101">
        <v>6.0609999999999999</v>
      </c>
      <c r="H186" s="12">
        <v>1958</v>
      </c>
      <c r="I186" s="101">
        <v>-1E-3</v>
      </c>
      <c r="J186" s="101" t="s">
        <v>18</v>
      </c>
      <c r="K186" s="101" t="s">
        <v>18</v>
      </c>
      <c r="L186" s="101" t="s">
        <v>18</v>
      </c>
      <c r="M186" s="101" t="s">
        <v>18</v>
      </c>
      <c r="O186" s="101">
        <v>65</v>
      </c>
      <c r="P186" s="101" t="s">
        <v>413</v>
      </c>
      <c r="Q186" s="20">
        <v>44425.484016203707</v>
      </c>
      <c r="R186" s="101" t="s">
        <v>25</v>
      </c>
      <c r="S186" s="101" t="s">
        <v>17</v>
      </c>
      <c r="T186" s="101">
        <v>0</v>
      </c>
      <c r="U186" s="101" t="s">
        <v>18</v>
      </c>
      <c r="V186" s="12" t="s">
        <v>18</v>
      </c>
      <c r="W186" s="101" t="s">
        <v>18</v>
      </c>
      <c r="X186" s="101" t="s">
        <v>18</v>
      </c>
      <c r="Y186" s="101" t="s">
        <v>18</v>
      </c>
      <c r="Z186" s="101" t="s">
        <v>18</v>
      </c>
      <c r="AA186" s="101" t="s">
        <v>18</v>
      </c>
      <c r="AC186" s="101">
        <v>65</v>
      </c>
      <c r="AD186" s="101" t="s">
        <v>413</v>
      </c>
      <c r="AE186" s="20">
        <v>44425.484016203707</v>
      </c>
      <c r="AF186" s="101" t="s">
        <v>25</v>
      </c>
      <c r="AG186" s="101" t="s">
        <v>17</v>
      </c>
      <c r="AH186" s="101">
        <v>0</v>
      </c>
      <c r="AI186" s="101">
        <v>12.205</v>
      </c>
      <c r="AJ186" s="12">
        <v>2365</v>
      </c>
      <c r="AK186" s="101">
        <v>0.48199999999999998</v>
      </c>
      <c r="AL186" s="101" t="s">
        <v>18</v>
      </c>
      <c r="AM186" s="101" t="s">
        <v>18</v>
      </c>
      <c r="AN186" s="101" t="s">
        <v>18</v>
      </c>
      <c r="AO186" s="101" t="s">
        <v>18</v>
      </c>
      <c r="AQ186" s="101">
        <v>1</v>
      </c>
      <c r="AS186" s="7">
        <v>142</v>
      </c>
      <c r="AT186" s="23">
        <f t="shared" si="24"/>
        <v>0.5482673762000001</v>
      </c>
      <c r="AU186" s="103">
        <f t="shared" si="25"/>
        <v>448.23905416150006</v>
      </c>
      <c r="AV186" s="101">
        <f t="shared" si="28"/>
        <v>0.5482673762000001</v>
      </c>
      <c r="AW186" s="60">
        <f t="shared" si="29"/>
        <v>1.0068574849999994</v>
      </c>
      <c r="AX186" s="61">
        <f t="shared" si="30"/>
        <v>472.94991326675</v>
      </c>
      <c r="AZ186" s="23">
        <f t="shared" si="31"/>
        <v>0.5482673762000001</v>
      </c>
      <c r="BA186" s="103">
        <f t="shared" si="32"/>
        <v>448.23905416150006</v>
      </c>
      <c r="BC186" s="104">
        <f t="shared" si="33"/>
        <v>0.38678010920000028</v>
      </c>
      <c r="BD186" s="105">
        <f t="shared" si="34"/>
        <v>385.00276089800002</v>
      </c>
      <c r="BF186" s="115">
        <f t="shared" si="26"/>
        <v>-1.2157141871999997</v>
      </c>
      <c r="BG186" s="116">
        <f t="shared" si="27"/>
        <v>225.89152300000001</v>
      </c>
    </row>
    <row r="187" spans="1:59" s="101" customFormat="1" ht="14.4" x14ac:dyDescent="0.3">
      <c r="A187" s="101">
        <v>39</v>
      </c>
      <c r="B187" s="101" t="s">
        <v>414</v>
      </c>
      <c r="C187" s="20">
        <v>44432.654768518521</v>
      </c>
      <c r="D187" s="101" t="s">
        <v>25</v>
      </c>
      <c r="E187" s="101" t="s">
        <v>17</v>
      </c>
      <c r="F187" s="101">
        <v>0</v>
      </c>
      <c r="G187" s="101">
        <v>6.0789999999999997</v>
      </c>
      <c r="H187" s="12">
        <v>2239</v>
      </c>
      <c r="I187" s="101">
        <v>0</v>
      </c>
      <c r="J187" s="101" t="s">
        <v>18</v>
      </c>
      <c r="K187" s="101" t="s">
        <v>18</v>
      </c>
      <c r="L187" s="101" t="s">
        <v>18</v>
      </c>
      <c r="M187" s="101" t="s">
        <v>18</v>
      </c>
      <c r="O187" s="101">
        <v>39</v>
      </c>
      <c r="P187" s="101" t="s">
        <v>414</v>
      </c>
      <c r="Q187" s="20">
        <v>44432.654768518521</v>
      </c>
      <c r="R187" s="101" t="s">
        <v>25</v>
      </c>
      <c r="S187" s="101" t="s">
        <v>17</v>
      </c>
      <c r="T187" s="101">
        <v>0</v>
      </c>
      <c r="U187" s="101" t="s">
        <v>18</v>
      </c>
      <c r="V187" s="12" t="s">
        <v>18</v>
      </c>
      <c r="W187" s="101" t="s">
        <v>18</v>
      </c>
      <c r="X187" s="101" t="s">
        <v>18</v>
      </c>
      <c r="Y187" s="101" t="s">
        <v>18</v>
      </c>
      <c r="Z187" s="101" t="s">
        <v>18</v>
      </c>
      <c r="AA187" s="101" t="s">
        <v>18</v>
      </c>
      <c r="AC187" s="101">
        <v>39</v>
      </c>
      <c r="AD187" s="101" t="s">
        <v>414</v>
      </c>
      <c r="AE187" s="20">
        <v>44432.654768518521</v>
      </c>
      <c r="AF187" s="101" t="s">
        <v>25</v>
      </c>
      <c r="AG187" s="101" t="s">
        <v>17</v>
      </c>
      <c r="AH187" s="101">
        <v>0</v>
      </c>
      <c r="AI187" s="101">
        <v>12.224</v>
      </c>
      <c r="AJ187" s="12">
        <v>2437</v>
      </c>
      <c r="AK187" s="101">
        <v>0.496</v>
      </c>
      <c r="AL187" s="101" t="s">
        <v>18</v>
      </c>
      <c r="AM187" s="101" t="s">
        <v>18</v>
      </c>
      <c r="AN187" s="101" t="s">
        <v>18</v>
      </c>
      <c r="AO187" s="101" t="s">
        <v>18</v>
      </c>
      <c r="AQ187" s="101">
        <v>1</v>
      </c>
      <c r="AR187" s="101" t="s">
        <v>415</v>
      </c>
      <c r="AS187" s="7">
        <v>143</v>
      </c>
      <c r="AT187" s="23">
        <f t="shared" si="24"/>
        <v>1.55418663805</v>
      </c>
      <c r="AU187" s="103">
        <f t="shared" si="25"/>
        <v>461.99983236406001</v>
      </c>
      <c r="AV187" s="101">
        <f t="shared" si="28"/>
        <v>1.55418663805</v>
      </c>
      <c r="AW187" s="60">
        <f t="shared" si="29"/>
        <v>1.7920238212499999</v>
      </c>
      <c r="AX187" s="61">
        <f t="shared" si="30"/>
        <v>486.27701091587005</v>
      </c>
      <c r="AZ187" s="23">
        <f t="shared" si="31"/>
        <v>1.55418663805</v>
      </c>
      <c r="BA187" s="103">
        <f t="shared" si="32"/>
        <v>461.99983236406001</v>
      </c>
      <c r="BC187" s="104">
        <f t="shared" si="33"/>
        <v>0.79274758130000023</v>
      </c>
      <c r="BD187" s="105">
        <f t="shared" si="34"/>
        <v>399.87633751111997</v>
      </c>
      <c r="BF187" s="115">
        <f t="shared" si="26"/>
        <v>-0.79463726080000008</v>
      </c>
      <c r="BG187" s="116">
        <f t="shared" si="27"/>
        <v>233.13317932000001</v>
      </c>
    </row>
    <row r="188" spans="1:59" s="101" customFormat="1" ht="14.4" x14ac:dyDescent="0.3">
      <c r="A188" s="101">
        <v>39</v>
      </c>
      <c r="B188" s="101" t="s">
        <v>416</v>
      </c>
      <c r="C188" s="20">
        <v>44440.508067129631</v>
      </c>
      <c r="D188" s="101" t="s">
        <v>25</v>
      </c>
      <c r="E188" s="101" t="s">
        <v>17</v>
      </c>
      <c r="F188" s="101">
        <v>0</v>
      </c>
      <c r="G188" s="101">
        <v>6.0629999999999997</v>
      </c>
      <c r="H188" s="12">
        <v>2537</v>
      </c>
      <c r="I188" s="101">
        <v>0</v>
      </c>
      <c r="J188" s="101" t="s">
        <v>18</v>
      </c>
      <c r="K188" s="101" t="s">
        <v>18</v>
      </c>
      <c r="L188" s="101" t="s">
        <v>18</v>
      </c>
      <c r="M188" s="101" t="s">
        <v>18</v>
      </c>
      <c r="O188" s="101">
        <v>39</v>
      </c>
      <c r="P188" s="101" t="s">
        <v>416</v>
      </c>
      <c r="Q188" s="20">
        <v>44440.508067129631</v>
      </c>
      <c r="R188" s="101" t="s">
        <v>25</v>
      </c>
      <c r="S188" s="101" t="s">
        <v>17</v>
      </c>
      <c r="T188" s="101">
        <v>0</v>
      </c>
      <c r="U188" s="101" t="s">
        <v>18</v>
      </c>
      <c r="V188" s="12" t="s">
        <v>18</v>
      </c>
      <c r="W188" s="101" t="s">
        <v>18</v>
      </c>
      <c r="X188" s="101" t="s">
        <v>18</v>
      </c>
      <c r="Y188" s="101" t="s">
        <v>18</v>
      </c>
      <c r="Z188" s="101" t="s">
        <v>18</v>
      </c>
      <c r="AA188" s="101" t="s">
        <v>18</v>
      </c>
      <c r="AC188" s="101">
        <v>39</v>
      </c>
      <c r="AD188" s="101" t="s">
        <v>416</v>
      </c>
      <c r="AE188" s="20">
        <v>44440.508067129631</v>
      </c>
      <c r="AF188" s="101" t="s">
        <v>25</v>
      </c>
      <c r="AG188" s="101" t="s">
        <v>17</v>
      </c>
      <c r="AH188" s="101">
        <v>0</v>
      </c>
      <c r="AI188" s="101">
        <v>12.218</v>
      </c>
      <c r="AJ188" s="12">
        <v>3832</v>
      </c>
      <c r="AK188" s="101">
        <v>0.77500000000000002</v>
      </c>
      <c r="AL188" s="101" t="s">
        <v>18</v>
      </c>
      <c r="AM188" s="101" t="s">
        <v>18</v>
      </c>
      <c r="AN188" s="101" t="s">
        <v>18</v>
      </c>
      <c r="AO188" s="101" t="s">
        <v>18</v>
      </c>
      <c r="AQ188" s="101">
        <v>1</v>
      </c>
      <c r="AS188" s="7">
        <v>144</v>
      </c>
      <c r="AT188" s="23">
        <f t="shared" si="24"/>
        <v>2.6109634164499997</v>
      </c>
      <c r="AU188" s="103">
        <f t="shared" si="25"/>
        <v>728.58163451776011</v>
      </c>
      <c r="AV188" s="101">
        <f t="shared" si="28"/>
        <v>2.6109634164499997</v>
      </c>
      <c r="AW188" s="60">
        <f t="shared" si="29"/>
        <v>2.6283578412499997</v>
      </c>
      <c r="AX188" s="61">
        <f t="shared" si="30"/>
        <v>744.36107125952003</v>
      </c>
      <c r="AZ188" s="23">
        <f t="shared" si="31"/>
        <v>2.6109634164499997</v>
      </c>
      <c r="BA188" s="103">
        <f t="shared" si="32"/>
        <v>728.58163451776011</v>
      </c>
      <c r="BC188" s="104">
        <f t="shared" si="33"/>
        <v>1.2483457157</v>
      </c>
      <c r="BD188" s="105">
        <f t="shared" si="34"/>
        <v>687.99965860351995</v>
      </c>
      <c r="BF188" s="115">
        <f t="shared" si="26"/>
        <v>-0.34546329119999974</v>
      </c>
      <c r="BG188" s="116">
        <f t="shared" si="27"/>
        <v>369.92035072000004</v>
      </c>
    </row>
    <row r="189" spans="1:59" s="101" customFormat="1" ht="14.4" x14ac:dyDescent="0.3">
      <c r="A189" s="101">
        <v>39</v>
      </c>
      <c r="B189" s="101" t="s">
        <v>417</v>
      </c>
      <c r="C189" s="20">
        <v>44446.524814814817</v>
      </c>
      <c r="D189" s="101" t="s">
        <v>25</v>
      </c>
      <c r="E189" s="101" t="s">
        <v>17</v>
      </c>
      <c r="F189" s="101">
        <v>0</v>
      </c>
      <c r="G189" s="101">
        <v>6.0709999999999997</v>
      </c>
      <c r="H189" s="12">
        <v>2728</v>
      </c>
      <c r="I189" s="101">
        <v>1E-3</v>
      </c>
      <c r="J189" s="101" t="s">
        <v>18</v>
      </c>
      <c r="K189" s="101" t="s">
        <v>18</v>
      </c>
      <c r="L189" s="101" t="s">
        <v>18</v>
      </c>
      <c r="M189" s="101" t="s">
        <v>18</v>
      </c>
      <c r="O189" s="101">
        <v>39</v>
      </c>
      <c r="P189" s="101" t="s">
        <v>417</v>
      </c>
      <c r="Q189" s="20">
        <v>44446.524814814817</v>
      </c>
      <c r="R189" s="101" t="s">
        <v>25</v>
      </c>
      <c r="S189" s="101" t="s">
        <v>17</v>
      </c>
      <c r="T189" s="101">
        <v>0</v>
      </c>
      <c r="U189" s="101" t="s">
        <v>18</v>
      </c>
      <c r="V189" s="12" t="s">
        <v>18</v>
      </c>
      <c r="W189" s="101" t="s">
        <v>18</v>
      </c>
      <c r="X189" s="101" t="s">
        <v>18</v>
      </c>
      <c r="Y189" s="101" t="s">
        <v>18</v>
      </c>
      <c r="Z189" s="101" t="s">
        <v>18</v>
      </c>
      <c r="AA189" s="101" t="s">
        <v>18</v>
      </c>
      <c r="AC189" s="101">
        <v>39</v>
      </c>
      <c r="AD189" s="101" t="s">
        <v>417</v>
      </c>
      <c r="AE189" s="20">
        <v>44446.524814814817</v>
      </c>
      <c r="AF189" s="101" t="s">
        <v>25</v>
      </c>
      <c r="AG189" s="101" t="s">
        <v>17</v>
      </c>
      <c r="AH189" s="101">
        <v>0</v>
      </c>
      <c r="AI189" s="101">
        <v>12.22</v>
      </c>
      <c r="AJ189" s="12">
        <v>2662</v>
      </c>
      <c r="AK189" s="101">
        <v>0.54100000000000004</v>
      </c>
      <c r="AL189" s="101" t="s">
        <v>18</v>
      </c>
      <c r="AM189" s="101" t="s">
        <v>18</v>
      </c>
      <c r="AN189" s="101" t="s">
        <v>18</v>
      </c>
      <c r="AO189" s="101" t="s">
        <v>18</v>
      </c>
      <c r="AQ189" s="101">
        <v>1</v>
      </c>
      <c r="AS189" s="7">
        <v>145</v>
      </c>
      <c r="AT189" s="23">
        <f t="shared" si="24"/>
        <v>3.2828810272000002</v>
      </c>
      <c r="AU189" s="103">
        <f t="shared" si="25"/>
        <v>505.00117767256</v>
      </c>
      <c r="AV189" s="101">
        <f t="shared" si="28"/>
        <v>3.2828810272000002</v>
      </c>
      <c r="AW189" s="60">
        <f t="shared" si="29"/>
        <v>3.1663821599999995</v>
      </c>
      <c r="AX189" s="61">
        <f t="shared" si="30"/>
        <v>527.91999646412</v>
      </c>
      <c r="AZ189" s="23">
        <f t="shared" si="31"/>
        <v>3.2828810272000002</v>
      </c>
      <c r="BA189" s="103">
        <f t="shared" si="32"/>
        <v>505.00117767256</v>
      </c>
      <c r="BC189" s="104">
        <f t="shared" si="33"/>
        <v>1.5539274751999999</v>
      </c>
      <c r="BD189" s="105">
        <f t="shared" si="34"/>
        <v>446.35455905312</v>
      </c>
      <c r="BF189" s="115">
        <f t="shared" si="26"/>
        <v>-5.6150243200000283E-2</v>
      </c>
      <c r="BG189" s="116">
        <f t="shared" si="27"/>
        <v>255.64841632000002</v>
      </c>
    </row>
    <row r="190" spans="1:59" s="101" customFormat="1" ht="14.4" x14ac:dyDescent="0.3">
      <c r="A190" s="101">
        <v>39</v>
      </c>
      <c r="B190" s="101" t="s">
        <v>418</v>
      </c>
      <c r="C190" s="20">
        <v>44454.42224537037</v>
      </c>
      <c r="D190" s="101" t="s">
        <v>25</v>
      </c>
      <c r="E190" s="101" t="s">
        <v>17</v>
      </c>
      <c r="F190" s="101">
        <v>0</v>
      </c>
      <c r="G190" s="101">
        <v>6.0659999999999998</v>
      </c>
      <c r="H190" s="12">
        <v>2772</v>
      </c>
      <c r="I190" s="101">
        <v>1E-3</v>
      </c>
      <c r="J190" s="101" t="s">
        <v>18</v>
      </c>
      <c r="K190" s="101" t="s">
        <v>18</v>
      </c>
      <c r="L190" s="101" t="s">
        <v>18</v>
      </c>
      <c r="M190" s="101" t="s">
        <v>18</v>
      </c>
      <c r="O190" s="101">
        <v>39</v>
      </c>
      <c r="P190" s="101" t="s">
        <v>418</v>
      </c>
      <c r="Q190" s="20">
        <v>44454.42224537037</v>
      </c>
      <c r="R190" s="101" t="s">
        <v>25</v>
      </c>
      <c r="S190" s="101" t="s">
        <v>17</v>
      </c>
      <c r="T190" s="101">
        <v>0</v>
      </c>
      <c r="U190" s="101" t="s">
        <v>18</v>
      </c>
      <c r="V190" s="12" t="s">
        <v>18</v>
      </c>
      <c r="W190" s="101" t="s">
        <v>18</v>
      </c>
      <c r="X190" s="101" t="s">
        <v>18</v>
      </c>
      <c r="Y190" s="101" t="s">
        <v>18</v>
      </c>
      <c r="Z190" s="101" t="s">
        <v>18</v>
      </c>
      <c r="AA190" s="101" t="s">
        <v>18</v>
      </c>
      <c r="AC190" s="101">
        <v>39</v>
      </c>
      <c r="AD190" s="101" t="s">
        <v>418</v>
      </c>
      <c r="AE190" s="20">
        <v>44454.42224537037</v>
      </c>
      <c r="AF190" s="101" t="s">
        <v>25</v>
      </c>
      <c r="AG190" s="101" t="s">
        <v>17</v>
      </c>
      <c r="AH190" s="101">
        <v>0</v>
      </c>
      <c r="AI190" s="101">
        <v>12.202999999999999</v>
      </c>
      <c r="AJ190" s="12">
        <v>2672</v>
      </c>
      <c r="AK190" s="101">
        <v>0.54300000000000004</v>
      </c>
      <c r="AL190" s="101" t="s">
        <v>18</v>
      </c>
      <c r="AM190" s="101" t="s">
        <v>18</v>
      </c>
      <c r="AN190" s="101" t="s">
        <v>18</v>
      </c>
      <c r="AO190" s="101" t="s">
        <v>18</v>
      </c>
      <c r="AQ190" s="101">
        <v>1</v>
      </c>
      <c r="AS190" s="7">
        <v>146</v>
      </c>
      <c r="AT190" s="23">
        <f t="shared" si="24"/>
        <v>3.4370691271999991</v>
      </c>
      <c r="AU190" s="103">
        <f t="shared" si="25"/>
        <v>506.91231036416002</v>
      </c>
      <c r="AV190" s="101">
        <f t="shared" si="28"/>
        <v>3.4370691271999991</v>
      </c>
      <c r="AW190" s="60">
        <f t="shared" si="29"/>
        <v>3.2905446600000001</v>
      </c>
      <c r="AX190" s="61">
        <f t="shared" si="30"/>
        <v>529.77064831231996</v>
      </c>
      <c r="AZ190" s="23">
        <f t="shared" si="31"/>
        <v>3.4370691271999991</v>
      </c>
      <c r="BA190" s="103">
        <f t="shared" si="32"/>
        <v>506.91231036416002</v>
      </c>
      <c r="BC190" s="104">
        <f t="shared" si="33"/>
        <v>1.6258256752</v>
      </c>
      <c r="BD190" s="105">
        <f t="shared" si="34"/>
        <v>448.42019781632001</v>
      </c>
      <c r="BF190" s="115">
        <f t="shared" si="26"/>
        <v>1.0654956799999837E-2</v>
      </c>
      <c r="BG190" s="116">
        <f t="shared" si="27"/>
        <v>256.64505151999998</v>
      </c>
    </row>
    <row r="191" spans="1:59" s="101" customFormat="1" ht="14.4" x14ac:dyDescent="0.3">
      <c r="A191" s="101">
        <v>39</v>
      </c>
      <c r="B191" s="101" t="s">
        <v>419</v>
      </c>
      <c r="C191" s="20">
        <v>44461.441782407404</v>
      </c>
      <c r="D191" s="101" t="s">
        <v>25</v>
      </c>
      <c r="E191" s="101" t="s">
        <v>17</v>
      </c>
      <c r="F191" s="101">
        <v>0</v>
      </c>
      <c r="G191" s="101">
        <v>6.07</v>
      </c>
      <c r="H191" s="12">
        <v>2852</v>
      </c>
      <c r="I191" s="101">
        <v>1E-3</v>
      </c>
      <c r="J191" s="101" t="s">
        <v>18</v>
      </c>
      <c r="K191" s="101" t="s">
        <v>18</v>
      </c>
      <c r="L191" s="101" t="s">
        <v>18</v>
      </c>
      <c r="M191" s="101" t="s">
        <v>18</v>
      </c>
      <c r="O191" s="101">
        <v>39</v>
      </c>
      <c r="P191" s="101" t="s">
        <v>419</v>
      </c>
      <c r="Q191" s="20">
        <v>44461.441782407404</v>
      </c>
      <c r="R191" s="101" t="s">
        <v>25</v>
      </c>
      <c r="S191" s="101" t="s">
        <v>17</v>
      </c>
      <c r="T191" s="101">
        <v>0</v>
      </c>
      <c r="U191" s="101" t="s">
        <v>18</v>
      </c>
      <c r="V191" s="12" t="s">
        <v>18</v>
      </c>
      <c r="W191" s="101" t="s">
        <v>18</v>
      </c>
      <c r="X191" s="101" t="s">
        <v>18</v>
      </c>
      <c r="Y191" s="101" t="s">
        <v>18</v>
      </c>
      <c r="Z191" s="101" t="s">
        <v>18</v>
      </c>
      <c r="AA191" s="101" t="s">
        <v>18</v>
      </c>
      <c r="AC191" s="101">
        <v>39</v>
      </c>
      <c r="AD191" s="101" t="s">
        <v>419</v>
      </c>
      <c r="AE191" s="20">
        <v>44461.441782407404</v>
      </c>
      <c r="AF191" s="101" t="s">
        <v>25</v>
      </c>
      <c r="AG191" s="101" t="s">
        <v>17</v>
      </c>
      <c r="AH191" s="101">
        <v>0</v>
      </c>
      <c r="AI191" s="101">
        <v>12.202999999999999</v>
      </c>
      <c r="AJ191" s="12">
        <v>2856</v>
      </c>
      <c r="AK191" s="101">
        <v>0.57999999999999996</v>
      </c>
      <c r="AL191" s="101" t="s">
        <v>18</v>
      </c>
      <c r="AM191" s="101" t="s">
        <v>18</v>
      </c>
      <c r="AN191" s="101" t="s">
        <v>18</v>
      </c>
      <c r="AO191" s="101" t="s">
        <v>18</v>
      </c>
      <c r="AQ191" s="101">
        <v>1</v>
      </c>
      <c r="AS191" s="7">
        <v>147</v>
      </c>
      <c r="AT191" s="23">
        <f t="shared" si="24"/>
        <v>3.7168362631999994</v>
      </c>
      <c r="AU191" s="103">
        <f t="shared" si="25"/>
        <v>542.07657147264013</v>
      </c>
      <c r="AV191" s="101">
        <f t="shared" si="28"/>
        <v>3.7168362631999994</v>
      </c>
      <c r="AW191" s="60">
        <f t="shared" si="29"/>
        <v>3.5165054599999985</v>
      </c>
      <c r="AX191" s="61">
        <f t="shared" si="30"/>
        <v>563.82040168128015</v>
      </c>
      <c r="AZ191" s="23">
        <f t="shared" si="31"/>
        <v>3.7168362631999994</v>
      </c>
      <c r="BA191" s="103">
        <f t="shared" si="32"/>
        <v>542.07657147264013</v>
      </c>
      <c r="BC191" s="104">
        <f t="shared" si="33"/>
        <v>1.7579910512000001</v>
      </c>
      <c r="BD191" s="105">
        <f t="shared" si="34"/>
        <v>486.42704009727998</v>
      </c>
      <c r="BF191" s="115">
        <f t="shared" si="26"/>
        <v>0.13226974079999998</v>
      </c>
      <c r="BG191" s="116">
        <f t="shared" si="27"/>
        <v>274.92174208000006</v>
      </c>
    </row>
    <row r="192" spans="1:59" s="101" customFormat="1" ht="14.4" x14ac:dyDescent="0.3">
      <c r="A192" s="101">
        <v>39</v>
      </c>
      <c r="B192" s="101" t="s">
        <v>420</v>
      </c>
      <c r="C192" s="20">
        <v>44467.611909722225</v>
      </c>
      <c r="D192" s="101" t="s">
        <v>25</v>
      </c>
      <c r="E192" s="101" t="s">
        <v>17</v>
      </c>
      <c r="F192" s="101">
        <v>0</v>
      </c>
      <c r="G192" s="101">
        <v>6.0730000000000004</v>
      </c>
      <c r="H192" s="12">
        <v>2699</v>
      </c>
      <c r="I192" s="101">
        <v>1E-3</v>
      </c>
      <c r="J192" s="101" t="s">
        <v>18</v>
      </c>
      <c r="K192" s="101" t="s">
        <v>18</v>
      </c>
      <c r="L192" s="101" t="s">
        <v>18</v>
      </c>
      <c r="M192" s="101" t="s">
        <v>18</v>
      </c>
      <c r="O192" s="101">
        <v>39</v>
      </c>
      <c r="P192" s="101" t="s">
        <v>420</v>
      </c>
      <c r="Q192" s="20">
        <v>44467.611909722225</v>
      </c>
      <c r="R192" s="101" t="s">
        <v>25</v>
      </c>
      <c r="S192" s="101" t="s">
        <v>17</v>
      </c>
      <c r="T192" s="101">
        <v>0</v>
      </c>
      <c r="U192" s="101" t="s">
        <v>18</v>
      </c>
      <c r="V192" s="12" t="s">
        <v>18</v>
      </c>
      <c r="W192" s="101" t="s">
        <v>18</v>
      </c>
      <c r="X192" s="101" t="s">
        <v>18</v>
      </c>
      <c r="Y192" s="101" t="s">
        <v>18</v>
      </c>
      <c r="Z192" s="101" t="s">
        <v>18</v>
      </c>
      <c r="AA192" s="101" t="s">
        <v>18</v>
      </c>
      <c r="AC192" s="101">
        <v>39</v>
      </c>
      <c r="AD192" s="101" t="s">
        <v>420</v>
      </c>
      <c r="AE192" s="20">
        <v>44467.611909722225</v>
      </c>
      <c r="AF192" s="101" t="s">
        <v>25</v>
      </c>
      <c r="AG192" s="101" t="s">
        <v>17</v>
      </c>
      <c r="AH192" s="101">
        <v>0</v>
      </c>
      <c r="AI192" s="101">
        <v>12.218</v>
      </c>
      <c r="AJ192" s="12">
        <v>2736</v>
      </c>
      <c r="AK192" s="101">
        <v>0.55600000000000005</v>
      </c>
      <c r="AL192" s="101" t="s">
        <v>18</v>
      </c>
      <c r="AM192" s="101" t="s">
        <v>18</v>
      </c>
      <c r="AN192" s="101" t="s">
        <v>18</v>
      </c>
      <c r="AO192" s="101" t="s">
        <v>18</v>
      </c>
      <c r="AQ192" s="101">
        <v>1</v>
      </c>
      <c r="AS192" s="7">
        <v>148</v>
      </c>
      <c r="AT192" s="23">
        <f t="shared" si="24"/>
        <v>3.1811343720499998</v>
      </c>
      <c r="AU192" s="103">
        <f t="shared" si="25"/>
        <v>519.14348258304005</v>
      </c>
      <c r="AV192" s="101">
        <f t="shared" si="28"/>
        <v>3.1811343720499998</v>
      </c>
      <c r="AW192" s="60">
        <f t="shared" si="29"/>
        <v>3.0845927712499996</v>
      </c>
      <c r="AX192" s="61">
        <f t="shared" si="30"/>
        <v>541.61452286208009</v>
      </c>
      <c r="AZ192" s="23">
        <f t="shared" si="31"/>
        <v>3.1811343720499998</v>
      </c>
      <c r="BA192" s="103">
        <f t="shared" si="32"/>
        <v>519.14348258304005</v>
      </c>
      <c r="BC192" s="104">
        <f t="shared" si="33"/>
        <v>1.5068476253000005</v>
      </c>
      <c r="BD192" s="105">
        <f t="shared" si="34"/>
        <v>461.64016503808006</v>
      </c>
      <c r="BF192" s="115">
        <f t="shared" si="26"/>
        <v>-0.10014876479999968</v>
      </c>
      <c r="BG192" s="116">
        <f t="shared" si="27"/>
        <v>263.01537088000003</v>
      </c>
    </row>
    <row r="193" spans="1:59" s="101" customFormat="1" ht="14.4" x14ac:dyDescent="0.3">
      <c r="A193" s="101">
        <v>39</v>
      </c>
      <c r="B193" s="101" t="s">
        <v>421</v>
      </c>
      <c r="C193" s="20">
        <v>44474.540543981479</v>
      </c>
      <c r="D193" s="101" t="s">
        <v>25</v>
      </c>
      <c r="E193" s="101" t="s">
        <v>17</v>
      </c>
      <c r="F193" s="101">
        <v>0</v>
      </c>
      <c r="G193" s="101">
        <v>6.0609999999999999</v>
      </c>
      <c r="H193" s="12">
        <v>2370</v>
      </c>
      <c r="I193" s="101">
        <v>0</v>
      </c>
      <c r="J193" s="101" t="s">
        <v>18</v>
      </c>
      <c r="K193" s="101" t="s">
        <v>18</v>
      </c>
      <c r="L193" s="101" t="s">
        <v>18</v>
      </c>
      <c r="M193" s="101" t="s">
        <v>18</v>
      </c>
      <c r="O193" s="101">
        <v>39</v>
      </c>
      <c r="P193" s="101" t="s">
        <v>421</v>
      </c>
      <c r="Q193" s="20">
        <v>44474.540543981479</v>
      </c>
      <c r="R193" s="101" t="s">
        <v>25</v>
      </c>
      <c r="S193" s="101" t="s">
        <v>17</v>
      </c>
      <c r="T193" s="101">
        <v>0</v>
      </c>
      <c r="U193" s="101" t="s">
        <v>18</v>
      </c>
      <c r="V193" s="12" t="s">
        <v>18</v>
      </c>
      <c r="W193" s="101" t="s">
        <v>18</v>
      </c>
      <c r="X193" s="101" t="s">
        <v>18</v>
      </c>
      <c r="Y193" s="101" t="s">
        <v>18</v>
      </c>
      <c r="Z193" s="101" t="s">
        <v>18</v>
      </c>
      <c r="AA193" s="101" t="s">
        <v>18</v>
      </c>
      <c r="AC193" s="101">
        <v>39</v>
      </c>
      <c r="AD193" s="101" t="s">
        <v>421</v>
      </c>
      <c r="AE193" s="20">
        <v>44474.540543981479</v>
      </c>
      <c r="AF193" s="101" t="s">
        <v>25</v>
      </c>
      <c r="AG193" s="101" t="s">
        <v>17</v>
      </c>
      <c r="AH193" s="101">
        <v>0</v>
      </c>
      <c r="AI193" s="101">
        <v>12.22</v>
      </c>
      <c r="AJ193" s="12">
        <v>2535</v>
      </c>
      <c r="AK193" s="101">
        <v>0.51600000000000001</v>
      </c>
      <c r="AL193" s="101" t="s">
        <v>18</v>
      </c>
      <c r="AM193" s="101" t="s">
        <v>18</v>
      </c>
      <c r="AN193" s="101" t="s">
        <v>18</v>
      </c>
      <c r="AO193" s="101" t="s">
        <v>18</v>
      </c>
      <c r="AQ193" s="101">
        <v>1</v>
      </c>
      <c r="AS193" s="7">
        <v>149</v>
      </c>
      <c r="AT193" s="23">
        <f t="shared" si="24"/>
        <v>2.020010645000001</v>
      </c>
      <c r="AU193" s="103">
        <f t="shared" si="25"/>
        <v>480.7295095815</v>
      </c>
      <c r="AV193" s="101">
        <f t="shared" si="28"/>
        <v>2.020010645000001</v>
      </c>
      <c r="AW193" s="60">
        <f t="shared" si="29"/>
        <v>2.1592091249999994</v>
      </c>
      <c r="AX193" s="61">
        <f t="shared" si="30"/>
        <v>504.41562585675001</v>
      </c>
      <c r="AZ193" s="23">
        <f t="shared" si="31"/>
        <v>2.020010645000001</v>
      </c>
      <c r="BA193" s="103">
        <f t="shared" si="32"/>
        <v>480.7295095815</v>
      </c>
      <c r="BC193" s="104">
        <f t="shared" si="33"/>
        <v>0.98984857000000015</v>
      </c>
      <c r="BD193" s="105">
        <f t="shared" si="34"/>
        <v>420.12050273800008</v>
      </c>
      <c r="BF193" s="115">
        <f t="shared" si="26"/>
        <v>-0.59751412000000004</v>
      </c>
      <c r="BG193" s="116">
        <f t="shared" si="27"/>
        <v>242.96122300000002</v>
      </c>
    </row>
    <row r="194" spans="1:59" s="101" customFormat="1" ht="14.4" x14ac:dyDescent="0.3">
      <c r="A194" s="101">
        <v>39</v>
      </c>
      <c r="B194" s="101" t="s">
        <v>422</v>
      </c>
      <c r="C194" s="20">
        <v>44481.414814814816</v>
      </c>
      <c r="D194" s="101" t="s">
        <v>25</v>
      </c>
      <c r="E194" s="101" t="s">
        <v>17</v>
      </c>
      <c r="F194" s="101">
        <v>0</v>
      </c>
      <c r="G194" s="101">
        <v>6.0650000000000004</v>
      </c>
      <c r="H194" s="12">
        <v>2538</v>
      </c>
      <c r="I194" s="101">
        <v>0</v>
      </c>
      <c r="J194" s="101" t="s">
        <v>18</v>
      </c>
      <c r="K194" s="101" t="s">
        <v>18</v>
      </c>
      <c r="L194" s="101" t="s">
        <v>18</v>
      </c>
      <c r="M194" s="101" t="s">
        <v>18</v>
      </c>
      <c r="O194" s="101">
        <v>39</v>
      </c>
      <c r="P194" s="101" t="s">
        <v>422</v>
      </c>
      <c r="Q194" s="20">
        <v>44481.414814814816</v>
      </c>
      <c r="R194" s="101" t="s">
        <v>25</v>
      </c>
      <c r="S194" s="101" t="s">
        <v>17</v>
      </c>
      <c r="T194" s="101">
        <v>0</v>
      </c>
      <c r="U194" s="101" t="s">
        <v>18</v>
      </c>
      <c r="V194" s="101" t="s">
        <v>18</v>
      </c>
      <c r="W194" s="101" t="s">
        <v>18</v>
      </c>
      <c r="X194" s="101" t="s">
        <v>18</v>
      </c>
      <c r="Y194" s="101" t="s">
        <v>18</v>
      </c>
      <c r="Z194" s="101" t="s">
        <v>18</v>
      </c>
      <c r="AA194" s="101" t="s">
        <v>18</v>
      </c>
      <c r="AC194" s="101">
        <v>39</v>
      </c>
      <c r="AD194" s="101" t="s">
        <v>422</v>
      </c>
      <c r="AE194" s="20">
        <v>44481.414814814816</v>
      </c>
      <c r="AF194" s="101" t="s">
        <v>25</v>
      </c>
      <c r="AG194" s="101" t="s">
        <v>17</v>
      </c>
      <c r="AH194" s="101">
        <v>0</v>
      </c>
      <c r="AI194" s="101">
        <v>12.207000000000001</v>
      </c>
      <c r="AJ194" s="12">
        <v>3150</v>
      </c>
      <c r="AK194" s="101">
        <v>0.63800000000000001</v>
      </c>
      <c r="AL194" s="101" t="s">
        <v>18</v>
      </c>
      <c r="AM194" s="101" t="s">
        <v>18</v>
      </c>
      <c r="AN194" s="101" t="s">
        <v>18</v>
      </c>
      <c r="AO194" s="101" t="s">
        <v>18</v>
      </c>
      <c r="AQ194" s="101">
        <v>1</v>
      </c>
      <c r="AS194" s="7">
        <v>150</v>
      </c>
      <c r="AT194" s="23">
        <f t="shared" si="24"/>
        <v>2.6144923202000001</v>
      </c>
      <c r="AU194" s="103">
        <f t="shared" si="25"/>
        <v>598.26066015000004</v>
      </c>
      <c r="AV194" s="101">
        <f t="shared" si="28"/>
        <v>2.6144923202000001</v>
      </c>
      <c r="AW194" s="60">
        <f t="shared" si="29"/>
        <v>2.6311706849999998</v>
      </c>
      <c r="AX194" s="61">
        <f t="shared" si="30"/>
        <v>618.21716467500005</v>
      </c>
      <c r="AZ194" s="23">
        <f t="shared" si="31"/>
        <v>2.6144923202000001</v>
      </c>
      <c r="BA194" s="103">
        <f t="shared" si="32"/>
        <v>598.26066015000004</v>
      </c>
      <c r="BC194" s="104">
        <f t="shared" si="33"/>
        <v>1.2499180132000001</v>
      </c>
      <c r="BD194" s="105">
        <f t="shared" si="34"/>
        <v>547.15177779999999</v>
      </c>
      <c r="BF194" s="115">
        <f t="shared" si="26"/>
        <v>-0.34395145120000015</v>
      </c>
      <c r="BG194" s="116">
        <f t="shared" si="27"/>
        <v>303.88299999999998</v>
      </c>
    </row>
    <row r="195" spans="1:59" s="101" customFormat="1" ht="14.4" x14ac:dyDescent="0.3">
      <c r="A195" s="101">
        <v>39</v>
      </c>
      <c r="B195" s="101" t="s">
        <v>423</v>
      </c>
      <c r="C195" s="20">
        <v>44482.6172337963</v>
      </c>
      <c r="D195" s="101" t="s">
        <v>25</v>
      </c>
      <c r="E195" s="101" t="s">
        <v>17</v>
      </c>
      <c r="F195" s="101">
        <v>0</v>
      </c>
      <c r="G195" s="101">
        <v>6.0620000000000003</v>
      </c>
      <c r="H195" s="12">
        <v>2752</v>
      </c>
      <c r="I195" s="101">
        <v>1E-3</v>
      </c>
      <c r="J195" s="101" t="s">
        <v>18</v>
      </c>
      <c r="K195" s="101" t="s">
        <v>18</v>
      </c>
      <c r="L195" s="101" t="s">
        <v>18</v>
      </c>
      <c r="M195" s="101" t="s">
        <v>18</v>
      </c>
      <c r="O195" s="101">
        <v>39</v>
      </c>
      <c r="P195" s="101" t="s">
        <v>423</v>
      </c>
      <c r="Q195" s="20">
        <v>44482.6172337963</v>
      </c>
      <c r="R195" s="101" t="s">
        <v>25</v>
      </c>
      <c r="S195" s="101" t="s">
        <v>17</v>
      </c>
      <c r="T195" s="101">
        <v>0</v>
      </c>
      <c r="U195" s="101" t="s">
        <v>18</v>
      </c>
      <c r="V195" s="12" t="s">
        <v>18</v>
      </c>
      <c r="W195" s="101" t="s">
        <v>18</v>
      </c>
      <c r="X195" s="101" t="s">
        <v>18</v>
      </c>
      <c r="Y195" s="101" t="s">
        <v>18</v>
      </c>
      <c r="Z195" s="101" t="s">
        <v>18</v>
      </c>
      <c r="AA195" s="101" t="s">
        <v>18</v>
      </c>
      <c r="AC195" s="101">
        <v>39</v>
      </c>
      <c r="AD195" s="101" t="s">
        <v>423</v>
      </c>
      <c r="AE195" s="20">
        <v>44482.6172337963</v>
      </c>
      <c r="AF195" s="101" t="s">
        <v>25</v>
      </c>
      <c r="AG195" s="101" t="s">
        <v>17</v>
      </c>
      <c r="AH195" s="101">
        <v>0</v>
      </c>
      <c r="AI195" s="101">
        <v>12.201000000000001</v>
      </c>
      <c r="AJ195" s="12">
        <v>2609</v>
      </c>
      <c r="AK195" s="101">
        <v>0.53</v>
      </c>
      <c r="AL195" s="101" t="s">
        <v>18</v>
      </c>
      <c r="AM195" s="101" t="s">
        <v>18</v>
      </c>
      <c r="AN195" s="101" t="s">
        <v>18</v>
      </c>
      <c r="AO195" s="101" t="s">
        <v>18</v>
      </c>
      <c r="AQ195" s="101">
        <v>1</v>
      </c>
      <c r="AS195" s="7">
        <v>151</v>
      </c>
      <c r="AT195" s="23">
        <f t="shared" si="24"/>
        <v>3.3670114432000009</v>
      </c>
      <c r="AU195" s="103">
        <f t="shared" si="25"/>
        <v>494.87212011494</v>
      </c>
      <c r="AV195" s="101">
        <f t="shared" si="28"/>
        <v>3.3670114432000009</v>
      </c>
      <c r="AW195" s="60">
        <f t="shared" si="29"/>
        <v>3.2340969599999996</v>
      </c>
      <c r="AX195" s="61">
        <f t="shared" si="30"/>
        <v>518.11133207963007</v>
      </c>
      <c r="AZ195" s="23">
        <f t="shared" si="31"/>
        <v>3.3670114432000009</v>
      </c>
      <c r="BA195" s="103">
        <f t="shared" si="32"/>
        <v>494.87212011494</v>
      </c>
      <c r="BC195" s="104">
        <f t="shared" si="33"/>
        <v>1.5930749312000001</v>
      </c>
      <c r="BD195" s="105">
        <f t="shared" si="34"/>
        <v>435.40658839688007</v>
      </c>
      <c r="BF195" s="115">
        <f t="shared" si="26"/>
        <v>-1.9718339199999768E-2</v>
      </c>
      <c r="BG195" s="116">
        <f t="shared" si="27"/>
        <v>250.36050668000001</v>
      </c>
    </row>
    <row r="196" spans="1:59" s="101" customFormat="1" ht="14.4" x14ac:dyDescent="0.3">
      <c r="A196" s="101">
        <v>39</v>
      </c>
      <c r="B196" s="101" t="s">
        <v>424</v>
      </c>
      <c r="C196" s="20">
        <v>44488.440300925926</v>
      </c>
      <c r="D196" s="101" t="s">
        <v>25</v>
      </c>
      <c r="E196" s="101" t="s">
        <v>17</v>
      </c>
      <c r="F196" s="101">
        <v>0</v>
      </c>
      <c r="G196" s="101">
        <v>6.0810000000000004</v>
      </c>
      <c r="H196" s="12">
        <v>2331</v>
      </c>
      <c r="I196" s="101">
        <v>0</v>
      </c>
      <c r="J196" s="101" t="s">
        <v>18</v>
      </c>
      <c r="K196" s="101" t="s">
        <v>18</v>
      </c>
      <c r="L196" s="101" t="s">
        <v>18</v>
      </c>
      <c r="M196" s="101" t="s">
        <v>18</v>
      </c>
      <c r="O196" s="101">
        <v>39</v>
      </c>
      <c r="P196" s="101" t="s">
        <v>424</v>
      </c>
      <c r="Q196" s="20">
        <v>44488.440300925926</v>
      </c>
      <c r="R196" s="101" t="s">
        <v>25</v>
      </c>
      <c r="S196" s="101" t="s">
        <v>17</v>
      </c>
      <c r="T196" s="101">
        <v>0</v>
      </c>
      <c r="U196" s="101" t="s">
        <v>18</v>
      </c>
      <c r="V196" s="12" t="s">
        <v>18</v>
      </c>
      <c r="W196" s="101" t="s">
        <v>18</v>
      </c>
      <c r="X196" s="101" t="s">
        <v>18</v>
      </c>
      <c r="Y196" s="101" t="s">
        <v>18</v>
      </c>
      <c r="Z196" s="101" t="s">
        <v>18</v>
      </c>
      <c r="AA196" s="101" t="s">
        <v>18</v>
      </c>
      <c r="AC196" s="101">
        <v>39</v>
      </c>
      <c r="AD196" s="101" t="s">
        <v>424</v>
      </c>
      <c r="AE196" s="20">
        <v>44488.440300925926</v>
      </c>
      <c r="AF196" s="101" t="s">
        <v>25</v>
      </c>
      <c r="AG196" s="101" t="s">
        <v>17</v>
      </c>
      <c r="AH196" s="101">
        <v>0</v>
      </c>
      <c r="AI196" s="101">
        <v>12.246</v>
      </c>
      <c r="AJ196" s="12">
        <v>3300</v>
      </c>
      <c r="AK196" s="101">
        <v>0.66800000000000004</v>
      </c>
      <c r="AL196" s="101" t="s">
        <v>18</v>
      </c>
      <c r="AM196" s="101" t="s">
        <v>18</v>
      </c>
      <c r="AN196" s="101" t="s">
        <v>18</v>
      </c>
      <c r="AO196" s="101" t="s">
        <v>18</v>
      </c>
      <c r="AQ196" s="101">
        <v>1</v>
      </c>
      <c r="AS196" s="7">
        <v>152</v>
      </c>
      <c r="AT196" s="23">
        <f t="shared" si="24"/>
        <v>1.8815381400499991</v>
      </c>
      <c r="AU196" s="103">
        <f t="shared" si="25"/>
        <v>626.92492860000004</v>
      </c>
      <c r="AV196" s="101">
        <f t="shared" si="28"/>
        <v>1.8815381400499991</v>
      </c>
      <c r="AW196" s="60">
        <f t="shared" si="29"/>
        <v>2.0498181712499992</v>
      </c>
      <c r="AX196" s="61">
        <f t="shared" si="30"/>
        <v>645.96643470000004</v>
      </c>
      <c r="AZ196" s="23">
        <f t="shared" si="31"/>
        <v>1.8815381400499991</v>
      </c>
      <c r="BA196" s="103">
        <f t="shared" si="32"/>
        <v>626.92492860000004</v>
      </c>
      <c r="BC196" s="104">
        <f t="shared" si="33"/>
        <v>0.93064831330000009</v>
      </c>
      <c r="BD196" s="105">
        <f t="shared" si="34"/>
        <v>578.1320872</v>
      </c>
      <c r="BF196" s="115">
        <f t="shared" si="26"/>
        <v>-0.65625417279999976</v>
      </c>
      <c r="BG196" s="116">
        <f t="shared" si="27"/>
        <v>318.54460000000006</v>
      </c>
    </row>
    <row r="197" spans="1:59" s="101" customFormat="1" ht="14.4" x14ac:dyDescent="0.3">
      <c r="A197" s="101">
        <v>39</v>
      </c>
      <c r="B197" s="101" t="s">
        <v>425</v>
      </c>
      <c r="C197" s="20">
        <v>44495.502974537034</v>
      </c>
      <c r="D197" s="101" t="s">
        <v>25</v>
      </c>
      <c r="E197" s="101" t="s">
        <v>17</v>
      </c>
      <c r="F197" s="101">
        <v>0</v>
      </c>
      <c r="G197" s="101">
        <v>6.0650000000000004</v>
      </c>
      <c r="H197" s="12">
        <v>2268</v>
      </c>
      <c r="I197" s="101">
        <v>0</v>
      </c>
      <c r="J197" s="101" t="s">
        <v>18</v>
      </c>
      <c r="K197" s="101" t="s">
        <v>18</v>
      </c>
      <c r="L197" s="101" t="s">
        <v>18</v>
      </c>
      <c r="M197" s="101" t="s">
        <v>18</v>
      </c>
      <c r="O197" s="101">
        <v>39</v>
      </c>
      <c r="P197" s="101" t="s">
        <v>425</v>
      </c>
      <c r="Q197" s="20">
        <v>44495.502974537034</v>
      </c>
      <c r="R197" s="101" t="s">
        <v>25</v>
      </c>
      <c r="S197" s="101" t="s">
        <v>17</v>
      </c>
      <c r="T197" s="101">
        <v>0</v>
      </c>
      <c r="U197" s="101" t="s">
        <v>18</v>
      </c>
      <c r="V197" s="12" t="s">
        <v>18</v>
      </c>
      <c r="W197" s="101" t="s">
        <v>18</v>
      </c>
      <c r="X197" s="101" t="s">
        <v>18</v>
      </c>
      <c r="Y197" s="101" t="s">
        <v>18</v>
      </c>
      <c r="Z197" s="101" t="s">
        <v>18</v>
      </c>
      <c r="AA197" s="101" t="s">
        <v>18</v>
      </c>
      <c r="AC197" s="101">
        <v>39</v>
      </c>
      <c r="AD197" s="101" t="s">
        <v>425</v>
      </c>
      <c r="AE197" s="20">
        <v>44495.502974537034</v>
      </c>
      <c r="AF197" s="101" t="s">
        <v>25</v>
      </c>
      <c r="AG197" s="101" t="s">
        <v>17</v>
      </c>
      <c r="AH197" s="101">
        <v>0</v>
      </c>
      <c r="AI197" s="101">
        <v>12.242000000000001</v>
      </c>
      <c r="AJ197" s="12">
        <v>2352</v>
      </c>
      <c r="AK197" s="101">
        <v>0.47899999999999998</v>
      </c>
      <c r="AL197" s="101" t="s">
        <v>18</v>
      </c>
      <c r="AM197" s="101" t="s">
        <v>18</v>
      </c>
      <c r="AN197" s="101" t="s">
        <v>18</v>
      </c>
      <c r="AO197" s="101" t="s">
        <v>18</v>
      </c>
      <c r="AQ197" s="101">
        <v>1</v>
      </c>
      <c r="AS197" s="7">
        <v>153</v>
      </c>
      <c r="AT197" s="23">
        <f t="shared" si="24"/>
        <v>1.6574793992000014</v>
      </c>
      <c r="AU197" s="103">
        <f t="shared" si="25"/>
        <v>445.75445124096001</v>
      </c>
      <c r="AV197" s="101">
        <f t="shared" si="28"/>
        <v>1.6574793992000014</v>
      </c>
      <c r="AW197" s="60">
        <f t="shared" si="29"/>
        <v>1.8732462600000002</v>
      </c>
      <c r="AX197" s="61">
        <f t="shared" si="30"/>
        <v>470.54356238592004</v>
      </c>
      <c r="AZ197" s="23">
        <f t="shared" si="31"/>
        <v>1.6574793992000014</v>
      </c>
      <c r="BA197" s="103">
        <f t="shared" si="32"/>
        <v>445.75445124096001</v>
      </c>
      <c r="BC197" s="104">
        <f t="shared" si="33"/>
        <v>0.83595082720000025</v>
      </c>
      <c r="BD197" s="105">
        <f t="shared" si="34"/>
        <v>382.31722580991999</v>
      </c>
      <c r="BF197" s="115">
        <f t="shared" si="26"/>
        <v>-0.7510442751999995</v>
      </c>
      <c r="BG197" s="116">
        <f t="shared" si="27"/>
        <v>224.58210112</v>
      </c>
    </row>
    <row r="198" spans="1:59" s="101" customFormat="1" ht="14.4" x14ac:dyDescent="0.3">
      <c r="A198" s="101">
        <v>39</v>
      </c>
      <c r="B198" s="101" t="s">
        <v>426</v>
      </c>
      <c r="C198" s="20">
        <v>44496.452384259261</v>
      </c>
      <c r="D198" s="101" t="s">
        <v>25</v>
      </c>
      <c r="E198" s="101" t="s">
        <v>17</v>
      </c>
      <c r="F198" s="101">
        <v>0</v>
      </c>
      <c r="G198" s="101">
        <v>6.0880000000000001</v>
      </c>
      <c r="H198" s="12">
        <v>2432</v>
      </c>
      <c r="I198" s="101">
        <v>0</v>
      </c>
      <c r="J198" s="101" t="s">
        <v>18</v>
      </c>
      <c r="K198" s="101" t="s">
        <v>18</v>
      </c>
      <c r="L198" s="101" t="s">
        <v>18</v>
      </c>
      <c r="M198" s="101" t="s">
        <v>18</v>
      </c>
      <c r="O198" s="101">
        <v>39</v>
      </c>
      <c r="P198" s="101" t="s">
        <v>426</v>
      </c>
      <c r="Q198" s="20">
        <v>44496.452384259261</v>
      </c>
      <c r="R198" s="101" t="s">
        <v>25</v>
      </c>
      <c r="S198" s="101" t="s">
        <v>17</v>
      </c>
      <c r="T198" s="101">
        <v>0</v>
      </c>
      <c r="U198" s="101" t="s">
        <v>18</v>
      </c>
      <c r="V198" s="12" t="s">
        <v>18</v>
      </c>
      <c r="W198" s="101" t="s">
        <v>18</v>
      </c>
      <c r="X198" s="101" t="s">
        <v>18</v>
      </c>
      <c r="Y198" s="101" t="s">
        <v>18</v>
      </c>
      <c r="Z198" s="101" t="s">
        <v>18</v>
      </c>
      <c r="AA198" s="101" t="s">
        <v>18</v>
      </c>
      <c r="AC198" s="101">
        <v>39</v>
      </c>
      <c r="AD198" s="101" t="s">
        <v>426</v>
      </c>
      <c r="AE198" s="20">
        <v>44496.452384259261</v>
      </c>
      <c r="AF198" s="101" t="s">
        <v>25</v>
      </c>
      <c r="AG198" s="101" t="s">
        <v>17</v>
      </c>
      <c r="AH198" s="101">
        <v>0</v>
      </c>
      <c r="AI198" s="101">
        <v>12.278</v>
      </c>
      <c r="AJ198" s="12">
        <v>2567</v>
      </c>
      <c r="AK198" s="101">
        <v>0.52200000000000002</v>
      </c>
      <c r="AL198" s="101" t="s">
        <v>18</v>
      </c>
      <c r="AM198" s="101" t="s">
        <v>18</v>
      </c>
      <c r="AN198" s="101" t="s">
        <v>18</v>
      </c>
      <c r="AO198" s="101" t="s">
        <v>18</v>
      </c>
      <c r="AQ198" s="101">
        <v>1</v>
      </c>
      <c r="AS198" s="7">
        <v>154</v>
      </c>
      <c r="AT198" s="23">
        <f t="shared" si="24"/>
        <v>2.2397835392000012</v>
      </c>
      <c r="AU198" s="103">
        <f t="shared" si="25"/>
        <v>486.84525490886</v>
      </c>
      <c r="AV198" s="101">
        <f t="shared" si="28"/>
        <v>2.2397835392000012</v>
      </c>
      <c r="AW198" s="60">
        <f t="shared" si="29"/>
        <v>2.3332457599999987</v>
      </c>
      <c r="AX198" s="61">
        <f t="shared" si="30"/>
        <v>510.33817777547</v>
      </c>
      <c r="AZ198" s="23">
        <f t="shared" si="31"/>
        <v>2.2397835392000012</v>
      </c>
      <c r="BA198" s="103">
        <f t="shared" si="32"/>
        <v>486.84525490886</v>
      </c>
      <c r="BC198" s="104">
        <f t="shared" si="33"/>
        <v>1.0848716671999996</v>
      </c>
      <c r="BD198" s="105">
        <f t="shared" si="34"/>
        <v>426.73073624071998</v>
      </c>
      <c r="BF198" s="115">
        <f t="shared" si="26"/>
        <v>-0.50403731520000017</v>
      </c>
      <c r="BG198" s="116">
        <f t="shared" si="27"/>
        <v>246.16322492000006</v>
      </c>
    </row>
    <row r="199" spans="1:59" s="101" customFormat="1" ht="14.4" x14ac:dyDescent="0.3">
      <c r="A199" s="101">
        <v>39</v>
      </c>
      <c r="B199" s="101" t="s">
        <v>427</v>
      </c>
      <c r="C199" s="20">
        <v>44504.43577546296</v>
      </c>
      <c r="D199" s="101" t="s">
        <v>25</v>
      </c>
      <c r="E199" s="101" t="s">
        <v>17</v>
      </c>
      <c r="F199" s="101">
        <v>0</v>
      </c>
      <c r="G199" s="101">
        <v>6.0919999999999996</v>
      </c>
      <c r="H199" s="12">
        <v>2058</v>
      </c>
      <c r="I199" s="101">
        <v>-1E-3</v>
      </c>
      <c r="J199" s="101" t="s">
        <v>18</v>
      </c>
      <c r="K199" s="101" t="s">
        <v>18</v>
      </c>
      <c r="L199" s="101" t="s">
        <v>18</v>
      </c>
      <c r="M199" s="101" t="s">
        <v>18</v>
      </c>
      <c r="O199" s="101">
        <v>39</v>
      </c>
      <c r="P199" s="101" t="s">
        <v>427</v>
      </c>
      <c r="Q199" s="20">
        <v>44504.43577546296</v>
      </c>
      <c r="R199" s="101" t="s">
        <v>25</v>
      </c>
      <c r="S199" s="101" t="s">
        <v>17</v>
      </c>
      <c r="T199" s="101">
        <v>0</v>
      </c>
      <c r="U199" s="101" t="s">
        <v>18</v>
      </c>
      <c r="V199" s="12" t="s">
        <v>18</v>
      </c>
      <c r="W199" s="101" t="s">
        <v>18</v>
      </c>
      <c r="X199" s="101" t="s">
        <v>18</v>
      </c>
      <c r="Y199" s="101" t="s">
        <v>18</v>
      </c>
      <c r="Z199" s="101" t="s">
        <v>18</v>
      </c>
      <c r="AA199" s="101" t="s">
        <v>18</v>
      </c>
      <c r="AC199" s="101">
        <v>39</v>
      </c>
      <c r="AD199" s="101" t="s">
        <v>427</v>
      </c>
      <c r="AE199" s="20">
        <v>44504.43577546296</v>
      </c>
      <c r="AF199" s="101" t="s">
        <v>25</v>
      </c>
      <c r="AG199" s="101" t="s">
        <v>17</v>
      </c>
      <c r="AH199" s="101">
        <v>0</v>
      </c>
      <c r="AI199" s="101">
        <v>12.29</v>
      </c>
      <c r="AJ199" s="12">
        <v>2359</v>
      </c>
      <c r="AK199" s="101">
        <v>0.48</v>
      </c>
      <c r="AL199" s="101" t="s">
        <v>18</v>
      </c>
      <c r="AM199" s="101" t="s">
        <v>18</v>
      </c>
      <c r="AN199" s="101" t="s">
        <v>18</v>
      </c>
      <c r="AO199" s="101" t="s">
        <v>18</v>
      </c>
      <c r="AQ199" s="101">
        <v>1</v>
      </c>
      <c r="AS199" s="7">
        <v>155</v>
      </c>
      <c r="AT199" s="23">
        <f t="shared" si="24"/>
        <v>0.90729465620000038</v>
      </c>
      <c r="AU199" s="103">
        <f t="shared" si="25"/>
        <v>447.09231503494004</v>
      </c>
      <c r="AV199" s="101">
        <f t="shared" si="28"/>
        <v>0.90729465620000038</v>
      </c>
      <c r="AW199" s="60">
        <f t="shared" si="29"/>
        <v>1.2858914849999996</v>
      </c>
      <c r="AX199" s="61">
        <f t="shared" si="30"/>
        <v>471.83929241963</v>
      </c>
      <c r="AZ199" s="23">
        <f t="shared" si="31"/>
        <v>0.90729465620000038</v>
      </c>
      <c r="BA199" s="103">
        <f t="shared" si="32"/>
        <v>447.09231503494004</v>
      </c>
      <c r="BC199" s="104">
        <f t="shared" si="33"/>
        <v>0.52862258920000005</v>
      </c>
      <c r="BD199" s="105">
        <f t="shared" si="34"/>
        <v>383.76328423688</v>
      </c>
      <c r="BF199" s="115">
        <f t="shared" si="26"/>
        <v>-1.0661398672</v>
      </c>
      <c r="BG199" s="116">
        <f t="shared" si="27"/>
        <v>225.28724668000001</v>
      </c>
    </row>
    <row r="200" spans="1:59" s="101" customFormat="1" ht="14.4" x14ac:dyDescent="0.3">
      <c r="A200" s="101">
        <v>39</v>
      </c>
      <c r="B200" s="101" t="s">
        <v>428</v>
      </c>
      <c r="C200" s="20">
        <v>44505.465243055558</v>
      </c>
      <c r="D200" s="101" t="s">
        <v>25</v>
      </c>
      <c r="E200" s="101" t="s">
        <v>17</v>
      </c>
      <c r="F200" s="101">
        <v>0</v>
      </c>
      <c r="G200" s="101">
        <v>6.1189999999999998</v>
      </c>
      <c r="H200" s="12">
        <v>1922</v>
      </c>
      <c r="I200" s="101">
        <v>-1E-3</v>
      </c>
      <c r="J200" s="101" t="s">
        <v>18</v>
      </c>
      <c r="K200" s="101" t="s">
        <v>18</v>
      </c>
      <c r="L200" s="101" t="s">
        <v>18</v>
      </c>
      <c r="M200" s="101" t="s">
        <v>18</v>
      </c>
      <c r="O200" s="101">
        <v>39</v>
      </c>
      <c r="P200" s="101" t="s">
        <v>428</v>
      </c>
      <c r="Q200" s="20">
        <v>44505.465243055558</v>
      </c>
      <c r="R200" s="101" t="s">
        <v>25</v>
      </c>
      <c r="S200" s="101" t="s">
        <v>17</v>
      </c>
      <c r="T200" s="101">
        <v>0</v>
      </c>
      <c r="U200" s="101" t="s">
        <v>18</v>
      </c>
      <c r="V200" s="12" t="s">
        <v>18</v>
      </c>
      <c r="W200" s="101" t="s">
        <v>18</v>
      </c>
      <c r="X200" s="101" t="s">
        <v>18</v>
      </c>
      <c r="Y200" s="101" t="s">
        <v>18</v>
      </c>
      <c r="Z200" s="101" t="s">
        <v>18</v>
      </c>
      <c r="AA200" s="101" t="s">
        <v>18</v>
      </c>
      <c r="AC200" s="101">
        <v>39</v>
      </c>
      <c r="AD200" s="101" t="s">
        <v>428</v>
      </c>
      <c r="AE200" s="20">
        <v>44505.465243055558</v>
      </c>
      <c r="AF200" s="101" t="s">
        <v>25</v>
      </c>
      <c r="AG200" s="101" t="s">
        <v>17</v>
      </c>
      <c r="AH200" s="101">
        <v>0</v>
      </c>
      <c r="AI200" s="101">
        <v>12.298</v>
      </c>
      <c r="AJ200" s="12">
        <v>1523</v>
      </c>
      <c r="AK200" s="101">
        <v>0.313</v>
      </c>
      <c r="AL200" s="101" t="s">
        <v>18</v>
      </c>
      <c r="AM200" s="101" t="s">
        <v>18</v>
      </c>
      <c r="AN200" s="101" t="s">
        <v>18</v>
      </c>
      <c r="AO200" s="101" t="s">
        <v>18</v>
      </c>
      <c r="AQ200" s="101">
        <v>1</v>
      </c>
      <c r="AS200" s="7">
        <v>156</v>
      </c>
      <c r="AT200" s="23">
        <f t="shared" si="24"/>
        <v>0.41873383220000004</v>
      </c>
      <c r="AU200" s="103">
        <f t="shared" si="25"/>
        <v>287.30188445845999</v>
      </c>
      <c r="AV200" s="101">
        <f t="shared" si="28"/>
        <v>0.41873383220000004</v>
      </c>
      <c r="AW200" s="60">
        <f t="shared" si="29"/>
        <v>0.90650928499999939</v>
      </c>
      <c r="AX200" s="61">
        <f t="shared" si="30"/>
        <v>317.04860316467</v>
      </c>
      <c r="AZ200" s="23">
        <f t="shared" si="31"/>
        <v>0.41873383220000004</v>
      </c>
      <c r="BA200" s="103">
        <f t="shared" si="32"/>
        <v>287.30188445845999</v>
      </c>
      <c r="BC200" s="104">
        <f t="shared" si="33"/>
        <v>0.33642820520000005</v>
      </c>
      <c r="BD200" s="105">
        <f t="shared" si="34"/>
        <v>211.04490561992003</v>
      </c>
      <c r="BF200" s="115">
        <f t="shared" si="26"/>
        <v>-1.2694865231999999</v>
      </c>
      <c r="BG200" s="116">
        <f t="shared" si="27"/>
        <v>139.88068412000001</v>
      </c>
    </row>
    <row r="201" spans="1:59" s="101" customFormat="1" ht="14.4" x14ac:dyDescent="0.3">
      <c r="A201" s="101">
        <v>39</v>
      </c>
      <c r="B201" s="101" t="s">
        <v>429</v>
      </c>
      <c r="C201" s="20">
        <v>44508.392534722225</v>
      </c>
      <c r="D201" s="101" t="s">
        <v>25</v>
      </c>
      <c r="E201" s="101" t="s">
        <v>17</v>
      </c>
      <c r="F201" s="101">
        <v>0</v>
      </c>
      <c r="G201" s="101">
        <v>6.0979999999999999</v>
      </c>
      <c r="H201" s="12">
        <v>1822</v>
      </c>
      <c r="I201" s="101">
        <v>-1E-3</v>
      </c>
      <c r="J201" s="101" t="s">
        <v>18</v>
      </c>
      <c r="K201" s="101" t="s">
        <v>18</v>
      </c>
      <c r="L201" s="101" t="s">
        <v>18</v>
      </c>
      <c r="M201" s="101" t="s">
        <v>18</v>
      </c>
      <c r="O201" s="101">
        <v>39</v>
      </c>
      <c r="P201" s="101" t="s">
        <v>429</v>
      </c>
      <c r="Q201" s="20">
        <v>44508.392534722225</v>
      </c>
      <c r="R201" s="101" t="s">
        <v>25</v>
      </c>
      <c r="S201" s="101" t="s">
        <v>17</v>
      </c>
      <c r="T201" s="101">
        <v>0</v>
      </c>
      <c r="U201" s="101" t="s">
        <v>18</v>
      </c>
      <c r="V201" s="12" t="s">
        <v>18</v>
      </c>
      <c r="W201" s="101" t="s">
        <v>18</v>
      </c>
      <c r="X201" s="101" t="s">
        <v>18</v>
      </c>
      <c r="Y201" s="101" t="s">
        <v>18</v>
      </c>
      <c r="Z201" s="101" t="s">
        <v>18</v>
      </c>
      <c r="AA201" s="101" t="s">
        <v>18</v>
      </c>
      <c r="AC201" s="101">
        <v>39</v>
      </c>
      <c r="AD201" s="101" t="s">
        <v>429</v>
      </c>
      <c r="AE201" s="20">
        <v>44508.392534722225</v>
      </c>
      <c r="AF201" s="101" t="s">
        <v>25</v>
      </c>
      <c r="AG201" s="101" t="s">
        <v>17</v>
      </c>
      <c r="AH201" s="101">
        <v>0</v>
      </c>
      <c r="AI201" s="101">
        <v>12.315</v>
      </c>
      <c r="AJ201" s="12">
        <v>2290</v>
      </c>
      <c r="AK201" s="101">
        <v>0.46700000000000003</v>
      </c>
      <c r="AL201" s="101" t="s">
        <v>18</v>
      </c>
      <c r="AM201" s="101" t="s">
        <v>18</v>
      </c>
      <c r="AN201" s="101" t="s">
        <v>18</v>
      </c>
      <c r="AO201" s="101" t="s">
        <v>18</v>
      </c>
      <c r="AQ201" s="101">
        <v>1</v>
      </c>
      <c r="AS201" s="7">
        <v>157</v>
      </c>
      <c r="AT201" s="23">
        <f t="shared" si="24"/>
        <v>5.8130312200000311E-2</v>
      </c>
      <c r="AU201" s="103">
        <f t="shared" si="25"/>
        <v>433.90473093399999</v>
      </c>
      <c r="AV201" s="101">
        <f t="shared" si="28"/>
        <v>5.8130312200000311E-2</v>
      </c>
      <c r="AW201" s="60">
        <f t="shared" si="29"/>
        <v>0.62805328500000002</v>
      </c>
      <c r="AX201" s="61">
        <f t="shared" si="30"/>
        <v>459.066827843</v>
      </c>
      <c r="AZ201" s="23">
        <f t="shared" si="31"/>
        <v>5.8130312200000311E-2</v>
      </c>
      <c r="BA201" s="103">
        <f t="shared" si="32"/>
        <v>433.90473093399999</v>
      </c>
      <c r="BC201" s="104">
        <f t="shared" si="33"/>
        <v>0.19853788520000015</v>
      </c>
      <c r="BD201" s="105">
        <f t="shared" si="34"/>
        <v>369.50917056799994</v>
      </c>
      <c r="BF201" s="115">
        <f t="shared" si="26"/>
        <v>-1.4186474032</v>
      </c>
      <c r="BG201" s="116">
        <f t="shared" si="27"/>
        <v>218.32916800000004</v>
      </c>
    </row>
    <row r="202" spans="1:59" s="101" customFormat="1" ht="14.4" x14ac:dyDescent="0.3">
      <c r="A202" s="101">
        <v>39</v>
      </c>
      <c r="B202" s="101" t="s">
        <v>430</v>
      </c>
      <c r="C202" s="20">
        <v>44509.558634259258</v>
      </c>
      <c r="D202" s="101" t="s">
        <v>25</v>
      </c>
      <c r="E202" s="101" t="s">
        <v>17</v>
      </c>
      <c r="F202" s="101">
        <v>0</v>
      </c>
      <c r="G202" s="101">
        <v>6.0869999999999997</v>
      </c>
      <c r="H202" s="12">
        <v>1765</v>
      </c>
      <c r="I202" s="101">
        <v>-1E-3</v>
      </c>
      <c r="J202" s="101" t="s">
        <v>18</v>
      </c>
      <c r="K202" s="101" t="s">
        <v>18</v>
      </c>
      <c r="L202" s="101" t="s">
        <v>18</v>
      </c>
      <c r="M202" s="101" t="s">
        <v>18</v>
      </c>
      <c r="O202" s="101">
        <v>39</v>
      </c>
      <c r="P202" s="101" t="s">
        <v>430</v>
      </c>
      <c r="Q202" s="20">
        <v>44509.558634259258</v>
      </c>
      <c r="R202" s="101" t="s">
        <v>25</v>
      </c>
      <c r="S202" s="101" t="s">
        <v>17</v>
      </c>
      <c r="T202" s="101">
        <v>0</v>
      </c>
      <c r="U202" s="101" t="s">
        <v>18</v>
      </c>
      <c r="V202" s="12" t="s">
        <v>18</v>
      </c>
      <c r="W202" s="101" t="s">
        <v>18</v>
      </c>
      <c r="X202" s="101" t="s">
        <v>18</v>
      </c>
      <c r="Y202" s="101" t="s">
        <v>18</v>
      </c>
      <c r="Z202" s="101" t="s">
        <v>18</v>
      </c>
      <c r="AA202" s="101" t="s">
        <v>18</v>
      </c>
      <c r="AC202" s="101">
        <v>39</v>
      </c>
      <c r="AD202" s="101" t="s">
        <v>430</v>
      </c>
      <c r="AE202" s="20">
        <v>44509.558634259258</v>
      </c>
      <c r="AF202" s="101" t="s">
        <v>25</v>
      </c>
      <c r="AG202" s="101" t="s">
        <v>17</v>
      </c>
      <c r="AH202" s="101">
        <v>0</v>
      </c>
      <c r="AI202" s="101">
        <v>12.276999999999999</v>
      </c>
      <c r="AJ202" s="12">
        <v>2100</v>
      </c>
      <c r="AK202" s="101">
        <v>0.42899999999999999</v>
      </c>
      <c r="AL202" s="101" t="s">
        <v>18</v>
      </c>
      <c r="AM202" s="101" t="s">
        <v>18</v>
      </c>
      <c r="AN202" s="101" t="s">
        <v>18</v>
      </c>
      <c r="AO202" s="101" t="s">
        <v>18</v>
      </c>
      <c r="AQ202" s="101">
        <v>1</v>
      </c>
      <c r="AS202" s="7">
        <v>158</v>
      </c>
      <c r="AT202" s="23">
        <f t="shared" si="24"/>
        <v>-0.14793228874999897</v>
      </c>
      <c r="AU202" s="103">
        <f t="shared" si="25"/>
        <v>397.59029340000001</v>
      </c>
      <c r="AV202" s="101">
        <f t="shared" si="28"/>
        <v>0</v>
      </c>
      <c r="AW202" s="60">
        <f t="shared" si="29"/>
        <v>0.46952353125000013</v>
      </c>
      <c r="AX202" s="61">
        <f t="shared" si="30"/>
        <v>423.89318430000003</v>
      </c>
      <c r="AZ202" s="23">
        <f t="shared" si="31"/>
        <v>-0.14793228874999897</v>
      </c>
      <c r="BA202" s="103">
        <f t="shared" si="32"/>
        <v>397.59029340000001</v>
      </c>
      <c r="BC202" s="104">
        <f t="shared" si="33"/>
        <v>0.12124069250000002</v>
      </c>
      <c r="BD202" s="105">
        <f t="shared" si="34"/>
        <v>330.2574568</v>
      </c>
      <c r="BF202" s="115">
        <f t="shared" si="26"/>
        <v>-1.50353308</v>
      </c>
      <c r="BG202" s="116">
        <f t="shared" si="27"/>
        <v>199.08460000000002</v>
      </c>
    </row>
    <row r="203" spans="1:59" s="101" customFormat="1" ht="14.4" x14ac:dyDescent="0.3">
      <c r="A203" s="101">
        <v>59</v>
      </c>
      <c r="B203" s="101" t="s">
        <v>431</v>
      </c>
      <c r="C203" s="20">
        <v>44510.408750000002</v>
      </c>
      <c r="D203" s="101" t="s">
        <v>25</v>
      </c>
      <c r="E203" s="101" t="s">
        <v>17</v>
      </c>
      <c r="F203" s="101">
        <v>0</v>
      </c>
      <c r="G203" s="101">
        <v>6.0819999999999999</v>
      </c>
      <c r="H203" s="12">
        <v>2245</v>
      </c>
      <c r="I203" s="101">
        <v>0</v>
      </c>
      <c r="J203" s="101" t="s">
        <v>18</v>
      </c>
      <c r="K203" s="101" t="s">
        <v>18</v>
      </c>
      <c r="L203" s="101" t="s">
        <v>18</v>
      </c>
      <c r="M203" s="101" t="s">
        <v>18</v>
      </c>
      <c r="O203" s="101">
        <v>59</v>
      </c>
      <c r="P203" s="101" t="s">
        <v>431</v>
      </c>
      <c r="Q203" s="20">
        <v>44510.408750000002</v>
      </c>
      <c r="R203" s="101" t="s">
        <v>25</v>
      </c>
      <c r="S203" s="101" t="s">
        <v>17</v>
      </c>
      <c r="T203" s="101">
        <v>0</v>
      </c>
      <c r="U203" s="101" t="s">
        <v>18</v>
      </c>
      <c r="V203" s="12" t="s">
        <v>18</v>
      </c>
      <c r="W203" s="101" t="s">
        <v>18</v>
      </c>
      <c r="X203" s="101" t="s">
        <v>18</v>
      </c>
      <c r="Y203" s="101" t="s">
        <v>18</v>
      </c>
      <c r="Z203" s="101" t="s">
        <v>18</v>
      </c>
      <c r="AA203" s="101" t="s">
        <v>18</v>
      </c>
      <c r="AC203" s="101">
        <v>59</v>
      </c>
      <c r="AD203" s="101" t="s">
        <v>431</v>
      </c>
      <c r="AE203" s="20">
        <v>44510.408750000002</v>
      </c>
      <c r="AF203" s="101" t="s">
        <v>25</v>
      </c>
      <c r="AG203" s="101" t="s">
        <v>17</v>
      </c>
      <c r="AH203" s="101">
        <v>0</v>
      </c>
      <c r="AI203" s="101">
        <v>12.268000000000001</v>
      </c>
      <c r="AJ203" s="12">
        <v>1926</v>
      </c>
      <c r="AK203" s="101">
        <v>0.39400000000000002</v>
      </c>
      <c r="AL203" s="101" t="s">
        <v>18</v>
      </c>
      <c r="AM203" s="101" t="s">
        <v>18</v>
      </c>
      <c r="AN203" s="101" t="s">
        <v>18</v>
      </c>
      <c r="AO203" s="101" t="s">
        <v>18</v>
      </c>
      <c r="AQ203" s="101">
        <v>1</v>
      </c>
      <c r="AS203" s="7">
        <v>159</v>
      </c>
      <c r="AT203" s="23">
        <f t="shared" si="24"/>
        <v>1.5755655512499995</v>
      </c>
      <c r="AU203" s="103">
        <f t="shared" si="25"/>
        <v>364.33288392024002</v>
      </c>
      <c r="AV203" s="101">
        <f t="shared" si="28"/>
        <v>1.5755655512499995</v>
      </c>
      <c r="AW203" s="60">
        <f t="shared" si="29"/>
        <v>1.8088255312500001</v>
      </c>
      <c r="AX203" s="61">
        <f t="shared" si="30"/>
        <v>391.67755619147999</v>
      </c>
      <c r="AZ203" s="23">
        <f t="shared" si="31"/>
        <v>1.5755655512499995</v>
      </c>
      <c r="BA203" s="103">
        <f t="shared" si="32"/>
        <v>364.33288392024002</v>
      </c>
      <c r="BC203" s="104">
        <f t="shared" si="33"/>
        <v>0.80166613250000007</v>
      </c>
      <c r="BD203" s="105">
        <f t="shared" si="34"/>
        <v>294.30953417248003</v>
      </c>
      <c r="BF203" s="115">
        <f t="shared" si="26"/>
        <v>-0.78562011999999992</v>
      </c>
      <c r="BG203" s="116">
        <f t="shared" si="27"/>
        <v>181.35168928000002</v>
      </c>
    </row>
    <row r="204" spans="1:59" s="101" customFormat="1" ht="14.4" x14ac:dyDescent="0.3">
      <c r="A204" s="101">
        <v>39</v>
      </c>
      <c r="B204" s="101" t="s">
        <v>432</v>
      </c>
      <c r="C204" s="20">
        <v>44523.45416666667</v>
      </c>
      <c r="D204" s="101" t="s">
        <v>25</v>
      </c>
      <c r="E204" s="101" t="s">
        <v>17</v>
      </c>
      <c r="F204" s="101">
        <v>0</v>
      </c>
      <c r="G204" s="101">
        <v>6.1</v>
      </c>
      <c r="H204" s="12">
        <v>1741</v>
      </c>
      <c r="I204" s="101">
        <v>-1E-3</v>
      </c>
      <c r="J204" s="101" t="s">
        <v>18</v>
      </c>
      <c r="K204" s="101" t="s">
        <v>18</v>
      </c>
      <c r="L204" s="101" t="s">
        <v>18</v>
      </c>
      <c r="M204" s="101" t="s">
        <v>18</v>
      </c>
      <c r="O204" s="101">
        <v>39</v>
      </c>
      <c r="P204" s="101" t="s">
        <v>432</v>
      </c>
      <c r="Q204" s="20">
        <v>44523.45416666667</v>
      </c>
      <c r="R204" s="101" t="s">
        <v>25</v>
      </c>
      <c r="S204" s="101" t="s">
        <v>17</v>
      </c>
      <c r="T204" s="101">
        <v>0</v>
      </c>
      <c r="U204" s="101" t="s">
        <v>18</v>
      </c>
      <c r="V204" s="12" t="s">
        <v>18</v>
      </c>
      <c r="W204" s="101" t="s">
        <v>18</v>
      </c>
      <c r="X204" s="101" t="s">
        <v>18</v>
      </c>
      <c r="Y204" s="101" t="s">
        <v>18</v>
      </c>
      <c r="Z204" s="101" t="s">
        <v>18</v>
      </c>
      <c r="AA204" s="101" t="s">
        <v>18</v>
      </c>
      <c r="AC204" s="101">
        <v>39</v>
      </c>
      <c r="AD204" s="101" t="s">
        <v>432</v>
      </c>
      <c r="AE204" s="20">
        <v>44523.45416666667</v>
      </c>
      <c r="AF204" s="101" t="s">
        <v>25</v>
      </c>
      <c r="AG204" s="101" t="s">
        <v>17</v>
      </c>
      <c r="AH204" s="101">
        <v>0</v>
      </c>
      <c r="AI204" s="101">
        <v>12.297000000000001</v>
      </c>
      <c r="AJ204" s="12">
        <v>2208</v>
      </c>
      <c r="AK204" s="101">
        <v>0.45</v>
      </c>
      <c r="AL204" s="101" t="s">
        <v>18</v>
      </c>
      <c r="AM204" s="101" t="s">
        <v>18</v>
      </c>
      <c r="AN204" s="101" t="s">
        <v>18</v>
      </c>
      <c r="AO204" s="101" t="s">
        <v>18</v>
      </c>
      <c r="AQ204" s="101">
        <v>1</v>
      </c>
      <c r="AS204" s="7">
        <v>160</v>
      </c>
      <c r="AT204" s="23">
        <f t="shared" si="24"/>
        <v>-0.2348081439499996</v>
      </c>
      <c r="AU204" s="103">
        <f t="shared" si="25"/>
        <v>418.23232820736001</v>
      </c>
      <c r="AV204" s="101">
        <f t="shared" si="28"/>
        <v>0</v>
      </c>
      <c r="AW204" s="60">
        <f t="shared" si="29"/>
        <v>0.40281547124999939</v>
      </c>
      <c r="AX204" s="61">
        <f t="shared" si="30"/>
        <v>443.88717967871997</v>
      </c>
      <c r="AZ204" s="23">
        <f t="shared" si="31"/>
        <v>-0.2348081439499996</v>
      </c>
      <c r="BA204" s="103">
        <f t="shared" si="32"/>
        <v>418.23232820736001</v>
      </c>
      <c r="BC204" s="104">
        <f t="shared" si="33"/>
        <v>8.8976969300000208E-2</v>
      </c>
      <c r="BD204" s="105">
        <f t="shared" si="34"/>
        <v>352.56918326272</v>
      </c>
      <c r="BF204" s="115">
        <f t="shared" si="26"/>
        <v>-1.5392448688</v>
      </c>
      <c r="BG204" s="116">
        <f t="shared" si="27"/>
        <v>210.03884992000002</v>
      </c>
    </row>
    <row r="205" spans="1:59" s="101" customFormat="1" ht="14.4" x14ac:dyDescent="0.3">
      <c r="A205" s="101">
        <v>39</v>
      </c>
      <c r="B205" s="101" t="s">
        <v>433</v>
      </c>
      <c r="C205" s="20">
        <v>44530.411874999998</v>
      </c>
      <c r="D205" s="101" t="s">
        <v>25</v>
      </c>
      <c r="E205" s="101" t="s">
        <v>17</v>
      </c>
      <c r="F205" s="101">
        <v>0</v>
      </c>
      <c r="G205" s="101">
        <v>6.11</v>
      </c>
      <c r="H205" s="12">
        <v>2012</v>
      </c>
      <c r="I205" s="101">
        <v>-1E-3</v>
      </c>
      <c r="J205" s="101" t="s">
        <v>18</v>
      </c>
      <c r="K205" s="101" t="s">
        <v>18</v>
      </c>
      <c r="L205" s="101" t="s">
        <v>18</v>
      </c>
      <c r="M205" s="101" t="s">
        <v>18</v>
      </c>
      <c r="O205" s="101">
        <v>39</v>
      </c>
      <c r="P205" s="101" t="s">
        <v>433</v>
      </c>
      <c r="Q205" s="20">
        <v>44530.411874999998</v>
      </c>
      <c r="R205" s="101" t="s">
        <v>25</v>
      </c>
      <c r="S205" s="101" t="s">
        <v>17</v>
      </c>
      <c r="T205" s="101">
        <v>0</v>
      </c>
      <c r="U205" s="101" t="s">
        <v>18</v>
      </c>
      <c r="V205" s="12" t="s">
        <v>18</v>
      </c>
      <c r="W205" s="101" t="s">
        <v>18</v>
      </c>
      <c r="X205" s="101" t="s">
        <v>18</v>
      </c>
      <c r="Y205" s="101" t="s">
        <v>18</v>
      </c>
      <c r="Z205" s="101" t="s">
        <v>18</v>
      </c>
      <c r="AA205" s="101" t="s">
        <v>18</v>
      </c>
      <c r="AC205" s="101">
        <v>39</v>
      </c>
      <c r="AD205" s="101" t="s">
        <v>433</v>
      </c>
      <c r="AE205" s="20">
        <v>44530.411874999998</v>
      </c>
      <c r="AF205" s="101" t="s">
        <v>25</v>
      </c>
      <c r="AG205" s="101" t="s">
        <v>17</v>
      </c>
      <c r="AH205" s="101">
        <v>0</v>
      </c>
      <c r="AI205" s="101">
        <v>12.298999999999999</v>
      </c>
      <c r="AJ205" s="12">
        <v>2097</v>
      </c>
      <c r="AK205" s="101">
        <v>0.42799999999999999</v>
      </c>
      <c r="AL205" s="101" t="s">
        <v>18</v>
      </c>
      <c r="AM205" s="101" t="s">
        <v>18</v>
      </c>
      <c r="AN205" s="101" t="s">
        <v>18</v>
      </c>
      <c r="AO205" s="101" t="s">
        <v>18</v>
      </c>
      <c r="AQ205" s="101">
        <v>1</v>
      </c>
      <c r="AS205" s="7">
        <v>161</v>
      </c>
      <c r="AT205" s="23">
        <f t="shared" si="24"/>
        <v>0.74228605520000013</v>
      </c>
      <c r="AU205" s="103">
        <f t="shared" si="25"/>
        <v>397.01689812966004</v>
      </c>
      <c r="AV205" s="101">
        <f t="shared" si="28"/>
        <v>0.74228605520000013</v>
      </c>
      <c r="AW205" s="60">
        <f t="shared" si="29"/>
        <v>1.1574830599999988</v>
      </c>
      <c r="AX205" s="61">
        <f t="shared" si="30"/>
        <v>423.33777463707003</v>
      </c>
      <c r="AZ205" s="23">
        <f t="shared" si="31"/>
        <v>0.74228605520000013</v>
      </c>
      <c r="BA205" s="103">
        <f t="shared" si="32"/>
        <v>397.01689812966004</v>
      </c>
      <c r="BC205" s="104">
        <f t="shared" si="33"/>
        <v>0.46301412320000002</v>
      </c>
      <c r="BD205" s="105">
        <f t="shared" si="34"/>
        <v>329.63767812232004</v>
      </c>
      <c r="BF205" s="115">
        <f t="shared" si="26"/>
        <v>-1.1349818111999999</v>
      </c>
      <c r="BG205" s="116">
        <f t="shared" si="27"/>
        <v>198.77974252000001</v>
      </c>
    </row>
    <row r="206" spans="1:59" s="101" customFormat="1" ht="14.4" x14ac:dyDescent="0.3">
      <c r="A206" s="101">
        <v>39</v>
      </c>
      <c r="B206" s="101" t="s">
        <v>434</v>
      </c>
      <c r="C206" s="20">
        <v>44531.490162037036</v>
      </c>
      <c r="D206" s="101" t="s">
        <v>25</v>
      </c>
      <c r="E206" s="101" t="s">
        <v>17</v>
      </c>
      <c r="F206" s="101">
        <v>0</v>
      </c>
      <c r="G206" s="101">
        <v>6.0979999999999999</v>
      </c>
      <c r="H206" s="12">
        <v>2615</v>
      </c>
      <c r="I206" s="101">
        <v>1E-3</v>
      </c>
      <c r="J206" s="101" t="s">
        <v>18</v>
      </c>
      <c r="K206" s="101" t="s">
        <v>18</v>
      </c>
      <c r="L206" s="101" t="s">
        <v>18</v>
      </c>
      <c r="M206" s="101" t="s">
        <v>18</v>
      </c>
      <c r="O206" s="101">
        <v>39</v>
      </c>
      <c r="P206" s="101" t="s">
        <v>434</v>
      </c>
      <c r="Q206" s="20">
        <v>44531.490162037036</v>
      </c>
      <c r="R206" s="101" t="s">
        <v>25</v>
      </c>
      <c r="S206" s="101" t="s">
        <v>17</v>
      </c>
      <c r="T206" s="101">
        <v>0</v>
      </c>
      <c r="U206" s="101" t="s">
        <v>18</v>
      </c>
      <c r="V206" s="101" t="s">
        <v>18</v>
      </c>
      <c r="W206" s="101" t="s">
        <v>18</v>
      </c>
      <c r="X206" s="101" t="s">
        <v>18</v>
      </c>
      <c r="Y206" s="101" t="s">
        <v>18</v>
      </c>
      <c r="Z206" s="101" t="s">
        <v>18</v>
      </c>
      <c r="AA206" s="101" t="s">
        <v>18</v>
      </c>
      <c r="AC206" s="101">
        <v>39</v>
      </c>
      <c r="AD206" s="101" t="s">
        <v>434</v>
      </c>
      <c r="AE206" s="20">
        <v>44531.490162037036</v>
      </c>
      <c r="AF206" s="101" t="s">
        <v>25</v>
      </c>
      <c r="AG206" s="101" t="s">
        <v>17</v>
      </c>
      <c r="AH206" s="101">
        <v>0</v>
      </c>
      <c r="AI206" s="101">
        <v>12.285</v>
      </c>
      <c r="AJ206" s="12">
        <v>2845</v>
      </c>
      <c r="AK206" s="101">
        <v>0.57699999999999996</v>
      </c>
      <c r="AL206" s="101" t="s">
        <v>18</v>
      </c>
      <c r="AM206" s="101" t="s">
        <v>18</v>
      </c>
      <c r="AN206" s="101" t="s">
        <v>18</v>
      </c>
      <c r="AO206" s="101" t="s">
        <v>18</v>
      </c>
      <c r="AQ206" s="101">
        <v>1</v>
      </c>
      <c r="AS206" s="7">
        <v>162</v>
      </c>
      <c r="AT206" s="23">
        <f t="shared" ref="AT206:AT215" si="35">IF(H206&lt;10000,((-0.00000005795*H206^2)+(0.003823*H206)+(-6.715)),(IF(H206&lt;700000,((-0.0000000001209*H206^2)+(0.002635*H206)+(-0.4111)), ((-0.00000002007*V206^2)+(0.2564*V206)+(286.1)))))</f>
        <v>2.8858698612500007</v>
      </c>
      <c r="AU206" s="103">
        <f t="shared" ref="AU206:AU215" si="36">(-0.00000001626*AJ206^2)+(0.1912*AJ206)+(-3.858)</f>
        <v>539.97439115350016</v>
      </c>
      <c r="AV206" s="101">
        <f t="shared" si="28"/>
        <v>2.8858698612500007</v>
      </c>
      <c r="AW206" s="60">
        <f t="shared" si="29"/>
        <v>2.8478872812499993</v>
      </c>
      <c r="AX206" s="61">
        <f t="shared" si="30"/>
        <v>561.78493805075016</v>
      </c>
      <c r="AZ206" s="23">
        <f t="shared" si="31"/>
        <v>2.8858698612500007</v>
      </c>
      <c r="BA206" s="103">
        <f t="shared" si="32"/>
        <v>539.97439115350016</v>
      </c>
      <c r="BC206" s="104">
        <f t="shared" si="33"/>
        <v>1.3718575924999998</v>
      </c>
      <c r="BD206" s="105">
        <f t="shared" si="34"/>
        <v>484.15494048200009</v>
      </c>
      <c r="BF206" s="115">
        <f t="shared" si="26"/>
        <v>-0.22744847999999962</v>
      </c>
      <c r="BG206" s="116">
        <f t="shared" si="27"/>
        <v>273.83238700000004</v>
      </c>
    </row>
    <row r="207" spans="1:59" s="101" customFormat="1" ht="14.4" x14ac:dyDescent="0.3">
      <c r="A207" s="101">
        <v>39</v>
      </c>
      <c r="B207" s="101" t="s">
        <v>435</v>
      </c>
      <c r="C207" s="20">
        <v>44532.550416666665</v>
      </c>
      <c r="D207" s="101" t="s">
        <v>25</v>
      </c>
      <c r="E207" s="101" t="s">
        <v>17</v>
      </c>
      <c r="F207" s="101">
        <v>0</v>
      </c>
      <c r="G207" s="101">
        <v>6.0919999999999996</v>
      </c>
      <c r="H207" s="12">
        <v>2214</v>
      </c>
      <c r="I207" s="101">
        <v>0</v>
      </c>
      <c r="J207" s="101" t="s">
        <v>18</v>
      </c>
      <c r="K207" s="101" t="s">
        <v>18</v>
      </c>
      <c r="L207" s="101" t="s">
        <v>18</v>
      </c>
      <c r="M207" s="101" t="s">
        <v>18</v>
      </c>
      <c r="O207" s="101">
        <v>39</v>
      </c>
      <c r="P207" s="101" t="s">
        <v>435</v>
      </c>
      <c r="Q207" s="20">
        <v>44532.550416666665</v>
      </c>
      <c r="R207" s="101" t="s">
        <v>25</v>
      </c>
      <c r="S207" s="101" t="s">
        <v>17</v>
      </c>
      <c r="T207" s="101">
        <v>0</v>
      </c>
      <c r="U207" s="101" t="s">
        <v>18</v>
      </c>
      <c r="V207" s="12" t="s">
        <v>18</v>
      </c>
      <c r="W207" s="101" t="s">
        <v>18</v>
      </c>
      <c r="X207" s="101" t="s">
        <v>18</v>
      </c>
      <c r="Y207" s="101" t="s">
        <v>18</v>
      </c>
      <c r="Z207" s="101" t="s">
        <v>18</v>
      </c>
      <c r="AA207" s="101" t="s">
        <v>18</v>
      </c>
      <c r="AC207" s="101">
        <v>39</v>
      </c>
      <c r="AD207" s="101" t="s">
        <v>435</v>
      </c>
      <c r="AE207" s="20">
        <v>44532.550416666665</v>
      </c>
      <c r="AF207" s="101" t="s">
        <v>25</v>
      </c>
      <c r="AG207" s="101" t="s">
        <v>17</v>
      </c>
      <c r="AH207" s="101">
        <v>0</v>
      </c>
      <c r="AI207" s="101">
        <v>12.266</v>
      </c>
      <c r="AJ207" s="12">
        <v>2516</v>
      </c>
      <c r="AK207" s="101">
        <v>0.51200000000000001</v>
      </c>
      <c r="AL207" s="101" t="s">
        <v>18</v>
      </c>
      <c r="AM207" s="101" t="s">
        <v>18</v>
      </c>
      <c r="AN207" s="101" t="s">
        <v>18</v>
      </c>
      <c r="AO207" s="101" t="s">
        <v>18</v>
      </c>
      <c r="AQ207" s="101">
        <v>1</v>
      </c>
      <c r="AS207" s="7">
        <v>163</v>
      </c>
      <c r="AT207" s="23">
        <f t="shared" si="35"/>
        <v>1.4650629217999995</v>
      </c>
      <c r="AU207" s="103">
        <f t="shared" si="36"/>
        <v>477.09827003744005</v>
      </c>
      <c r="AV207" s="101">
        <f t="shared" si="28"/>
        <v>1.4650629217999995</v>
      </c>
      <c r="AW207" s="60">
        <f t="shared" si="29"/>
        <v>1.7220331649999991</v>
      </c>
      <c r="AX207" s="61">
        <f t="shared" si="30"/>
        <v>500.89904983088002</v>
      </c>
      <c r="AZ207" s="23">
        <f t="shared" si="31"/>
        <v>1.4650629217999995</v>
      </c>
      <c r="BA207" s="103">
        <f t="shared" si="32"/>
        <v>477.09827003744005</v>
      </c>
      <c r="BC207" s="104">
        <f t="shared" si="33"/>
        <v>0.75569955880000017</v>
      </c>
      <c r="BD207" s="105">
        <f t="shared" si="34"/>
        <v>416.19565186687993</v>
      </c>
      <c r="BF207" s="115">
        <f t="shared" si="26"/>
        <v>-0.83219690080000008</v>
      </c>
      <c r="BG207" s="116">
        <f t="shared" si="27"/>
        <v>241.05836768</v>
      </c>
    </row>
    <row r="208" spans="1:59" s="101" customFormat="1" ht="14.4" x14ac:dyDescent="0.3">
      <c r="A208" s="101">
        <v>39</v>
      </c>
      <c r="B208" s="101" t="s">
        <v>436</v>
      </c>
      <c r="C208" s="20">
        <v>44537.416134259256</v>
      </c>
      <c r="D208" s="101" t="s">
        <v>25</v>
      </c>
      <c r="E208" s="101" t="s">
        <v>17</v>
      </c>
      <c r="F208" s="101">
        <v>0</v>
      </c>
      <c r="G208" s="101">
        <v>6.0919999999999996</v>
      </c>
      <c r="H208" s="12">
        <v>2123</v>
      </c>
      <c r="I208" s="101">
        <v>0</v>
      </c>
      <c r="J208" s="101" t="s">
        <v>18</v>
      </c>
      <c r="K208" s="101" t="s">
        <v>18</v>
      </c>
      <c r="L208" s="101" t="s">
        <v>18</v>
      </c>
      <c r="M208" s="101" t="s">
        <v>18</v>
      </c>
      <c r="O208" s="101">
        <v>39</v>
      </c>
      <c r="P208" s="101" t="s">
        <v>436</v>
      </c>
      <c r="Q208" s="20">
        <v>44537.416134259256</v>
      </c>
      <c r="R208" s="101" t="s">
        <v>25</v>
      </c>
      <c r="S208" s="101" t="s">
        <v>17</v>
      </c>
      <c r="T208" s="101">
        <v>0</v>
      </c>
      <c r="U208" s="101" t="s">
        <v>18</v>
      </c>
      <c r="V208" s="101" t="s">
        <v>18</v>
      </c>
      <c r="W208" s="101" t="s">
        <v>18</v>
      </c>
      <c r="X208" s="101" t="s">
        <v>18</v>
      </c>
      <c r="Y208" s="101" t="s">
        <v>18</v>
      </c>
      <c r="Z208" s="101" t="s">
        <v>18</v>
      </c>
      <c r="AA208" s="101" t="s">
        <v>18</v>
      </c>
      <c r="AC208" s="101">
        <v>39</v>
      </c>
      <c r="AD208" s="101" t="s">
        <v>436</v>
      </c>
      <c r="AE208" s="20">
        <v>44537.416134259256</v>
      </c>
      <c r="AF208" s="101" t="s">
        <v>25</v>
      </c>
      <c r="AG208" s="101" t="s">
        <v>17</v>
      </c>
      <c r="AH208" s="101">
        <v>0</v>
      </c>
      <c r="AI208" s="101">
        <v>12.286</v>
      </c>
      <c r="AJ208" s="12">
        <v>1968</v>
      </c>
      <c r="AK208" s="101">
        <v>0.40200000000000002</v>
      </c>
      <c r="AL208" s="101" t="s">
        <v>18</v>
      </c>
      <c r="AM208" s="101" t="s">
        <v>18</v>
      </c>
      <c r="AN208" s="101" t="s">
        <v>18</v>
      </c>
      <c r="AO208" s="101" t="s">
        <v>18</v>
      </c>
      <c r="AQ208" s="101">
        <v>1</v>
      </c>
      <c r="AS208" s="7">
        <v>164</v>
      </c>
      <c r="AT208" s="23">
        <f t="shared" si="35"/>
        <v>1.1400408744500004</v>
      </c>
      <c r="AU208" s="103">
        <f t="shared" si="36"/>
        <v>372.36062462976003</v>
      </c>
      <c r="AV208" s="101">
        <f t="shared" si="28"/>
        <v>1.1400408744500004</v>
      </c>
      <c r="AW208" s="60">
        <f t="shared" si="29"/>
        <v>1.4674914912499988</v>
      </c>
      <c r="AX208" s="61">
        <f t="shared" si="30"/>
        <v>399.45409028352003</v>
      </c>
      <c r="AZ208" s="23">
        <f t="shared" si="31"/>
        <v>1.1400408744500004</v>
      </c>
      <c r="BA208" s="103">
        <f t="shared" si="32"/>
        <v>372.36062462976003</v>
      </c>
      <c r="BC208" s="104">
        <f t="shared" si="33"/>
        <v>0.62237854369999979</v>
      </c>
      <c r="BD208" s="105">
        <f t="shared" si="34"/>
        <v>302.98676042751998</v>
      </c>
      <c r="BF208" s="115">
        <f t="shared" si="26"/>
        <v>-0.96875353919999974</v>
      </c>
      <c r="BG208" s="116">
        <f t="shared" si="27"/>
        <v>185.64158271999997</v>
      </c>
    </row>
    <row r="209" spans="1:59" s="101" customFormat="1" ht="14.4" x14ac:dyDescent="0.3">
      <c r="A209" s="101">
        <v>39</v>
      </c>
      <c r="B209" s="101" t="s">
        <v>437</v>
      </c>
      <c r="C209" s="20">
        <v>44538.434629629628</v>
      </c>
      <c r="D209" s="101" t="s">
        <v>25</v>
      </c>
      <c r="E209" s="101" t="s">
        <v>17</v>
      </c>
      <c r="F209" s="101">
        <v>0</v>
      </c>
      <c r="G209" s="101">
        <v>6.1</v>
      </c>
      <c r="H209" s="12">
        <v>1904</v>
      </c>
      <c r="I209" s="101">
        <v>-1E-3</v>
      </c>
      <c r="J209" s="101" t="s">
        <v>18</v>
      </c>
      <c r="K209" s="101" t="s">
        <v>18</v>
      </c>
      <c r="L209" s="101" t="s">
        <v>18</v>
      </c>
      <c r="M209" s="101" t="s">
        <v>18</v>
      </c>
      <c r="O209" s="101">
        <v>39</v>
      </c>
      <c r="P209" s="101" t="s">
        <v>437</v>
      </c>
      <c r="Q209" s="20">
        <v>44538.434629629628</v>
      </c>
      <c r="R209" s="101" t="s">
        <v>25</v>
      </c>
      <c r="S209" s="101" t="s">
        <v>17</v>
      </c>
      <c r="T209" s="101">
        <v>0</v>
      </c>
      <c r="U209" s="101" t="s">
        <v>18</v>
      </c>
      <c r="V209" s="101" t="s">
        <v>18</v>
      </c>
      <c r="W209" s="101" t="s">
        <v>18</v>
      </c>
      <c r="X209" s="101" t="s">
        <v>18</v>
      </c>
      <c r="Y209" s="101" t="s">
        <v>18</v>
      </c>
      <c r="Z209" s="101" t="s">
        <v>18</v>
      </c>
      <c r="AA209" s="101" t="s">
        <v>18</v>
      </c>
      <c r="AC209" s="101">
        <v>39</v>
      </c>
      <c r="AD209" s="101" t="s">
        <v>437</v>
      </c>
      <c r="AE209" s="20">
        <v>44538.434629629628</v>
      </c>
      <c r="AF209" s="101" t="s">
        <v>25</v>
      </c>
      <c r="AG209" s="101" t="s">
        <v>17</v>
      </c>
      <c r="AH209" s="101">
        <v>0</v>
      </c>
      <c r="AI209" s="101">
        <v>12.294</v>
      </c>
      <c r="AJ209" s="12">
        <v>2016</v>
      </c>
      <c r="AK209" s="101">
        <v>0.41199999999999998</v>
      </c>
      <c r="AL209" s="101" t="s">
        <v>18</v>
      </c>
      <c r="AM209" s="101" t="s">
        <v>18</v>
      </c>
      <c r="AN209" s="101" t="s">
        <v>18</v>
      </c>
      <c r="AO209" s="101" t="s">
        <v>18</v>
      </c>
      <c r="AQ209" s="101">
        <v>1</v>
      </c>
      <c r="AS209" s="7">
        <v>165</v>
      </c>
      <c r="AT209" s="23">
        <f t="shared" si="35"/>
        <v>0.35391073280000018</v>
      </c>
      <c r="AU209" s="103">
        <f t="shared" si="36"/>
        <v>381.53511519744001</v>
      </c>
      <c r="AV209" s="101">
        <f t="shared" si="28"/>
        <v>0.35391073280000018</v>
      </c>
      <c r="AW209" s="60">
        <f t="shared" si="29"/>
        <v>0.85635583999999909</v>
      </c>
      <c r="AX209" s="61">
        <f t="shared" si="30"/>
        <v>408.34128665088002</v>
      </c>
      <c r="AZ209" s="23">
        <f t="shared" si="31"/>
        <v>0.35391073280000018</v>
      </c>
      <c r="BA209" s="103">
        <f t="shared" si="32"/>
        <v>381.53511519744001</v>
      </c>
      <c r="BC209" s="104">
        <f t="shared" si="33"/>
        <v>0.31139348480000018</v>
      </c>
      <c r="BD209" s="105">
        <f t="shared" si="34"/>
        <v>312.90348018688002</v>
      </c>
      <c r="BF209" s="115">
        <f t="shared" si="26"/>
        <v>-1.2963579167999999</v>
      </c>
      <c r="BG209" s="116">
        <f t="shared" si="27"/>
        <v>190.53688768000001</v>
      </c>
    </row>
    <row r="210" spans="1:59" s="101" customFormat="1" ht="14.4" x14ac:dyDescent="0.3">
      <c r="A210" s="101">
        <v>81</v>
      </c>
      <c r="B210" s="101" t="s">
        <v>438</v>
      </c>
      <c r="C210" s="20">
        <v>44539.465960648151</v>
      </c>
      <c r="D210" s="101" t="s">
        <v>25</v>
      </c>
      <c r="E210" s="101" t="s">
        <v>17</v>
      </c>
      <c r="F210" s="101">
        <v>0</v>
      </c>
      <c r="G210" s="101">
        <v>6.0979999999999999</v>
      </c>
      <c r="H210" s="12">
        <v>1682</v>
      </c>
      <c r="I210" s="101">
        <v>-1E-3</v>
      </c>
      <c r="J210" s="101" t="s">
        <v>18</v>
      </c>
      <c r="K210" s="101" t="s">
        <v>18</v>
      </c>
      <c r="L210" s="101" t="s">
        <v>18</v>
      </c>
      <c r="M210" s="101" t="s">
        <v>18</v>
      </c>
      <c r="O210" s="101">
        <v>81</v>
      </c>
      <c r="P210" s="101" t="s">
        <v>438</v>
      </c>
      <c r="Q210" s="20">
        <v>44539.465960648151</v>
      </c>
      <c r="R210" s="101" t="s">
        <v>25</v>
      </c>
      <c r="S210" s="101" t="s">
        <v>17</v>
      </c>
      <c r="T210" s="101">
        <v>0</v>
      </c>
      <c r="U210" s="101" t="s">
        <v>18</v>
      </c>
      <c r="V210" s="101" t="s">
        <v>18</v>
      </c>
      <c r="W210" s="101" t="s">
        <v>18</v>
      </c>
      <c r="X210" s="101" t="s">
        <v>18</v>
      </c>
      <c r="Y210" s="101" t="s">
        <v>18</v>
      </c>
      <c r="Z210" s="101" t="s">
        <v>18</v>
      </c>
      <c r="AA210" s="101" t="s">
        <v>18</v>
      </c>
      <c r="AC210" s="101">
        <v>81</v>
      </c>
      <c r="AD210" s="101" t="s">
        <v>438</v>
      </c>
      <c r="AE210" s="20">
        <v>44539.465960648151</v>
      </c>
      <c r="AF210" s="101" t="s">
        <v>25</v>
      </c>
      <c r="AG210" s="101" t="s">
        <v>17</v>
      </c>
      <c r="AH210" s="101">
        <v>0</v>
      </c>
      <c r="AI210" s="101">
        <v>12.269</v>
      </c>
      <c r="AJ210" s="12">
        <v>2675</v>
      </c>
      <c r="AK210" s="101">
        <v>0.54400000000000004</v>
      </c>
      <c r="AL210" s="101" t="s">
        <v>18</v>
      </c>
      <c r="AM210" s="101" t="s">
        <v>18</v>
      </c>
      <c r="AN210" s="101" t="s">
        <v>18</v>
      </c>
      <c r="AO210" s="101" t="s">
        <v>18</v>
      </c>
      <c r="AQ210" s="101">
        <v>1</v>
      </c>
      <c r="AS210" s="7">
        <v>166</v>
      </c>
      <c r="AT210" s="23">
        <f t="shared" si="35"/>
        <v>-0.44866173580000002</v>
      </c>
      <c r="AU210" s="103">
        <f t="shared" si="36"/>
        <v>507.48564953750002</v>
      </c>
      <c r="AV210" s="101">
        <f t="shared" si="28"/>
        <v>0</v>
      </c>
      <c r="AW210" s="60">
        <f t="shared" si="29"/>
        <v>0.23892888499999909</v>
      </c>
      <c r="AX210" s="61">
        <f t="shared" si="30"/>
        <v>530.32584141875009</v>
      </c>
      <c r="AZ210" s="23">
        <f t="shared" si="31"/>
        <v>-0.44866173580000002</v>
      </c>
      <c r="BA210" s="103">
        <f t="shared" si="32"/>
        <v>507.48564953750002</v>
      </c>
      <c r="BC210" s="104">
        <f t="shared" si="33"/>
        <v>1.0373517200000126E-2</v>
      </c>
      <c r="BD210" s="105">
        <f t="shared" si="34"/>
        <v>449.03988844999998</v>
      </c>
      <c r="BF210" s="115">
        <f t="shared" si="26"/>
        <v>-1.6269619151999999</v>
      </c>
      <c r="BG210" s="116">
        <f t="shared" si="27"/>
        <v>256.94397500000002</v>
      </c>
    </row>
    <row r="211" spans="1:59" s="101" customFormat="1" ht="14.4" x14ac:dyDescent="0.3">
      <c r="A211" s="101">
        <v>39</v>
      </c>
      <c r="B211" s="101" t="s">
        <v>439</v>
      </c>
      <c r="C211" s="20">
        <v>44543.436793981484</v>
      </c>
      <c r="D211" s="101" t="s">
        <v>25</v>
      </c>
      <c r="E211" s="101" t="s">
        <v>17</v>
      </c>
      <c r="F211" s="101">
        <v>0</v>
      </c>
      <c r="G211" s="101">
        <v>6.0780000000000003</v>
      </c>
      <c r="H211" s="12">
        <v>1685</v>
      </c>
      <c r="I211" s="101">
        <v>-1E-3</v>
      </c>
      <c r="J211" s="101" t="s">
        <v>18</v>
      </c>
      <c r="K211" s="101" t="s">
        <v>18</v>
      </c>
      <c r="L211" s="101" t="s">
        <v>18</v>
      </c>
      <c r="M211" s="101" t="s">
        <v>18</v>
      </c>
      <c r="O211" s="101">
        <v>39</v>
      </c>
      <c r="P211" s="101" t="s">
        <v>439</v>
      </c>
      <c r="Q211" s="20">
        <v>44543.436793981484</v>
      </c>
      <c r="R211" s="101" t="s">
        <v>25</v>
      </c>
      <c r="S211" s="101" t="s">
        <v>17</v>
      </c>
      <c r="T211" s="101">
        <v>0</v>
      </c>
      <c r="U211" s="101" t="s">
        <v>18</v>
      </c>
      <c r="V211" s="101" t="s">
        <v>18</v>
      </c>
      <c r="W211" s="101" t="s">
        <v>18</v>
      </c>
      <c r="X211" s="101" t="s">
        <v>18</v>
      </c>
      <c r="Y211" s="101" t="s">
        <v>18</v>
      </c>
      <c r="Z211" s="101" t="s">
        <v>18</v>
      </c>
      <c r="AA211" s="101" t="s">
        <v>18</v>
      </c>
      <c r="AC211" s="101">
        <v>39</v>
      </c>
      <c r="AD211" s="101" t="s">
        <v>439</v>
      </c>
      <c r="AE211" s="20">
        <v>44543.436793981484</v>
      </c>
      <c r="AF211" s="101" t="s">
        <v>25</v>
      </c>
      <c r="AG211" s="101" t="s">
        <v>17</v>
      </c>
      <c r="AH211" s="101">
        <v>0</v>
      </c>
      <c r="AI211" s="101">
        <v>12.291</v>
      </c>
      <c r="AJ211" s="12">
        <v>2293</v>
      </c>
      <c r="AK211" s="101">
        <v>0.46700000000000003</v>
      </c>
      <c r="AL211" s="101" t="s">
        <v>18</v>
      </c>
      <c r="AM211" s="101" t="s">
        <v>18</v>
      </c>
      <c r="AN211" s="101" t="s">
        <v>18</v>
      </c>
      <c r="AO211" s="101" t="s">
        <v>18</v>
      </c>
      <c r="AQ211" s="101">
        <v>1</v>
      </c>
      <c r="AS211" s="7">
        <v>167</v>
      </c>
      <c r="AT211" s="23">
        <f t="shared" si="35"/>
        <v>-0.43777808875000002</v>
      </c>
      <c r="AU211" s="103">
        <f t="shared" si="36"/>
        <v>434.47810737525998</v>
      </c>
      <c r="AV211" s="101">
        <f t="shared" si="28"/>
        <v>0</v>
      </c>
      <c r="AW211" s="60">
        <f t="shared" si="29"/>
        <v>0.24725853124999997</v>
      </c>
      <c r="AX211" s="61">
        <f t="shared" si="30"/>
        <v>459.62216481826999</v>
      </c>
      <c r="AZ211" s="23">
        <f t="shared" si="31"/>
        <v>-0.43777808875000002</v>
      </c>
      <c r="BA211" s="103">
        <f t="shared" si="32"/>
        <v>434.47810737525998</v>
      </c>
      <c r="BC211" s="104">
        <f t="shared" si="33"/>
        <v>1.4345892499999957E-2</v>
      </c>
      <c r="BD211" s="105">
        <f t="shared" si="34"/>
        <v>370.12891969352</v>
      </c>
      <c r="BF211" s="115">
        <f t="shared" si="26"/>
        <v>-1.6225042799999998</v>
      </c>
      <c r="BG211" s="116">
        <f t="shared" si="27"/>
        <v>218.63203372000004</v>
      </c>
    </row>
    <row r="212" spans="1:59" s="101" customFormat="1" ht="14.4" x14ac:dyDescent="0.3">
      <c r="A212" s="101">
        <v>77</v>
      </c>
      <c r="B212" s="101" t="s">
        <v>440</v>
      </c>
      <c r="C212" s="20">
        <v>44544.423796296294</v>
      </c>
      <c r="D212" s="101" t="s">
        <v>25</v>
      </c>
      <c r="E212" s="101" t="s">
        <v>17</v>
      </c>
      <c r="F212" s="101">
        <v>0</v>
      </c>
      <c r="G212" s="101">
        <v>6.0650000000000004</v>
      </c>
      <c r="H212" s="12">
        <v>1417</v>
      </c>
      <c r="I212" s="101">
        <v>-2E-3</v>
      </c>
      <c r="J212" s="101" t="s">
        <v>18</v>
      </c>
      <c r="K212" s="101" t="s">
        <v>18</v>
      </c>
      <c r="L212" s="101" t="s">
        <v>18</v>
      </c>
      <c r="M212" s="101" t="s">
        <v>18</v>
      </c>
      <c r="O212" s="101">
        <v>77</v>
      </c>
      <c r="P212" s="101" t="s">
        <v>440</v>
      </c>
      <c r="Q212" s="20">
        <v>44544.423796296294</v>
      </c>
      <c r="R212" s="101" t="s">
        <v>25</v>
      </c>
      <c r="S212" s="101" t="s">
        <v>17</v>
      </c>
      <c r="T212" s="101">
        <v>0</v>
      </c>
      <c r="U212" s="101" t="s">
        <v>18</v>
      </c>
      <c r="V212" s="101" t="s">
        <v>18</v>
      </c>
      <c r="W212" s="101" t="s">
        <v>18</v>
      </c>
      <c r="X212" s="101" t="s">
        <v>18</v>
      </c>
      <c r="Y212" s="101" t="s">
        <v>18</v>
      </c>
      <c r="Z212" s="101" t="s">
        <v>18</v>
      </c>
      <c r="AA212" s="101" t="s">
        <v>18</v>
      </c>
      <c r="AC212" s="101">
        <v>77</v>
      </c>
      <c r="AD212" s="101" t="s">
        <v>440</v>
      </c>
      <c r="AE212" s="20">
        <v>44544.423796296294</v>
      </c>
      <c r="AF212" s="101" t="s">
        <v>25</v>
      </c>
      <c r="AG212" s="101" t="s">
        <v>17</v>
      </c>
      <c r="AH212" s="101">
        <v>0</v>
      </c>
      <c r="AI212" s="101">
        <v>12.276</v>
      </c>
      <c r="AJ212" s="12">
        <v>2453</v>
      </c>
      <c r="AK212" s="101">
        <v>0.499</v>
      </c>
      <c r="AL212" s="101" t="s">
        <v>18</v>
      </c>
      <c r="AM212" s="101" t="s">
        <v>18</v>
      </c>
      <c r="AN212" s="101" t="s">
        <v>18</v>
      </c>
      <c r="AO212" s="101" t="s">
        <v>18</v>
      </c>
      <c r="AQ212" s="101">
        <v>1</v>
      </c>
      <c r="AS212" s="7">
        <v>168</v>
      </c>
      <c r="AT212" s="23">
        <f t="shared" si="35"/>
        <v>-1.4141661675500004</v>
      </c>
      <c r="AU212" s="103">
        <f t="shared" si="36"/>
        <v>465.05776018166</v>
      </c>
      <c r="AV212" s="101">
        <f t="shared" si="28"/>
        <v>0</v>
      </c>
      <c r="AW212" s="60">
        <f t="shared" si="29"/>
        <v>-0.49534735875000058</v>
      </c>
      <c r="AX212" s="61">
        <f t="shared" si="30"/>
        <v>489.23849979107001</v>
      </c>
      <c r="AZ212" s="23">
        <f t="shared" si="31"/>
        <v>-1.4141661675500004</v>
      </c>
      <c r="BA212" s="103">
        <f t="shared" si="32"/>
        <v>465.05776018166</v>
      </c>
      <c r="BC212" s="104">
        <f t="shared" si="33"/>
        <v>-0.33020042830000018</v>
      </c>
      <c r="BD212" s="105">
        <f t="shared" si="34"/>
        <v>403.18154082632003</v>
      </c>
      <c r="BF212" s="115">
        <f t="shared" si="26"/>
        <v>-2.0196401871999998</v>
      </c>
      <c r="BG212" s="116">
        <f t="shared" si="27"/>
        <v>234.74001452000005</v>
      </c>
    </row>
    <row r="213" spans="1:59" s="101" customFormat="1" ht="14.4" x14ac:dyDescent="0.3">
      <c r="A213" s="101">
        <v>39</v>
      </c>
      <c r="B213" s="101" t="s">
        <v>441</v>
      </c>
      <c r="C213" s="20">
        <v>44545.406817129631</v>
      </c>
      <c r="D213" s="101" t="s">
        <v>25</v>
      </c>
      <c r="E213" s="101" t="s">
        <v>17</v>
      </c>
      <c r="F213" s="101">
        <v>0</v>
      </c>
      <c r="G213" s="101">
        <v>6.0949999999999998</v>
      </c>
      <c r="H213" s="12">
        <v>1696</v>
      </c>
      <c r="I213" s="101">
        <v>-1E-3</v>
      </c>
      <c r="J213" s="101" t="s">
        <v>18</v>
      </c>
      <c r="K213" s="101" t="s">
        <v>18</v>
      </c>
      <c r="L213" s="101" t="s">
        <v>18</v>
      </c>
      <c r="M213" s="101" t="s">
        <v>18</v>
      </c>
      <c r="O213" s="101">
        <v>39</v>
      </c>
      <c r="P213" s="101" t="s">
        <v>441</v>
      </c>
      <c r="Q213" s="20">
        <v>44545.406817129631</v>
      </c>
      <c r="R213" s="101" t="s">
        <v>25</v>
      </c>
      <c r="S213" s="101" t="s">
        <v>17</v>
      </c>
      <c r="T213" s="101">
        <v>0</v>
      </c>
      <c r="U213" s="101" t="s">
        <v>18</v>
      </c>
      <c r="V213" s="101" t="s">
        <v>18</v>
      </c>
      <c r="W213" s="101" t="s">
        <v>18</v>
      </c>
      <c r="X213" s="101" t="s">
        <v>18</v>
      </c>
      <c r="Y213" s="101" t="s">
        <v>18</v>
      </c>
      <c r="Z213" s="101" t="s">
        <v>18</v>
      </c>
      <c r="AA213" s="101" t="s">
        <v>18</v>
      </c>
      <c r="AC213" s="101">
        <v>39</v>
      </c>
      <c r="AD213" s="101" t="s">
        <v>441</v>
      </c>
      <c r="AE213" s="20">
        <v>44545.406817129631</v>
      </c>
      <c r="AF213" s="101" t="s">
        <v>25</v>
      </c>
      <c r="AG213" s="101" t="s">
        <v>17</v>
      </c>
      <c r="AH213" s="101">
        <v>0</v>
      </c>
      <c r="AI213" s="101">
        <v>12.292</v>
      </c>
      <c r="AJ213" s="12">
        <v>2633</v>
      </c>
      <c r="AK213" s="101">
        <v>0.53500000000000003</v>
      </c>
      <c r="AL213" s="101" t="s">
        <v>18</v>
      </c>
      <c r="AM213" s="101" t="s">
        <v>18</v>
      </c>
      <c r="AN213" s="101" t="s">
        <v>18</v>
      </c>
      <c r="AO213" s="101" t="s">
        <v>18</v>
      </c>
      <c r="AQ213" s="101">
        <v>1</v>
      </c>
      <c r="AS213" s="7">
        <v>169</v>
      </c>
      <c r="AT213" s="23">
        <f t="shared" si="35"/>
        <v>-0.39788030720000034</v>
      </c>
      <c r="AU213" s="103">
        <f t="shared" si="36"/>
        <v>499.45887447686005</v>
      </c>
      <c r="AV213" s="101">
        <f t="shared" si="28"/>
        <v>0</v>
      </c>
      <c r="AW213" s="60">
        <f t="shared" si="29"/>
        <v>0.27780383999999891</v>
      </c>
      <c r="AX213" s="61">
        <f t="shared" si="30"/>
        <v>522.55303511147008</v>
      </c>
      <c r="AZ213" s="23">
        <f t="shared" si="31"/>
        <v>-0.39788030720000034</v>
      </c>
      <c r="BA213" s="103">
        <f t="shared" si="32"/>
        <v>499.45887447686005</v>
      </c>
      <c r="BC213" s="104">
        <f t="shared" si="33"/>
        <v>2.8933644799999936E-2</v>
      </c>
      <c r="BD213" s="105">
        <f t="shared" si="34"/>
        <v>440.36417777671994</v>
      </c>
      <c r="BF213" s="115">
        <f t="shared" si="26"/>
        <v>-1.6061572767999999</v>
      </c>
      <c r="BG213" s="116">
        <f t="shared" si="27"/>
        <v>252.75622892000001</v>
      </c>
    </row>
    <row r="214" spans="1:59" s="101" customFormat="1" ht="14.4" x14ac:dyDescent="0.3">
      <c r="A214" s="101">
        <v>39</v>
      </c>
      <c r="B214" s="101" t="s">
        <v>442</v>
      </c>
      <c r="C214" s="20">
        <v>44550.507071759261</v>
      </c>
      <c r="D214" s="101" t="s">
        <v>25</v>
      </c>
      <c r="E214" s="101" t="s">
        <v>17</v>
      </c>
      <c r="F214" s="101">
        <v>0</v>
      </c>
      <c r="G214" s="101">
        <v>6.0789999999999997</v>
      </c>
      <c r="H214" s="12">
        <v>1823</v>
      </c>
      <c r="I214" s="101">
        <v>-1E-3</v>
      </c>
      <c r="J214" s="101" t="s">
        <v>18</v>
      </c>
      <c r="K214" s="101" t="s">
        <v>18</v>
      </c>
      <c r="L214" s="101" t="s">
        <v>18</v>
      </c>
      <c r="M214" s="101" t="s">
        <v>18</v>
      </c>
      <c r="O214" s="101">
        <v>39</v>
      </c>
      <c r="P214" s="101" t="s">
        <v>442</v>
      </c>
      <c r="Q214" s="20">
        <v>44550.507071759261</v>
      </c>
      <c r="R214" s="101" t="s">
        <v>25</v>
      </c>
      <c r="S214" s="101" t="s">
        <v>17</v>
      </c>
      <c r="T214" s="101">
        <v>0</v>
      </c>
      <c r="U214" s="101" t="s">
        <v>18</v>
      </c>
      <c r="V214" s="101" t="s">
        <v>18</v>
      </c>
      <c r="W214" s="101" t="s">
        <v>18</v>
      </c>
      <c r="X214" s="101" t="s">
        <v>18</v>
      </c>
      <c r="Y214" s="101" t="s">
        <v>18</v>
      </c>
      <c r="Z214" s="101" t="s">
        <v>18</v>
      </c>
      <c r="AA214" s="101" t="s">
        <v>18</v>
      </c>
      <c r="AC214" s="101">
        <v>39</v>
      </c>
      <c r="AD214" s="101" t="s">
        <v>442</v>
      </c>
      <c r="AE214" s="20">
        <v>44550.507071759261</v>
      </c>
      <c r="AF214" s="101" t="s">
        <v>25</v>
      </c>
      <c r="AG214" s="101" t="s">
        <v>17</v>
      </c>
      <c r="AH214" s="101">
        <v>0</v>
      </c>
      <c r="AI214" s="101">
        <v>12.291</v>
      </c>
      <c r="AJ214" s="12">
        <v>2307</v>
      </c>
      <c r="AK214" s="101">
        <v>0.47</v>
      </c>
      <c r="AL214" s="101" t="s">
        <v>18</v>
      </c>
      <c r="AM214" s="101" t="s">
        <v>18</v>
      </c>
      <c r="AN214" s="101" t="s">
        <v>18</v>
      </c>
      <c r="AO214" s="101" t="s">
        <v>18</v>
      </c>
      <c r="AQ214" s="101">
        <v>1</v>
      </c>
      <c r="AS214" s="7">
        <v>170</v>
      </c>
      <c r="AT214" s="23">
        <f t="shared" si="35"/>
        <v>6.1742084450000512E-2</v>
      </c>
      <c r="AU214" s="103">
        <f t="shared" si="36"/>
        <v>437.15386023126001</v>
      </c>
      <c r="AV214" s="101">
        <f t="shared" si="28"/>
        <v>6.1742084450000512E-2</v>
      </c>
      <c r="AW214" s="60">
        <f t="shared" si="29"/>
        <v>0.63083574124999942</v>
      </c>
      <c r="AX214" s="61">
        <f t="shared" si="30"/>
        <v>462.21372243026997</v>
      </c>
      <c r="AZ214" s="23">
        <f t="shared" si="31"/>
        <v>6.1742084450000512E-2</v>
      </c>
      <c r="BA214" s="103">
        <f t="shared" si="32"/>
        <v>437.15386023126001</v>
      </c>
      <c r="BC214" s="104">
        <f t="shared" si="33"/>
        <v>0.19990240370000012</v>
      </c>
      <c r="BD214" s="105">
        <f t="shared" si="34"/>
        <v>373.02107620551999</v>
      </c>
      <c r="BF214" s="115">
        <f t="shared" si="26"/>
        <v>-1.4171572991999999</v>
      </c>
      <c r="BG214" s="116">
        <f t="shared" si="27"/>
        <v>220.04499772000003</v>
      </c>
    </row>
    <row r="215" spans="1:59" s="101" customFormat="1" ht="14.4" x14ac:dyDescent="0.3">
      <c r="A215" s="101">
        <v>39</v>
      </c>
      <c r="B215" s="101" t="s">
        <v>443</v>
      </c>
      <c r="C215" s="20">
        <v>44551.47861111111</v>
      </c>
      <c r="D215" s="101" t="s">
        <v>25</v>
      </c>
      <c r="E215" s="101" t="s">
        <v>17</v>
      </c>
      <c r="F215" s="101">
        <v>0</v>
      </c>
      <c r="G215" s="101">
        <v>6.0880000000000001</v>
      </c>
      <c r="H215" s="12">
        <v>1613</v>
      </c>
      <c r="I215" s="101">
        <v>-1E-3</v>
      </c>
      <c r="J215" s="101" t="s">
        <v>18</v>
      </c>
      <c r="K215" s="101" t="s">
        <v>18</v>
      </c>
      <c r="L215" s="101" t="s">
        <v>18</v>
      </c>
      <c r="M215" s="101" t="s">
        <v>18</v>
      </c>
      <c r="O215" s="101">
        <v>39</v>
      </c>
      <c r="P215" s="101" t="s">
        <v>443</v>
      </c>
      <c r="Q215" s="20">
        <v>44551.47861111111</v>
      </c>
      <c r="R215" s="101" t="s">
        <v>25</v>
      </c>
      <c r="S215" s="101" t="s">
        <v>17</v>
      </c>
      <c r="T215" s="101">
        <v>0</v>
      </c>
      <c r="U215" s="101" t="s">
        <v>18</v>
      </c>
      <c r="V215" s="101" t="s">
        <v>18</v>
      </c>
      <c r="W215" s="101" t="s">
        <v>18</v>
      </c>
      <c r="X215" s="101" t="s">
        <v>18</v>
      </c>
      <c r="Y215" s="101" t="s">
        <v>18</v>
      </c>
      <c r="Z215" s="101" t="s">
        <v>18</v>
      </c>
      <c r="AA215" s="101" t="s">
        <v>18</v>
      </c>
      <c r="AC215" s="101">
        <v>39</v>
      </c>
      <c r="AD215" s="101" t="s">
        <v>443</v>
      </c>
      <c r="AE215" s="20">
        <v>44551.47861111111</v>
      </c>
      <c r="AF215" s="101" t="s">
        <v>25</v>
      </c>
      <c r="AG215" s="101" t="s">
        <v>17</v>
      </c>
      <c r="AH215" s="101">
        <v>0</v>
      </c>
      <c r="AI215" s="101">
        <v>12.282999999999999</v>
      </c>
      <c r="AJ215" s="12">
        <v>2526</v>
      </c>
      <c r="AK215" s="101">
        <v>0.51400000000000001</v>
      </c>
      <c r="AL215" s="101" t="s">
        <v>18</v>
      </c>
      <c r="AM215" s="101" t="s">
        <v>18</v>
      </c>
      <c r="AN215" s="101" t="s">
        <v>18</v>
      </c>
      <c r="AO215" s="101" t="s">
        <v>18</v>
      </c>
      <c r="AQ215" s="101">
        <v>1</v>
      </c>
      <c r="AS215" s="7">
        <v>171</v>
      </c>
      <c r="AT215" s="23">
        <f t="shared" si="35"/>
        <v>-0.69927351354999967</v>
      </c>
      <c r="AU215" s="103">
        <f t="shared" si="36"/>
        <v>479.00945020824003</v>
      </c>
      <c r="AV215" s="101">
        <f t="shared" si="28"/>
        <v>0</v>
      </c>
      <c r="AW215" s="60">
        <f t="shared" si="29"/>
        <v>4.745259124999901E-2</v>
      </c>
      <c r="AX215" s="61">
        <f t="shared" si="30"/>
        <v>502.74988496748</v>
      </c>
      <c r="AZ215" s="23">
        <f t="shared" si="31"/>
        <v>-0.69927351354999967</v>
      </c>
      <c r="BA215" s="103">
        <f t="shared" si="32"/>
        <v>479.00945020824003</v>
      </c>
      <c r="BC215" s="104">
        <f t="shared" si="33"/>
        <v>-8.0269264300000032E-2</v>
      </c>
      <c r="BD215" s="105">
        <f t="shared" si="34"/>
        <v>418.26136514848002</v>
      </c>
      <c r="BF215" s="115">
        <f t="shared" si="26"/>
        <v>-1.7294120112</v>
      </c>
      <c r="BG215" s="116">
        <f t="shared" si="27"/>
        <v>242.06002528000005</v>
      </c>
    </row>
    <row r="216" spans="1:59" s="101" customFormat="1" ht="14.4" x14ac:dyDescent="0.3">
      <c r="A216" s="101">
        <v>39</v>
      </c>
      <c r="B216" s="101" t="s">
        <v>457</v>
      </c>
      <c r="C216" s="20">
        <v>44588.425208333334</v>
      </c>
      <c r="D216" s="101" t="s">
        <v>25</v>
      </c>
      <c r="E216" s="101" t="s">
        <v>17</v>
      </c>
      <c r="F216" s="101">
        <v>0</v>
      </c>
      <c r="G216" s="101">
        <v>6.093</v>
      </c>
      <c r="H216" s="12">
        <v>1987</v>
      </c>
      <c r="I216" s="101">
        <v>-1E-3</v>
      </c>
      <c r="J216" s="101" t="s">
        <v>18</v>
      </c>
      <c r="K216" s="101" t="s">
        <v>18</v>
      </c>
      <c r="L216" s="101" t="s">
        <v>18</v>
      </c>
      <c r="M216" s="101" t="s">
        <v>18</v>
      </c>
      <c r="O216" s="101">
        <v>39</v>
      </c>
      <c r="P216" s="101" t="s">
        <v>457</v>
      </c>
      <c r="Q216" s="20">
        <v>44588.425208333334</v>
      </c>
      <c r="R216" s="101" t="s">
        <v>25</v>
      </c>
      <c r="S216" s="101" t="s">
        <v>17</v>
      </c>
      <c r="T216" s="101">
        <v>0</v>
      </c>
      <c r="U216" s="101" t="s">
        <v>18</v>
      </c>
      <c r="V216" s="101" t="s">
        <v>18</v>
      </c>
      <c r="W216" s="101" t="s">
        <v>18</v>
      </c>
      <c r="X216" s="101" t="s">
        <v>18</v>
      </c>
      <c r="Y216" s="101" t="s">
        <v>18</v>
      </c>
      <c r="Z216" s="101" t="s">
        <v>18</v>
      </c>
      <c r="AA216" s="101" t="s">
        <v>18</v>
      </c>
      <c r="AC216" s="101">
        <v>39</v>
      </c>
      <c r="AD216" s="101" t="s">
        <v>457</v>
      </c>
      <c r="AE216" s="20">
        <v>44588.425208333334</v>
      </c>
      <c r="AF216" s="101" t="s">
        <v>25</v>
      </c>
      <c r="AG216" s="101" t="s">
        <v>17</v>
      </c>
      <c r="AH216" s="101">
        <v>0</v>
      </c>
      <c r="AI216" s="101">
        <v>12.262</v>
      </c>
      <c r="AJ216" s="12">
        <v>2675</v>
      </c>
      <c r="AK216" s="101">
        <v>0.54300000000000004</v>
      </c>
      <c r="AL216" s="101" t="s">
        <v>18</v>
      </c>
      <c r="AM216" s="101" t="s">
        <v>18</v>
      </c>
      <c r="AN216" s="101" t="s">
        <v>18</v>
      </c>
      <c r="AO216" s="101" t="s">
        <v>18</v>
      </c>
      <c r="AQ216" s="101">
        <v>1</v>
      </c>
      <c r="AS216" s="7">
        <v>172</v>
      </c>
      <c r="AT216" s="104">
        <f>IF(H216&lt;10000,((0.0000001453*H216^2)+(0.0008349*H216)+(-1.805)),(IF(H216&lt;700000,((-0.00000000008054*H216^2)+(0.002348*H216)+(-2.47)), ((-0.00000001938*V216^2)+(0.2471*V216)+(226.8)))))</f>
        <v>0.42761525569999992</v>
      </c>
      <c r="AU216" s="105">
        <f>(-0.00000002552*AJ216^2)+(0.2067*AJ216)+(-103.7)</f>
        <v>449.03988844999998</v>
      </c>
      <c r="AV216" s="101">
        <f t="shared" si="28"/>
        <v>0.42761525569999992</v>
      </c>
      <c r="AW216" s="60">
        <f t="shared" si="29"/>
        <v>1.0877335912499992</v>
      </c>
      <c r="AX216" s="61">
        <f t="shared" si="30"/>
        <v>530.32584141875009</v>
      </c>
      <c r="AZ216" s="23">
        <f t="shared" si="31"/>
        <v>0.65250460645000086</v>
      </c>
      <c r="BA216" s="103">
        <f t="shared" si="32"/>
        <v>507.48564953750002</v>
      </c>
      <c r="BC216" s="104">
        <f t="shared" si="33"/>
        <v>0.42761525569999992</v>
      </c>
      <c r="BD216" s="105">
        <f t="shared" si="34"/>
        <v>449.03988844999998</v>
      </c>
      <c r="BF216" s="115">
        <f t="shared" si="26"/>
        <v>-1.1723689311999999</v>
      </c>
      <c r="BG216" s="116">
        <f t="shared" si="27"/>
        <v>256.94397500000002</v>
      </c>
    </row>
    <row r="217" spans="1:59" s="101" customFormat="1" ht="14.4" x14ac:dyDescent="0.3">
      <c r="A217" s="101">
        <v>39</v>
      </c>
      <c r="B217" s="101" t="s">
        <v>458</v>
      </c>
      <c r="C217" s="20">
        <v>44593.423634259256</v>
      </c>
      <c r="D217" s="101" t="s">
        <v>25</v>
      </c>
      <c r="E217" s="101" t="s">
        <v>17</v>
      </c>
      <c r="F217" s="101">
        <v>0</v>
      </c>
      <c r="G217" s="101">
        <v>6.1079999999999997</v>
      </c>
      <c r="H217" s="12">
        <v>2538</v>
      </c>
      <c r="I217" s="101">
        <v>0</v>
      </c>
      <c r="J217" s="101" t="s">
        <v>18</v>
      </c>
      <c r="K217" s="101" t="s">
        <v>18</v>
      </c>
      <c r="L217" s="101" t="s">
        <v>18</v>
      </c>
      <c r="M217" s="101" t="s">
        <v>18</v>
      </c>
      <c r="O217" s="101">
        <v>39</v>
      </c>
      <c r="P217" s="101" t="s">
        <v>458</v>
      </c>
      <c r="Q217" s="20">
        <v>44593.423634259256</v>
      </c>
      <c r="R217" s="101" t="s">
        <v>25</v>
      </c>
      <c r="S217" s="101" t="s">
        <v>17</v>
      </c>
      <c r="T217" s="101">
        <v>0</v>
      </c>
      <c r="U217" s="101" t="s">
        <v>18</v>
      </c>
      <c r="V217" s="101" t="s">
        <v>18</v>
      </c>
      <c r="W217" s="101" t="s">
        <v>18</v>
      </c>
      <c r="X217" s="101" t="s">
        <v>18</v>
      </c>
      <c r="Y217" s="101" t="s">
        <v>18</v>
      </c>
      <c r="Z217" s="101" t="s">
        <v>18</v>
      </c>
      <c r="AA217" s="101" t="s">
        <v>18</v>
      </c>
      <c r="AC217" s="101">
        <v>39</v>
      </c>
      <c r="AD217" s="101" t="s">
        <v>458</v>
      </c>
      <c r="AE217" s="20">
        <v>44593.423634259256</v>
      </c>
      <c r="AF217" s="101" t="s">
        <v>25</v>
      </c>
      <c r="AG217" s="101" t="s">
        <v>17</v>
      </c>
      <c r="AH217" s="101">
        <v>0</v>
      </c>
      <c r="AI217" s="101">
        <v>12.3</v>
      </c>
      <c r="AJ217" s="12">
        <v>2481</v>
      </c>
      <c r="AK217" s="101">
        <v>0.505</v>
      </c>
      <c r="AL217" s="101" t="s">
        <v>18</v>
      </c>
      <c r="AM217" s="101" t="s">
        <v>18</v>
      </c>
      <c r="AN217" s="101" t="s">
        <v>18</v>
      </c>
      <c r="AO217" s="101" t="s">
        <v>18</v>
      </c>
      <c r="AQ217" s="101">
        <v>1</v>
      </c>
      <c r="AS217" s="7">
        <v>173</v>
      </c>
      <c r="AT217" s="104">
        <f>IF(H217&lt;10000,((0.0000001453*H217^2)+(0.0008349*H217)+(-1.805)),(IF(H217&lt;700000,((-0.00000000008054*H217^2)+(0.002348*H217)+(-2.47)), ((-0.00000001938*V217^2)+(0.2471*V217)+(226.8)))))</f>
        <v>1.2499180132000001</v>
      </c>
      <c r="AU217" s="105">
        <f>(-0.00000002552*AJ217^2)+(0.2067*AJ217)+(-103.7)</f>
        <v>408.96561518727998</v>
      </c>
      <c r="AV217" s="101">
        <f t="shared" si="28"/>
        <v>1.2499180132000001</v>
      </c>
      <c r="AW217" s="60">
        <f t="shared" si="29"/>
        <v>2.6311706849999998</v>
      </c>
      <c r="AX217" s="61">
        <f t="shared" si="30"/>
        <v>494.42102799003004</v>
      </c>
      <c r="AZ217" s="23">
        <f t="shared" si="31"/>
        <v>2.6144923202000001</v>
      </c>
      <c r="BA217" s="103">
        <f t="shared" si="32"/>
        <v>470.40911383014003</v>
      </c>
      <c r="BC217" s="104">
        <f t="shared" si="33"/>
        <v>1.2499180132000001</v>
      </c>
      <c r="BD217" s="105">
        <f t="shared" si="34"/>
        <v>408.96561518727998</v>
      </c>
      <c r="BF217" s="115">
        <f t="shared" si="26"/>
        <v>-0.34395145120000015</v>
      </c>
      <c r="BG217" s="116">
        <f t="shared" si="27"/>
        <v>237.54985708000004</v>
      </c>
    </row>
    <row r="218" spans="1:59" s="101" customFormat="1" ht="14.4" x14ac:dyDescent="0.3">
      <c r="A218" s="101">
        <v>30</v>
      </c>
      <c r="B218" s="101" t="s">
        <v>343</v>
      </c>
      <c r="C218" s="20">
        <v>44595.60193287037</v>
      </c>
      <c r="D218" s="101" t="s">
        <v>344</v>
      </c>
      <c r="E218" s="101" t="s">
        <v>17</v>
      </c>
      <c r="F218" s="101">
        <v>0</v>
      </c>
      <c r="G218" s="101">
        <v>6.0890000000000004</v>
      </c>
      <c r="H218" s="12">
        <v>3001</v>
      </c>
      <c r="I218" s="101">
        <v>0</v>
      </c>
      <c r="J218" s="101" t="s">
        <v>18</v>
      </c>
      <c r="K218" s="101" t="s">
        <v>18</v>
      </c>
      <c r="L218" s="101" t="s">
        <v>18</v>
      </c>
      <c r="M218" s="101" t="s">
        <v>18</v>
      </c>
      <c r="O218" s="101">
        <v>30</v>
      </c>
      <c r="P218" s="101" t="s">
        <v>343</v>
      </c>
      <c r="Q218" s="20">
        <v>44595.60193287037</v>
      </c>
      <c r="R218" s="101" t="s">
        <v>344</v>
      </c>
      <c r="S218" s="101" t="s">
        <v>17</v>
      </c>
      <c r="T218" s="101">
        <v>0</v>
      </c>
      <c r="U218" s="101" t="s">
        <v>18</v>
      </c>
      <c r="V218" s="12" t="s">
        <v>18</v>
      </c>
      <c r="W218" s="101" t="s">
        <v>18</v>
      </c>
      <c r="X218" s="101" t="s">
        <v>18</v>
      </c>
      <c r="Y218" s="101" t="s">
        <v>18</v>
      </c>
      <c r="Z218" s="101" t="s">
        <v>18</v>
      </c>
      <c r="AA218" s="101" t="s">
        <v>18</v>
      </c>
      <c r="AC218" s="101">
        <v>30</v>
      </c>
      <c r="AD218" s="101" t="s">
        <v>343</v>
      </c>
      <c r="AE218" s="20">
        <v>44595.60193287037</v>
      </c>
      <c r="AF218" s="101" t="s">
        <v>344</v>
      </c>
      <c r="AG218" s="101" t="s">
        <v>17</v>
      </c>
      <c r="AH218" s="101">
        <v>0</v>
      </c>
      <c r="AI218" s="101">
        <v>12.265000000000001</v>
      </c>
      <c r="AJ218" s="12">
        <v>2217</v>
      </c>
      <c r="AK218" s="101">
        <v>0.40400000000000003</v>
      </c>
      <c r="AL218" s="101" t="s">
        <v>18</v>
      </c>
      <c r="AM218" s="101" t="s">
        <v>18</v>
      </c>
      <c r="AN218" s="101" t="s">
        <v>18</v>
      </c>
      <c r="AO218" s="101" t="s">
        <v>18</v>
      </c>
      <c r="AQ218" s="101">
        <v>1</v>
      </c>
      <c r="AS218" s="7">
        <v>174</v>
      </c>
      <c r="AT218" s="104">
        <f t="shared" ref="AT218:AT243" si="37">IF(H218&lt;10000,((0.0000001453*H218^2)+(0.0008349*H218)+(-1.805)),(IF(H218&lt;700000,((-0.00000000008054*H218^2)+(0.002348*H218)+(-2.47)), ((-0.00000001938*V218^2)+(0.2471*V218)+(226.8)))))</f>
        <v>2.0091068452999998</v>
      </c>
      <c r="AU218" s="105">
        <f t="shared" ref="AU218:AU243" si="38">(-0.00000002552*AJ218^2)+(0.2067*AJ218)+(-103.7)</f>
        <v>354.42846692872001</v>
      </c>
      <c r="AV218" s="101">
        <f t="shared" si="28"/>
        <v>2.0091068452999998</v>
      </c>
      <c r="AW218" s="60">
        <f t="shared" si="29"/>
        <v>3.9380825212499992</v>
      </c>
      <c r="AX218" s="61">
        <f t="shared" si="30"/>
        <v>445.55327986347004</v>
      </c>
      <c r="AZ218" s="23">
        <f t="shared" si="31"/>
        <v>4.2359252420499995</v>
      </c>
      <c r="BA218" s="103">
        <f t="shared" si="32"/>
        <v>419.95248065286</v>
      </c>
      <c r="BC218" s="104">
        <f t="shared" si="33"/>
        <v>2.0091068452999998</v>
      </c>
      <c r="BD218" s="105">
        <f t="shared" si="34"/>
        <v>354.42846692872001</v>
      </c>
      <c r="BF218" s="115">
        <f t="shared" si="26"/>
        <v>0.35929591520000059</v>
      </c>
      <c r="BG218" s="116">
        <f t="shared" si="27"/>
        <v>210.94989292000002</v>
      </c>
    </row>
    <row r="219" spans="1:59" s="101" customFormat="1" ht="14.4" x14ac:dyDescent="0.3">
      <c r="A219" s="101">
        <v>31</v>
      </c>
      <c r="B219" s="101" t="s">
        <v>345</v>
      </c>
      <c r="C219" s="20">
        <v>44595.623171296298</v>
      </c>
      <c r="D219" s="101" t="s">
        <v>346</v>
      </c>
      <c r="E219" s="101" t="s">
        <v>17</v>
      </c>
      <c r="F219" s="101">
        <v>0</v>
      </c>
      <c r="G219" s="101">
        <v>6.0810000000000004</v>
      </c>
      <c r="H219" s="12">
        <v>2804</v>
      </c>
      <c r="I219" s="101">
        <v>-1E-3</v>
      </c>
      <c r="J219" s="101" t="s">
        <v>18</v>
      </c>
      <c r="K219" s="101" t="s">
        <v>18</v>
      </c>
      <c r="L219" s="101" t="s">
        <v>18</v>
      </c>
      <c r="M219" s="101" t="s">
        <v>18</v>
      </c>
      <c r="O219" s="101">
        <v>31</v>
      </c>
      <c r="P219" s="101" t="s">
        <v>345</v>
      </c>
      <c r="Q219" s="20">
        <v>44595.623171296298</v>
      </c>
      <c r="R219" s="101" t="s">
        <v>346</v>
      </c>
      <c r="S219" s="101" t="s">
        <v>17</v>
      </c>
      <c r="T219" s="101">
        <v>0</v>
      </c>
      <c r="U219" s="101" t="s">
        <v>18</v>
      </c>
      <c r="V219" s="12" t="s">
        <v>18</v>
      </c>
      <c r="W219" s="101" t="s">
        <v>18</v>
      </c>
      <c r="X219" s="101" t="s">
        <v>18</v>
      </c>
      <c r="Y219" s="101" t="s">
        <v>18</v>
      </c>
      <c r="Z219" s="101" t="s">
        <v>18</v>
      </c>
      <c r="AA219" s="101" t="s">
        <v>18</v>
      </c>
      <c r="AC219" s="101">
        <v>31</v>
      </c>
      <c r="AD219" s="101" t="s">
        <v>345</v>
      </c>
      <c r="AE219" s="20">
        <v>44595.623171296298</v>
      </c>
      <c r="AF219" s="101" t="s">
        <v>346</v>
      </c>
      <c r="AG219" s="101" t="s">
        <v>17</v>
      </c>
      <c r="AH219" s="101">
        <v>0</v>
      </c>
      <c r="AI219" s="101">
        <v>12.243</v>
      </c>
      <c r="AJ219" s="12">
        <v>2051</v>
      </c>
      <c r="AK219" s="101">
        <v>0.372</v>
      </c>
      <c r="AL219" s="101" t="s">
        <v>18</v>
      </c>
      <c r="AM219" s="101" t="s">
        <v>18</v>
      </c>
      <c r="AN219" s="101" t="s">
        <v>18</v>
      </c>
      <c r="AO219" s="101" t="s">
        <v>18</v>
      </c>
      <c r="AQ219" s="101">
        <v>1</v>
      </c>
      <c r="AS219" s="7">
        <v>175</v>
      </c>
      <c r="AT219" s="104">
        <f t="shared" si="37"/>
        <v>1.6784686448000004</v>
      </c>
      <c r="AU219" s="105">
        <f t="shared" si="38"/>
        <v>320.13434754247999</v>
      </c>
      <c r="AV219" s="101">
        <f t="shared" si="28"/>
        <v>1.6784686448000004</v>
      </c>
      <c r="AW219" s="60">
        <f t="shared" si="29"/>
        <v>3.3808963399999996</v>
      </c>
      <c r="AX219" s="61">
        <f t="shared" si="30"/>
        <v>414.82135165522999</v>
      </c>
      <c r="AZ219" s="23">
        <f t="shared" si="31"/>
        <v>3.5490649928</v>
      </c>
      <c r="BA219" s="103">
        <f t="shared" si="32"/>
        <v>388.22480066774</v>
      </c>
      <c r="BC219" s="104">
        <f t="shared" si="33"/>
        <v>1.6784686448000004</v>
      </c>
      <c r="BD219" s="105">
        <f t="shared" si="34"/>
        <v>320.13434754247999</v>
      </c>
      <c r="BF219" s="115">
        <f t="shared" si="26"/>
        <v>5.9277523200000459E-2</v>
      </c>
      <c r="BG219" s="116">
        <f t="shared" si="27"/>
        <v>194.10138427999999</v>
      </c>
    </row>
    <row r="220" spans="1:59" s="101" customFormat="1" ht="14.4" x14ac:dyDescent="0.3">
      <c r="A220" s="101">
        <v>32</v>
      </c>
      <c r="B220" s="101" t="s">
        <v>347</v>
      </c>
      <c r="C220" s="20">
        <v>44595.644409722219</v>
      </c>
      <c r="D220" s="101" t="s">
        <v>348</v>
      </c>
      <c r="E220" s="101" t="s">
        <v>17</v>
      </c>
      <c r="F220" s="101">
        <v>0</v>
      </c>
      <c r="G220" s="101">
        <v>6.0860000000000003</v>
      </c>
      <c r="H220" s="12">
        <v>2898</v>
      </c>
      <c r="I220" s="101">
        <v>-1E-3</v>
      </c>
      <c r="J220" s="101" t="s">
        <v>18</v>
      </c>
      <c r="K220" s="101" t="s">
        <v>18</v>
      </c>
      <c r="L220" s="101" t="s">
        <v>18</v>
      </c>
      <c r="M220" s="101" t="s">
        <v>18</v>
      </c>
      <c r="O220" s="101">
        <v>32</v>
      </c>
      <c r="P220" s="101" t="s">
        <v>347</v>
      </c>
      <c r="Q220" s="20">
        <v>44595.644409722219</v>
      </c>
      <c r="R220" s="101" t="s">
        <v>348</v>
      </c>
      <c r="S220" s="101" t="s">
        <v>17</v>
      </c>
      <c r="T220" s="101">
        <v>0</v>
      </c>
      <c r="U220" s="101" t="s">
        <v>18</v>
      </c>
      <c r="V220" s="12" t="s">
        <v>18</v>
      </c>
      <c r="W220" s="101" t="s">
        <v>18</v>
      </c>
      <c r="X220" s="101" t="s">
        <v>18</v>
      </c>
      <c r="Y220" s="101" t="s">
        <v>18</v>
      </c>
      <c r="Z220" s="101" t="s">
        <v>18</v>
      </c>
      <c r="AA220" s="101" t="s">
        <v>18</v>
      </c>
      <c r="AC220" s="101">
        <v>32</v>
      </c>
      <c r="AD220" s="101" t="s">
        <v>347</v>
      </c>
      <c r="AE220" s="20">
        <v>44595.644409722219</v>
      </c>
      <c r="AF220" s="101" t="s">
        <v>348</v>
      </c>
      <c r="AG220" s="101" t="s">
        <v>17</v>
      </c>
      <c r="AH220" s="101">
        <v>0</v>
      </c>
      <c r="AI220" s="101">
        <v>12.241</v>
      </c>
      <c r="AJ220" s="12">
        <v>2281</v>
      </c>
      <c r="AK220" s="101">
        <v>0.41599999999999998</v>
      </c>
      <c r="AL220" s="101" t="s">
        <v>18</v>
      </c>
      <c r="AM220" s="101" t="s">
        <v>18</v>
      </c>
      <c r="AN220" s="101" t="s">
        <v>18</v>
      </c>
      <c r="AO220" s="101" t="s">
        <v>18</v>
      </c>
      <c r="AQ220" s="101">
        <v>1</v>
      </c>
      <c r="AS220" s="7">
        <v>176</v>
      </c>
      <c r="AT220" s="104">
        <f t="shared" si="37"/>
        <v>1.8348283011999997</v>
      </c>
      <c r="AU220" s="105">
        <f t="shared" si="38"/>
        <v>367.64992043527997</v>
      </c>
      <c r="AV220" s="101">
        <f t="shared" si="28"/>
        <v>1.8348283011999997</v>
      </c>
      <c r="AW220" s="60">
        <f t="shared" si="29"/>
        <v>3.6465560849999985</v>
      </c>
      <c r="AX220" s="61">
        <f t="shared" si="30"/>
        <v>457.40081013803001</v>
      </c>
      <c r="AZ220" s="23">
        <f t="shared" si="31"/>
        <v>3.8773664881999998</v>
      </c>
      <c r="BA220" s="103">
        <f t="shared" si="32"/>
        <v>432.18459985414</v>
      </c>
      <c r="BC220" s="104">
        <f t="shared" si="33"/>
        <v>1.8348283011999997</v>
      </c>
      <c r="BD220" s="105">
        <f t="shared" si="34"/>
        <v>367.64992043527997</v>
      </c>
      <c r="BF220" s="115">
        <f t="shared" si="26"/>
        <v>0.20228634079999974</v>
      </c>
      <c r="BG220" s="116">
        <f t="shared" si="27"/>
        <v>217.42038508000002</v>
      </c>
    </row>
    <row r="221" spans="1:59" s="101" customFormat="1" ht="14.4" x14ac:dyDescent="0.3">
      <c r="A221" s="101">
        <v>33</v>
      </c>
      <c r="B221" s="101" t="s">
        <v>349</v>
      </c>
      <c r="C221" s="20">
        <v>44595.665671296294</v>
      </c>
      <c r="D221" s="101" t="s">
        <v>350</v>
      </c>
      <c r="E221" s="101" t="s">
        <v>17</v>
      </c>
      <c r="F221" s="101">
        <v>0</v>
      </c>
      <c r="G221" s="101">
        <v>6.07</v>
      </c>
      <c r="H221" s="12">
        <v>3284</v>
      </c>
      <c r="I221" s="101">
        <v>0</v>
      </c>
      <c r="J221" s="101" t="s">
        <v>18</v>
      </c>
      <c r="K221" s="101" t="s">
        <v>18</v>
      </c>
      <c r="L221" s="101" t="s">
        <v>18</v>
      </c>
      <c r="M221" s="101" t="s">
        <v>18</v>
      </c>
      <c r="O221" s="101">
        <v>33</v>
      </c>
      <c r="P221" s="101" t="s">
        <v>349</v>
      </c>
      <c r="Q221" s="20">
        <v>44595.665671296294</v>
      </c>
      <c r="R221" s="101" t="s">
        <v>350</v>
      </c>
      <c r="S221" s="101" t="s">
        <v>17</v>
      </c>
      <c r="T221" s="101">
        <v>0</v>
      </c>
      <c r="U221" s="101" t="s">
        <v>18</v>
      </c>
      <c r="V221" s="12" t="s">
        <v>18</v>
      </c>
      <c r="W221" s="101" t="s">
        <v>18</v>
      </c>
      <c r="X221" s="101" t="s">
        <v>18</v>
      </c>
      <c r="Y221" s="101" t="s">
        <v>18</v>
      </c>
      <c r="Z221" s="101" t="s">
        <v>18</v>
      </c>
      <c r="AA221" s="101" t="s">
        <v>18</v>
      </c>
      <c r="AC221" s="101">
        <v>33</v>
      </c>
      <c r="AD221" s="101" t="s">
        <v>349</v>
      </c>
      <c r="AE221" s="20">
        <v>44595.665671296294</v>
      </c>
      <c r="AF221" s="101" t="s">
        <v>350</v>
      </c>
      <c r="AG221" s="101" t="s">
        <v>17</v>
      </c>
      <c r="AH221" s="101">
        <v>0</v>
      </c>
      <c r="AI221" s="101">
        <v>12.236000000000001</v>
      </c>
      <c r="AJ221" s="12">
        <v>2852</v>
      </c>
      <c r="AK221" s="101">
        <v>0.52700000000000002</v>
      </c>
      <c r="AL221" s="101" t="s">
        <v>18</v>
      </c>
      <c r="AM221" s="101" t="s">
        <v>18</v>
      </c>
      <c r="AN221" s="101" t="s">
        <v>18</v>
      </c>
      <c r="AO221" s="101" t="s">
        <v>18</v>
      </c>
      <c r="AQ221" s="101">
        <v>1</v>
      </c>
      <c r="AS221" s="7">
        <v>177</v>
      </c>
      <c r="AT221" s="104">
        <f t="shared" si="37"/>
        <v>2.5038221168000003</v>
      </c>
      <c r="AU221" s="105">
        <f t="shared" si="38"/>
        <v>485.60082276991994</v>
      </c>
      <c r="AV221" s="101">
        <f t="shared" si="28"/>
        <v>2.5038221168000003</v>
      </c>
      <c r="AW221" s="60">
        <f t="shared" si="29"/>
        <v>4.74139394</v>
      </c>
      <c r="AX221" s="61">
        <f t="shared" si="30"/>
        <v>563.08023484592002</v>
      </c>
      <c r="AZ221" s="23">
        <f t="shared" si="31"/>
        <v>5.2147611848000004</v>
      </c>
      <c r="BA221" s="103">
        <f t="shared" si="32"/>
        <v>541.31214272096008</v>
      </c>
      <c r="BC221" s="104">
        <f t="shared" si="33"/>
        <v>2.5038221168000003</v>
      </c>
      <c r="BD221" s="105">
        <f t="shared" si="34"/>
        <v>485.60082276991994</v>
      </c>
      <c r="BF221" s="115">
        <f t="shared" si="26"/>
        <v>0.79235157120000022</v>
      </c>
      <c r="BG221" s="116">
        <f t="shared" si="27"/>
        <v>274.52566112</v>
      </c>
    </row>
    <row r="222" spans="1:59" s="101" customFormat="1" ht="14.4" x14ac:dyDescent="0.3">
      <c r="A222" s="101">
        <v>34</v>
      </c>
      <c r="B222" s="101" t="s">
        <v>351</v>
      </c>
      <c r="C222" s="20">
        <v>44595.686909722222</v>
      </c>
      <c r="D222" s="101" t="s">
        <v>352</v>
      </c>
      <c r="E222" s="101" t="s">
        <v>17</v>
      </c>
      <c r="F222" s="101">
        <v>0</v>
      </c>
      <c r="G222" s="101">
        <v>6.0780000000000003</v>
      </c>
      <c r="H222" s="12">
        <v>3124</v>
      </c>
      <c r="I222" s="101">
        <v>0</v>
      </c>
      <c r="J222" s="101" t="s">
        <v>18</v>
      </c>
      <c r="K222" s="101" t="s">
        <v>18</v>
      </c>
      <c r="L222" s="101" t="s">
        <v>18</v>
      </c>
      <c r="M222" s="101" t="s">
        <v>18</v>
      </c>
      <c r="O222" s="101">
        <v>34</v>
      </c>
      <c r="P222" s="101" t="s">
        <v>351</v>
      </c>
      <c r="Q222" s="20">
        <v>44595.686909722222</v>
      </c>
      <c r="R222" s="101" t="s">
        <v>352</v>
      </c>
      <c r="S222" s="101" t="s">
        <v>17</v>
      </c>
      <c r="T222" s="101">
        <v>0</v>
      </c>
      <c r="U222" s="101" t="s">
        <v>18</v>
      </c>
      <c r="V222" s="12" t="s">
        <v>18</v>
      </c>
      <c r="W222" s="101" t="s">
        <v>18</v>
      </c>
      <c r="X222" s="101" t="s">
        <v>18</v>
      </c>
      <c r="Y222" s="101" t="s">
        <v>18</v>
      </c>
      <c r="Z222" s="101" t="s">
        <v>18</v>
      </c>
      <c r="AA222" s="101" t="s">
        <v>18</v>
      </c>
      <c r="AC222" s="101">
        <v>34</v>
      </c>
      <c r="AD222" s="101" t="s">
        <v>351</v>
      </c>
      <c r="AE222" s="20">
        <v>44595.686909722222</v>
      </c>
      <c r="AF222" s="101" t="s">
        <v>352</v>
      </c>
      <c r="AG222" s="101" t="s">
        <v>17</v>
      </c>
      <c r="AH222" s="101">
        <v>0</v>
      </c>
      <c r="AI222" s="101">
        <v>12.228</v>
      </c>
      <c r="AJ222" s="12">
        <v>2032</v>
      </c>
      <c r="AK222" s="101">
        <v>0.36799999999999999</v>
      </c>
      <c r="AL222" s="101" t="s">
        <v>18</v>
      </c>
      <c r="AM222" s="101" t="s">
        <v>18</v>
      </c>
      <c r="AN222" s="101" t="s">
        <v>18</v>
      </c>
      <c r="AO222" s="101" t="s">
        <v>18</v>
      </c>
      <c r="AQ222" s="101">
        <v>1</v>
      </c>
      <c r="AS222" s="7">
        <v>178</v>
      </c>
      <c r="AT222" s="104">
        <f t="shared" si="37"/>
        <v>2.2212649328000005</v>
      </c>
      <c r="AU222" s="105">
        <f t="shared" si="38"/>
        <v>316.20902730751999</v>
      </c>
      <c r="AV222" s="101">
        <f t="shared" si="28"/>
        <v>2.2212649328000005</v>
      </c>
      <c r="AW222" s="60">
        <f t="shared" si="29"/>
        <v>4.2868067399999994</v>
      </c>
      <c r="AX222" s="61">
        <f t="shared" si="30"/>
        <v>411.30362116352001</v>
      </c>
      <c r="AZ222" s="23">
        <f t="shared" si="31"/>
        <v>4.6624961608</v>
      </c>
      <c r="BA222" s="103">
        <f t="shared" si="32"/>
        <v>384.59326206976004</v>
      </c>
      <c r="BC222" s="104">
        <f t="shared" si="33"/>
        <v>2.2212649328000005</v>
      </c>
      <c r="BD222" s="105">
        <f t="shared" si="34"/>
        <v>316.20902730751999</v>
      </c>
      <c r="BF222" s="115">
        <f t="shared" si="26"/>
        <v>0.54721531520000077</v>
      </c>
      <c r="BG222" s="116">
        <f t="shared" si="27"/>
        <v>192.16689472000002</v>
      </c>
    </row>
    <row r="223" spans="1:59" s="101" customFormat="1" ht="14.4" x14ac:dyDescent="0.3">
      <c r="A223" s="101">
        <v>35</v>
      </c>
      <c r="B223" s="101" t="s">
        <v>353</v>
      </c>
      <c r="C223" s="20">
        <v>44595.70815972222</v>
      </c>
      <c r="D223" s="101" t="s">
        <v>354</v>
      </c>
      <c r="E223" s="101" t="s">
        <v>17</v>
      </c>
      <c r="F223" s="101">
        <v>0</v>
      </c>
      <c r="G223" s="101">
        <v>6.0839999999999996</v>
      </c>
      <c r="H223" s="12">
        <v>3113</v>
      </c>
      <c r="I223" s="101">
        <v>0</v>
      </c>
      <c r="J223" s="101" t="s">
        <v>18</v>
      </c>
      <c r="K223" s="101" t="s">
        <v>18</v>
      </c>
      <c r="L223" s="101" t="s">
        <v>18</v>
      </c>
      <c r="M223" s="101" t="s">
        <v>18</v>
      </c>
      <c r="O223" s="101">
        <v>35</v>
      </c>
      <c r="P223" s="101" t="s">
        <v>353</v>
      </c>
      <c r="Q223" s="20">
        <v>44595.70815972222</v>
      </c>
      <c r="R223" s="101" t="s">
        <v>354</v>
      </c>
      <c r="S223" s="101" t="s">
        <v>17</v>
      </c>
      <c r="T223" s="101">
        <v>0</v>
      </c>
      <c r="U223" s="101" t="s">
        <v>18</v>
      </c>
      <c r="V223" s="12" t="s">
        <v>18</v>
      </c>
      <c r="W223" s="101" t="s">
        <v>18</v>
      </c>
      <c r="X223" s="101" t="s">
        <v>18</v>
      </c>
      <c r="Y223" s="101" t="s">
        <v>18</v>
      </c>
      <c r="Z223" s="101" t="s">
        <v>18</v>
      </c>
      <c r="AA223" s="101" t="s">
        <v>18</v>
      </c>
      <c r="AC223" s="101">
        <v>35</v>
      </c>
      <c r="AD223" s="101" t="s">
        <v>353</v>
      </c>
      <c r="AE223" s="20">
        <v>44595.70815972222</v>
      </c>
      <c r="AF223" s="101" t="s">
        <v>354</v>
      </c>
      <c r="AG223" s="101" t="s">
        <v>17</v>
      </c>
      <c r="AH223" s="101">
        <v>0</v>
      </c>
      <c r="AI223" s="101">
        <v>12.23</v>
      </c>
      <c r="AJ223" s="12">
        <v>2184</v>
      </c>
      <c r="AK223" s="101">
        <v>0.39700000000000002</v>
      </c>
      <c r="AL223" s="101" t="s">
        <v>18</v>
      </c>
      <c r="AM223" s="101" t="s">
        <v>18</v>
      </c>
      <c r="AN223" s="101" t="s">
        <v>18</v>
      </c>
      <c r="AO223" s="101" t="s">
        <v>18</v>
      </c>
      <c r="AQ223" s="101">
        <v>1</v>
      </c>
      <c r="AS223" s="7">
        <v>179</v>
      </c>
      <c r="AT223" s="104">
        <f t="shared" si="37"/>
        <v>2.2021124357000001</v>
      </c>
      <c r="AU223" s="105">
        <f t="shared" si="38"/>
        <v>347.61107327487997</v>
      </c>
      <c r="AV223" s="101">
        <f t="shared" si="28"/>
        <v>2.2021124357000001</v>
      </c>
      <c r="AW223" s="60">
        <f t="shared" si="29"/>
        <v>4.2555938412499987</v>
      </c>
      <c r="AX223" s="61">
        <f t="shared" si="30"/>
        <v>439.44419613887999</v>
      </c>
      <c r="AZ223" s="23">
        <f t="shared" si="31"/>
        <v>4.6244189364500006</v>
      </c>
      <c r="BA223" s="103">
        <f t="shared" si="32"/>
        <v>413.64524214144001</v>
      </c>
      <c r="BC223" s="104">
        <f t="shared" si="33"/>
        <v>2.2021124357000001</v>
      </c>
      <c r="BD223" s="105">
        <f t="shared" si="34"/>
        <v>347.61107327487997</v>
      </c>
      <c r="BF223" s="115">
        <f t="shared" si="26"/>
        <v>0.53039078879999924</v>
      </c>
      <c r="BG223" s="116">
        <f t="shared" si="27"/>
        <v>207.60803967999999</v>
      </c>
    </row>
    <row r="224" spans="1:59" s="101" customFormat="1" ht="14.4" x14ac:dyDescent="0.3">
      <c r="A224" s="101">
        <v>36</v>
      </c>
      <c r="B224" s="101" t="s">
        <v>355</v>
      </c>
      <c r="C224" s="20">
        <v>44595.729398148149</v>
      </c>
      <c r="D224" s="101" t="s">
        <v>356</v>
      </c>
      <c r="E224" s="101" t="s">
        <v>17</v>
      </c>
      <c r="F224" s="101">
        <v>0</v>
      </c>
      <c r="G224" s="101">
        <v>6.0759999999999996</v>
      </c>
      <c r="H224" s="12">
        <v>3075</v>
      </c>
      <c r="I224" s="101">
        <v>0</v>
      </c>
      <c r="J224" s="101" t="s">
        <v>18</v>
      </c>
      <c r="K224" s="101" t="s">
        <v>18</v>
      </c>
      <c r="L224" s="101" t="s">
        <v>18</v>
      </c>
      <c r="M224" s="101" t="s">
        <v>18</v>
      </c>
      <c r="O224" s="101">
        <v>36</v>
      </c>
      <c r="P224" s="101" t="s">
        <v>355</v>
      </c>
      <c r="Q224" s="20">
        <v>44595.729398148149</v>
      </c>
      <c r="R224" s="101" t="s">
        <v>356</v>
      </c>
      <c r="S224" s="101" t="s">
        <v>17</v>
      </c>
      <c r="T224" s="101">
        <v>0</v>
      </c>
      <c r="U224" s="101" t="s">
        <v>18</v>
      </c>
      <c r="V224" s="12" t="s">
        <v>18</v>
      </c>
      <c r="W224" s="101" t="s">
        <v>18</v>
      </c>
      <c r="X224" s="101" t="s">
        <v>18</v>
      </c>
      <c r="Y224" s="101" t="s">
        <v>18</v>
      </c>
      <c r="Z224" s="101" t="s">
        <v>18</v>
      </c>
      <c r="AA224" s="101" t="s">
        <v>18</v>
      </c>
      <c r="AC224" s="101">
        <v>36</v>
      </c>
      <c r="AD224" s="101" t="s">
        <v>355</v>
      </c>
      <c r="AE224" s="20">
        <v>44595.729398148149</v>
      </c>
      <c r="AF224" s="101" t="s">
        <v>356</v>
      </c>
      <c r="AG224" s="101" t="s">
        <v>17</v>
      </c>
      <c r="AH224" s="101">
        <v>0</v>
      </c>
      <c r="AI224" s="101">
        <v>12.234999999999999</v>
      </c>
      <c r="AJ224" s="12">
        <v>1861</v>
      </c>
      <c r="AK224" s="101">
        <v>0.33500000000000002</v>
      </c>
      <c r="AL224" s="101" t="s">
        <v>18</v>
      </c>
      <c r="AM224" s="101" t="s">
        <v>18</v>
      </c>
      <c r="AN224" s="101" t="s">
        <v>18</v>
      </c>
      <c r="AO224" s="101" t="s">
        <v>18</v>
      </c>
      <c r="AQ224" s="101">
        <v>1</v>
      </c>
      <c r="AS224" s="7">
        <v>180</v>
      </c>
      <c r="AT224" s="104">
        <f t="shared" si="37"/>
        <v>2.1362198125000003</v>
      </c>
      <c r="AU224" s="105">
        <f t="shared" si="38"/>
        <v>280.88031604808003</v>
      </c>
      <c r="AV224" s="101">
        <f t="shared" si="28"/>
        <v>2.1362198125000003</v>
      </c>
      <c r="AW224" s="60">
        <f t="shared" si="29"/>
        <v>4.1478070312499984</v>
      </c>
      <c r="AX224" s="61">
        <f t="shared" si="30"/>
        <v>379.64200734082999</v>
      </c>
      <c r="AZ224" s="23">
        <f t="shared" si="31"/>
        <v>4.4927715312499998</v>
      </c>
      <c r="BA224" s="103">
        <f t="shared" si="32"/>
        <v>351.90888640054004</v>
      </c>
      <c r="BC224" s="104">
        <f t="shared" si="33"/>
        <v>2.1362198125000003</v>
      </c>
      <c r="BD224" s="105">
        <f t="shared" si="34"/>
        <v>280.88031604808003</v>
      </c>
      <c r="BF224" s="115">
        <f t="shared" si="26"/>
        <v>0.47229800000000033</v>
      </c>
      <c r="BG224" s="116">
        <f t="shared" si="27"/>
        <v>174.70060588000001</v>
      </c>
    </row>
    <row r="225" spans="1:73" s="101" customFormat="1" ht="14.4" x14ac:dyDescent="0.3">
      <c r="A225" s="101">
        <v>37</v>
      </c>
      <c r="B225" s="101" t="s">
        <v>357</v>
      </c>
      <c r="C225" s="20">
        <v>44595.750659722224</v>
      </c>
      <c r="D225" s="101" t="s">
        <v>358</v>
      </c>
      <c r="E225" s="101" t="s">
        <v>17</v>
      </c>
      <c r="F225" s="101">
        <v>0</v>
      </c>
      <c r="G225" s="101">
        <v>6.0839999999999996</v>
      </c>
      <c r="H225" s="12">
        <v>3088</v>
      </c>
      <c r="I225" s="101">
        <v>0</v>
      </c>
      <c r="J225" s="101" t="s">
        <v>18</v>
      </c>
      <c r="K225" s="101" t="s">
        <v>18</v>
      </c>
      <c r="L225" s="101" t="s">
        <v>18</v>
      </c>
      <c r="M225" s="101" t="s">
        <v>18</v>
      </c>
      <c r="O225" s="101">
        <v>37</v>
      </c>
      <c r="P225" s="101" t="s">
        <v>357</v>
      </c>
      <c r="Q225" s="20">
        <v>44595.750659722224</v>
      </c>
      <c r="R225" s="101" t="s">
        <v>358</v>
      </c>
      <c r="S225" s="101" t="s">
        <v>17</v>
      </c>
      <c r="T225" s="101">
        <v>0</v>
      </c>
      <c r="U225" s="101" t="s">
        <v>18</v>
      </c>
      <c r="V225" s="12" t="s">
        <v>18</v>
      </c>
      <c r="W225" s="101" t="s">
        <v>18</v>
      </c>
      <c r="X225" s="101" t="s">
        <v>18</v>
      </c>
      <c r="Y225" s="101" t="s">
        <v>18</v>
      </c>
      <c r="Z225" s="101" t="s">
        <v>18</v>
      </c>
      <c r="AA225" s="101" t="s">
        <v>18</v>
      </c>
      <c r="AC225" s="101">
        <v>37</v>
      </c>
      <c r="AD225" s="101" t="s">
        <v>357</v>
      </c>
      <c r="AE225" s="20">
        <v>44595.750659722224</v>
      </c>
      <c r="AF225" s="101" t="s">
        <v>358</v>
      </c>
      <c r="AG225" s="101" t="s">
        <v>17</v>
      </c>
      <c r="AH225" s="101">
        <v>0</v>
      </c>
      <c r="AI225" s="101">
        <v>12.244</v>
      </c>
      <c r="AJ225" s="12">
        <v>2192</v>
      </c>
      <c r="AK225" s="101">
        <v>0.39900000000000002</v>
      </c>
      <c r="AL225" s="101" t="s">
        <v>18</v>
      </c>
      <c r="AM225" s="101" t="s">
        <v>18</v>
      </c>
      <c r="AN225" s="101" t="s">
        <v>18</v>
      </c>
      <c r="AO225" s="101" t="s">
        <v>18</v>
      </c>
      <c r="AQ225" s="101">
        <v>1</v>
      </c>
      <c r="AS225" s="7">
        <v>181</v>
      </c>
      <c r="AT225" s="104">
        <f t="shared" si="37"/>
        <v>2.1587148032000005</v>
      </c>
      <c r="AU225" s="105">
        <f t="shared" si="38"/>
        <v>349.26377987071999</v>
      </c>
      <c r="AV225" s="101">
        <f t="shared" si="28"/>
        <v>2.1587148032000005</v>
      </c>
      <c r="AW225" s="60">
        <f t="shared" si="29"/>
        <v>4.1846745599999995</v>
      </c>
      <c r="AX225" s="61">
        <f t="shared" si="30"/>
        <v>440.92519868672002</v>
      </c>
      <c r="AZ225" s="23">
        <f t="shared" si="31"/>
        <v>4.5378276352000011</v>
      </c>
      <c r="BA225" s="103">
        <f t="shared" si="32"/>
        <v>415.17427291136005</v>
      </c>
      <c r="BC225" s="104">
        <f t="shared" si="33"/>
        <v>2.1587148032000005</v>
      </c>
      <c r="BD225" s="105">
        <f t="shared" si="34"/>
        <v>349.26377987071999</v>
      </c>
      <c r="BF225" s="115">
        <f t="shared" si="26"/>
        <v>0.49216690880000069</v>
      </c>
      <c r="BG225" s="116">
        <f t="shared" si="27"/>
        <v>208.41852992000003</v>
      </c>
    </row>
    <row r="226" spans="1:73" s="8" customFormat="1" ht="14.4" x14ac:dyDescent="0.3">
      <c r="A226" s="101">
        <v>1</v>
      </c>
      <c r="B226" s="101" t="s">
        <v>459</v>
      </c>
      <c r="C226" s="20">
        <v>44595.771898148145</v>
      </c>
      <c r="D226" s="101" t="s">
        <v>460</v>
      </c>
      <c r="E226" s="101" t="s">
        <v>24</v>
      </c>
      <c r="F226" s="101">
        <v>1</v>
      </c>
      <c r="G226" s="101">
        <v>6.0789999999999997</v>
      </c>
      <c r="H226" s="12">
        <v>3189</v>
      </c>
      <c r="I226" s="101">
        <v>1E-3</v>
      </c>
      <c r="J226" s="101">
        <v>1.8000000000000001E-4</v>
      </c>
      <c r="K226" s="101">
        <v>1</v>
      </c>
      <c r="L226" s="17">
        <v>337.6</v>
      </c>
      <c r="M226" s="101">
        <v>0</v>
      </c>
      <c r="N226" s="101"/>
      <c r="O226" s="101">
        <v>1</v>
      </c>
      <c r="P226" s="101" t="s">
        <v>459</v>
      </c>
      <c r="Q226" s="20">
        <v>44595.771898148145</v>
      </c>
      <c r="R226" s="101" t="s">
        <v>460</v>
      </c>
      <c r="S226" s="101" t="s">
        <v>24</v>
      </c>
      <c r="T226" s="101">
        <v>1</v>
      </c>
      <c r="U226" s="101" t="s">
        <v>18</v>
      </c>
      <c r="V226" s="12" t="s">
        <v>18</v>
      </c>
      <c r="W226" s="101" t="s">
        <v>18</v>
      </c>
      <c r="X226" s="101">
        <v>0</v>
      </c>
      <c r="Y226" s="101">
        <v>0</v>
      </c>
      <c r="Z226" s="101" t="s">
        <v>18</v>
      </c>
      <c r="AA226" s="101" t="s">
        <v>18</v>
      </c>
      <c r="AB226" s="101"/>
      <c r="AC226" s="101">
        <v>1</v>
      </c>
      <c r="AD226" s="101" t="s">
        <v>459</v>
      </c>
      <c r="AE226" s="20">
        <v>44595.771898148145</v>
      </c>
      <c r="AF226" s="101" t="s">
        <v>460</v>
      </c>
      <c r="AG226" s="101" t="s">
        <v>24</v>
      </c>
      <c r="AH226" s="101">
        <v>1</v>
      </c>
      <c r="AI226" s="101">
        <v>12.237</v>
      </c>
      <c r="AJ226" s="12">
        <v>2495</v>
      </c>
      <c r="AK226" s="101">
        <v>0.46200000000000002</v>
      </c>
      <c r="AL226" s="101">
        <v>0.4</v>
      </c>
      <c r="AM226" s="101">
        <v>1</v>
      </c>
      <c r="AN226" s="101">
        <v>115.4</v>
      </c>
      <c r="AO226" s="101">
        <v>6.2E-2</v>
      </c>
      <c r="AQ226" s="101">
        <v>1</v>
      </c>
      <c r="AR226" s="101"/>
      <c r="AS226" s="7">
        <v>182</v>
      </c>
      <c r="AT226" s="104">
        <f t="shared" si="37"/>
        <v>2.3351565612999998</v>
      </c>
      <c r="AU226" s="105">
        <f t="shared" si="38"/>
        <v>411.85763736200005</v>
      </c>
      <c r="AV226" s="101">
        <f t="shared" si="28"/>
        <v>2.3351565612999998</v>
      </c>
      <c r="AW226" s="60">
        <f t="shared" si="29"/>
        <v>4.4713515712499987</v>
      </c>
      <c r="AX226" s="61">
        <f t="shared" si="30"/>
        <v>497.01225518075</v>
      </c>
      <c r="AZ226" s="23">
        <f t="shared" si="31"/>
        <v>4.88721166805</v>
      </c>
      <c r="BA226" s="103">
        <f t="shared" si="32"/>
        <v>473.08478109350006</v>
      </c>
      <c r="BC226" s="104">
        <f t="shared" si="33"/>
        <v>2.3351565612999998</v>
      </c>
      <c r="BD226" s="105">
        <f t="shared" si="34"/>
        <v>411.85763736200005</v>
      </c>
      <c r="BF226" s="115">
        <f t="shared" si="26"/>
        <v>0.64670805919999985</v>
      </c>
      <c r="BG226" s="116">
        <f t="shared" si="27"/>
        <v>238.95376700000003</v>
      </c>
    </row>
    <row r="227" spans="1:73" s="8" customFormat="1" ht="14.4" x14ac:dyDescent="0.3">
      <c r="A227" s="101">
        <v>2</v>
      </c>
      <c r="B227" s="101" t="s">
        <v>461</v>
      </c>
      <c r="C227" s="20">
        <v>44595.793171296296</v>
      </c>
      <c r="D227" s="101" t="s">
        <v>462</v>
      </c>
      <c r="E227" s="101" t="s">
        <v>24</v>
      </c>
      <c r="F227" s="101">
        <v>1</v>
      </c>
      <c r="G227" s="101">
        <v>6.0880000000000001</v>
      </c>
      <c r="H227" s="12">
        <v>3478</v>
      </c>
      <c r="I227" s="101">
        <v>1E-3</v>
      </c>
      <c r="J227" s="101">
        <v>1.8000000000000001E-4</v>
      </c>
      <c r="K227" s="101">
        <v>1</v>
      </c>
      <c r="L227" s="101">
        <v>678.2</v>
      </c>
      <c r="M227" s="101">
        <v>1E-3</v>
      </c>
      <c r="N227" s="101"/>
      <c r="O227" s="101">
        <v>2</v>
      </c>
      <c r="P227" s="101" t="s">
        <v>461</v>
      </c>
      <c r="Q227" s="20">
        <v>44595.793171296296</v>
      </c>
      <c r="R227" s="101" t="s">
        <v>462</v>
      </c>
      <c r="S227" s="101" t="s">
        <v>24</v>
      </c>
      <c r="T227" s="101">
        <v>1</v>
      </c>
      <c r="U227" s="101" t="s">
        <v>18</v>
      </c>
      <c r="V227" s="12" t="s">
        <v>18</v>
      </c>
      <c r="W227" s="101" t="s">
        <v>18</v>
      </c>
      <c r="X227" s="101">
        <v>0</v>
      </c>
      <c r="Y227" s="101">
        <v>0</v>
      </c>
      <c r="Z227" s="101" t="s">
        <v>18</v>
      </c>
      <c r="AA227" s="101" t="s">
        <v>18</v>
      </c>
      <c r="AB227" s="101"/>
      <c r="AC227" s="101">
        <v>2</v>
      </c>
      <c r="AD227" s="101" t="s">
        <v>461</v>
      </c>
      <c r="AE227" s="20">
        <v>44595.793171296296</v>
      </c>
      <c r="AF227" s="101" t="s">
        <v>462</v>
      </c>
      <c r="AG227" s="101" t="s">
        <v>24</v>
      </c>
      <c r="AH227" s="101">
        <v>1</v>
      </c>
      <c r="AI227" s="101">
        <v>12.225</v>
      </c>
      <c r="AJ227" s="12">
        <v>2243</v>
      </c>
      <c r="AK227" s="101">
        <v>0.40200000000000002</v>
      </c>
      <c r="AL227" s="101">
        <v>0.4</v>
      </c>
      <c r="AM227" s="101">
        <v>1</v>
      </c>
      <c r="AN227" s="101">
        <v>100.4</v>
      </c>
      <c r="AO227" s="101">
        <v>2E-3</v>
      </c>
      <c r="AQ227" s="101">
        <v>1</v>
      </c>
      <c r="AR227" s="101"/>
      <c r="AS227" s="7">
        <v>183</v>
      </c>
      <c r="AT227" s="104">
        <f t="shared" si="37"/>
        <v>2.8564013252000002</v>
      </c>
      <c r="AU227" s="105">
        <f t="shared" si="38"/>
        <v>359.79970762951996</v>
      </c>
      <c r="AV227" s="101">
        <f t="shared" si="28"/>
        <v>2.8564013252000002</v>
      </c>
      <c r="AW227" s="60">
        <f t="shared" si="29"/>
        <v>5.2940402849999995</v>
      </c>
      <c r="AX227" s="61">
        <f t="shared" si="30"/>
        <v>450.36640105427</v>
      </c>
      <c r="AZ227" s="23">
        <f t="shared" si="31"/>
        <v>5.8804027522000002</v>
      </c>
      <c r="BA227" s="103">
        <f t="shared" si="32"/>
        <v>424.92179514326</v>
      </c>
      <c r="BC227" s="104">
        <f t="shared" si="33"/>
        <v>2.8564013252000002</v>
      </c>
      <c r="BD227" s="105">
        <f t="shared" si="34"/>
        <v>359.79970762951996</v>
      </c>
      <c r="BF227" s="115">
        <f t="shared" si="26"/>
        <v>1.0906231567999995</v>
      </c>
      <c r="BG227" s="116">
        <f t="shared" si="27"/>
        <v>213.58022972000003</v>
      </c>
    </row>
    <row r="228" spans="1:73" s="8" customFormat="1" ht="14.4" x14ac:dyDescent="0.3">
      <c r="A228" s="101">
        <v>33</v>
      </c>
      <c r="B228" s="101" t="s">
        <v>463</v>
      </c>
      <c r="C228" s="20">
        <v>44599.657569444447</v>
      </c>
      <c r="D228" s="101" t="s">
        <v>344</v>
      </c>
      <c r="E228" s="101" t="s">
        <v>17</v>
      </c>
      <c r="F228" s="101">
        <v>0</v>
      </c>
      <c r="G228" s="101">
        <v>6.0960000000000001</v>
      </c>
      <c r="H228" s="12">
        <v>2203</v>
      </c>
      <c r="I228" s="101">
        <v>-1E-3</v>
      </c>
      <c r="J228" s="101" t="s">
        <v>18</v>
      </c>
      <c r="K228" s="101" t="s">
        <v>18</v>
      </c>
      <c r="L228" s="101" t="s">
        <v>18</v>
      </c>
      <c r="M228" s="101" t="s">
        <v>18</v>
      </c>
      <c r="N228" s="101"/>
      <c r="O228" s="101">
        <v>33</v>
      </c>
      <c r="P228" s="101" t="s">
        <v>463</v>
      </c>
      <c r="Q228" s="20">
        <v>44599.657569444447</v>
      </c>
      <c r="R228" s="101" t="s">
        <v>344</v>
      </c>
      <c r="S228" s="101" t="s">
        <v>17</v>
      </c>
      <c r="T228" s="101">
        <v>0</v>
      </c>
      <c r="U228" s="101" t="s">
        <v>18</v>
      </c>
      <c r="V228" s="12" t="s">
        <v>18</v>
      </c>
      <c r="W228" s="101" t="s">
        <v>18</v>
      </c>
      <c r="X228" s="101" t="s">
        <v>18</v>
      </c>
      <c r="Y228" s="101" t="s">
        <v>18</v>
      </c>
      <c r="Z228" s="101" t="s">
        <v>18</v>
      </c>
      <c r="AA228" s="101" t="s">
        <v>18</v>
      </c>
      <c r="AB228" s="101"/>
      <c r="AC228" s="101">
        <v>33</v>
      </c>
      <c r="AD228" s="101" t="s">
        <v>463</v>
      </c>
      <c r="AE228" s="20">
        <v>44599.657569444447</v>
      </c>
      <c r="AF228" s="101" t="s">
        <v>344</v>
      </c>
      <c r="AG228" s="101" t="s">
        <v>17</v>
      </c>
      <c r="AH228" s="101">
        <v>0</v>
      </c>
      <c r="AI228" s="101">
        <v>12.305</v>
      </c>
      <c r="AJ228" s="12">
        <v>2592</v>
      </c>
      <c r="AK228" s="101">
        <v>0.47599999999999998</v>
      </c>
      <c r="AL228" s="101" t="s">
        <v>18</v>
      </c>
      <c r="AM228" s="101" t="s">
        <v>18</v>
      </c>
      <c r="AN228" s="101" t="s">
        <v>18</v>
      </c>
      <c r="AO228" s="101" t="s">
        <v>18</v>
      </c>
      <c r="AQ228" s="101">
        <v>1</v>
      </c>
      <c r="AR228" s="101"/>
      <c r="AS228" s="7">
        <v>184</v>
      </c>
      <c r="AT228" s="104">
        <f t="shared" si="37"/>
        <v>0.73945596769999988</v>
      </c>
      <c r="AU228" s="105">
        <f t="shared" si="38"/>
        <v>431.89494479872002</v>
      </c>
      <c r="AV228" s="101">
        <f t="shared" si="28"/>
        <v>0.73945596769999988</v>
      </c>
      <c r="AW228" s="60">
        <f t="shared" si="29"/>
        <v>1.6912456912499989</v>
      </c>
      <c r="AX228" s="61">
        <f t="shared" si="30"/>
        <v>514.96508201472</v>
      </c>
      <c r="AZ228" s="23">
        <f t="shared" si="31"/>
        <v>1.4258255384500007</v>
      </c>
      <c r="BA228" s="103">
        <f t="shared" si="32"/>
        <v>491.62315777536003</v>
      </c>
      <c r="BC228" s="104">
        <f t="shared" si="33"/>
        <v>0.73945596769999988</v>
      </c>
      <c r="BD228" s="105">
        <f t="shared" si="34"/>
        <v>431.89494479872002</v>
      </c>
      <c r="BF228" s="115">
        <f t="shared" si="26"/>
        <v>-0.8487171231999997</v>
      </c>
      <c r="BG228" s="116">
        <f t="shared" si="27"/>
        <v>248.66233792000003</v>
      </c>
    </row>
    <row r="229" spans="1:73" s="8" customFormat="1" ht="14.4" x14ac:dyDescent="0.3">
      <c r="A229" s="101">
        <v>34</v>
      </c>
      <c r="B229" s="101" t="s">
        <v>464</v>
      </c>
      <c r="C229" s="20">
        <v>44599.678842592592</v>
      </c>
      <c r="D229" s="101" t="s">
        <v>346</v>
      </c>
      <c r="E229" s="101" t="s">
        <v>17</v>
      </c>
      <c r="F229" s="101">
        <v>0</v>
      </c>
      <c r="G229" s="101">
        <v>6.0880000000000001</v>
      </c>
      <c r="H229" s="12">
        <v>2493</v>
      </c>
      <c r="I229" s="101">
        <v>-1E-3</v>
      </c>
      <c r="J229" s="101" t="s">
        <v>18</v>
      </c>
      <c r="K229" s="101" t="s">
        <v>18</v>
      </c>
      <c r="L229" s="101" t="s">
        <v>18</v>
      </c>
      <c r="M229" s="101" t="s">
        <v>18</v>
      </c>
      <c r="N229" s="101"/>
      <c r="O229" s="101">
        <v>34</v>
      </c>
      <c r="P229" s="101" t="s">
        <v>464</v>
      </c>
      <c r="Q229" s="20">
        <v>44599.678842592592</v>
      </c>
      <c r="R229" s="101" t="s">
        <v>346</v>
      </c>
      <c r="S229" s="101" t="s">
        <v>17</v>
      </c>
      <c r="T229" s="101">
        <v>0</v>
      </c>
      <c r="U229" s="101" t="s">
        <v>18</v>
      </c>
      <c r="V229" s="12" t="s">
        <v>18</v>
      </c>
      <c r="W229" s="101" t="s">
        <v>18</v>
      </c>
      <c r="X229" s="101" t="s">
        <v>18</v>
      </c>
      <c r="Y229" s="101" t="s">
        <v>18</v>
      </c>
      <c r="Z229" s="101" t="s">
        <v>18</v>
      </c>
      <c r="AA229" s="101" t="s">
        <v>18</v>
      </c>
      <c r="AB229" s="101"/>
      <c r="AC229" s="101">
        <v>34</v>
      </c>
      <c r="AD229" s="101" t="s">
        <v>464</v>
      </c>
      <c r="AE229" s="20">
        <v>44599.678842592592</v>
      </c>
      <c r="AF229" s="101" t="s">
        <v>346</v>
      </c>
      <c r="AG229" s="101" t="s">
        <v>17</v>
      </c>
      <c r="AH229" s="101">
        <v>0</v>
      </c>
      <c r="AI229" s="101">
        <v>12.262</v>
      </c>
      <c r="AJ229" s="12">
        <v>2642</v>
      </c>
      <c r="AK229" s="101">
        <v>0.48699999999999999</v>
      </c>
      <c r="AL229" s="101" t="s">
        <v>18</v>
      </c>
      <c r="AM229" s="101" t="s">
        <v>18</v>
      </c>
      <c r="AN229" s="101" t="s">
        <v>18</v>
      </c>
      <c r="AO229" s="101" t="s">
        <v>18</v>
      </c>
      <c r="AQ229" s="101">
        <v>1</v>
      </c>
      <c r="AR229" s="101"/>
      <c r="AS229" s="7">
        <v>185</v>
      </c>
      <c r="AT229" s="104">
        <f t="shared" si="37"/>
        <v>1.1794523197</v>
      </c>
      <c r="AU229" s="105">
        <f t="shared" si="38"/>
        <v>442.22326621472001</v>
      </c>
      <c r="AV229" s="101">
        <f t="shared" si="28"/>
        <v>1.1794523197</v>
      </c>
      <c r="AW229" s="60">
        <f t="shared" si="29"/>
        <v>2.50463479125</v>
      </c>
      <c r="AX229" s="61">
        <f t="shared" si="30"/>
        <v>524.21865510572002</v>
      </c>
      <c r="AZ229" s="23">
        <f t="shared" si="31"/>
        <v>2.4555769104500005</v>
      </c>
      <c r="BA229" s="103">
        <f t="shared" si="32"/>
        <v>501.17890253336003</v>
      </c>
      <c r="BC229" s="104">
        <f t="shared" si="33"/>
        <v>1.1794523197</v>
      </c>
      <c r="BD229" s="105">
        <f t="shared" si="34"/>
        <v>442.22326621472001</v>
      </c>
      <c r="BF229" s="115">
        <f t="shared" si="26"/>
        <v>-0.41195415520000012</v>
      </c>
      <c r="BG229" s="116">
        <f t="shared" si="27"/>
        <v>253.65411392000004</v>
      </c>
    </row>
    <row r="230" spans="1:73" s="8" customFormat="1" ht="14.4" x14ac:dyDescent="0.3">
      <c r="A230" s="101">
        <v>1</v>
      </c>
      <c r="B230" s="101" t="s">
        <v>465</v>
      </c>
      <c r="C230" s="20">
        <v>44599.700104166666</v>
      </c>
      <c r="D230" s="101" t="s">
        <v>460</v>
      </c>
      <c r="E230" s="101" t="s">
        <v>24</v>
      </c>
      <c r="F230" s="101">
        <v>1</v>
      </c>
      <c r="G230" s="101">
        <v>6.09</v>
      </c>
      <c r="H230" s="12">
        <v>2609</v>
      </c>
      <c r="I230" s="101">
        <v>0</v>
      </c>
      <c r="J230" s="101">
        <v>1.8000000000000001E-4</v>
      </c>
      <c r="K230" s="101">
        <v>1</v>
      </c>
      <c r="L230" s="17">
        <v>-169.3</v>
      </c>
      <c r="M230" s="101">
        <v>0</v>
      </c>
      <c r="N230" s="101"/>
      <c r="O230" s="101">
        <v>1</v>
      </c>
      <c r="P230" s="101" t="s">
        <v>465</v>
      </c>
      <c r="Q230" s="20">
        <v>44599.700104166666</v>
      </c>
      <c r="R230" s="101" t="s">
        <v>460</v>
      </c>
      <c r="S230" s="101" t="s">
        <v>24</v>
      </c>
      <c r="T230" s="101">
        <v>1</v>
      </c>
      <c r="U230" s="101" t="s">
        <v>18</v>
      </c>
      <c r="V230" s="101" t="s">
        <v>18</v>
      </c>
      <c r="W230" s="101" t="s">
        <v>18</v>
      </c>
      <c r="X230" s="101">
        <v>0</v>
      </c>
      <c r="Y230" s="101">
        <v>0</v>
      </c>
      <c r="Z230" s="101" t="s">
        <v>18</v>
      </c>
      <c r="AA230" s="101" t="s">
        <v>18</v>
      </c>
      <c r="AB230" s="101"/>
      <c r="AC230" s="101">
        <v>1</v>
      </c>
      <c r="AD230" s="101" t="s">
        <v>465</v>
      </c>
      <c r="AE230" s="20">
        <v>44599.700104166666</v>
      </c>
      <c r="AF230" s="101" t="s">
        <v>460</v>
      </c>
      <c r="AG230" s="101" t="s">
        <v>24</v>
      </c>
      <c r="AH230" s="101">
        <v>1</v>
      </c>
      <c r="AI230" s="101">
        <v>12.268000000000001</v>
      </c>
      <c r="AJ230" s="12">
        <v>1795</v>
      </c>
      <c r="AK230" s="101">
        <v>0.29799999999999999</v>
      </c>
      <c r="AL230" s="101">
        <v>0.4</v>
      </c>
      <c r="AM230" s="101">
        <v>1</v>
      </c>
      <c r="AN230" s="101">
        <v>74.5</v>
      </c>
      <c r="AO230" s="101">
        <v>-0.10199999999999999</v>
      </c>
      <c r="AQ230" s="101">
        <v>1</v>
      </c>
      <c r="AR230" s="101"/>
      <c r="AS230" s="7">
        <v>186</v>
      </c>
      <c r="AT230" s="104">
        <f t="shared" si="37"/>
        <v>1.3622939092999997</v>
      </c>
      <c r="AU230" s="105">
        <f t="shared" si="38"/>
        <v>267.24427392199999</v>
      </c>
      <c r="AV230" s="101">
        <f t="shared" si="28"/>
        <v>1.3622939092999997</v>
      </c>
      <c r="AW230" s="60">
        <f t="shared" si="29"/>
        <v>2.8309912212499997</v>
      </c>
      <c r="AX230" s="61">
        <f t="shared" si="30"/>
        <v>367.42075349074997</v>
      </c>
      <c r="AZ230" s="23">
        <f t="shared" si="31"/>
        <v>2.8647482460500004</v>
      </c>
      <c r="BA230" s="103">
        <f t="shared" si="32"/>
        <v>339.29360987350003</v>
      </c>
      <c r="BC230" s="104">
        <f t="shared" si="33"/>
        <v>1.3622939092999997</v>
      </c>
      <c r="BD230" s="105">
        <f t="shared" si="34"/>
        <v>267.24427392199999</v>
      </c>
      <c r="BF230" s="115">
        <f t="shared" si="26"/>
        <v>-0.23653310880000022</v>
      </c>
      <c r="BG230" s="116">
        <f t="shared" si="27"/>
        <v>167.93232699999999</v>
      </c>
    </row>
    <row r="231" spans="1:73" s="8" customFormat="1" ht="14.4" x14ac:dyDescent="0.3">
      <c r="A231" s="101">
        <v>2</v>
      </c>
      <c r="B231" s="101" t="s">
        <v>466</v>
      </c>
      <c r="C231" s="20">
        <v>44599.721388888887</v>
      </c>
      <c r="D231" s="101" t="s">
        <v>462</v>
      </c>
      <c r="E231" s="101" t="s">
        <v>24</v>
      </c>
      <c r="F231" s="101">
        <v>1</v>
      </c>
      <c r="G231" s="101">
        <v>6.0869999999999997</v>
      </c>
      <c r="H231" s="12">
        <v>2664</v>
      </c>
      <c r="I231" s="101">
        <v>0</v>
      </c>
      <c r="J231" s="101">
        <v>1.8000000000000001E-4</v>
      </c>
      <c r="K231" s="101">
        <v>1</v>
      </c>
      <c r="L231" s="101">
        <v>-83.8</v>
      </c>
      <c r="M231" s="101">
        <v>0</v>
      </c>
      <c r="N231" s="101"/>
      <c r="O231" s="101">
        <v>2</v>
      </c>
      <c r="P231" s="101" t="s">
        <v>466</v>
      </c>
      <c r="Q231" s="20">
        <v>44599.721388888887</v>
      </c>
      <c r="R231" s="101" t="s">
        <v>462</v>
      </c>
      <c r="S231" s="101" t="s">
        <v>24</v>
      </c>
      <c r="T231" s="101">
        <v>1</v>
      </c>
      <c r="U231" s="101" t="s">
        <v>18</v>
      </c>
      <c r="V231" s="12" t="s">
        <v>18</v>
      </c>
      <c r="W231" s="101" t="s">
        <v>18</v>
      </c>
      <c r="X231" s="101">
        <v>0</v>
      </c>
      <c r="Y231" s="101">
        <v>0</v>
      </c>
      <c r="Z231" s="101" t="s">
        <v>18</v>
      </c>
      <c r="AA231" s="101" t="s">
        <v>18</v>
      </c>
      <c r="AB231" s="101"/>
      <c r="AC231" s="101">
        <v>2</v>
      </c>
      <c r="AD231" s="101" t="s">
        <v>466</v>
      </c>
      <c r="AE231" s="20">
        <v>44599.721388888887</v>
      </c>
      <c r="AF231" s="101" t="s">
        <v>462</v>
      </c>
      <c r="AG231" s="101" t="s">
        <v>24</v>
      </c>
      <c r="AH231" s="101">
        <v>1</v>
      </c>
      <c r="AI231" s="101">
        <v>12.263999999999999</v>
      </c>
      <c r="AJ231" s="12">
        <v>2608</v>
      </c>
      <c r="AK231" s="101">
        <v>0.48</v>
      </c>
      <c r="AL231" s="101">
        <v>0.4</v>
      </c>
      <c r="AM231" s="101">
        <v>1</v>
      </c>
      <c r="AN231" s="101">
        <v>120</v>
      </c>
      <c r="AO231" s="101">
        <v>0.08</v>
      </c>
      <c r="AQ231" s="101">
        <v>1</v>
      </c>
      <c r="AR231" s="101"/>
      <c r="AS231" s="7">
        <v>187</v>
      </c>
      <c r="AT231" s="104">
        <f t="shared" si="37"/>
        <v>1.4503525888000002</v>
      </c>
      <c r="AU231" s="105">
        <f t="shared" si="38"/>
        <v>435.20002153471995</v>
      </c>
      <c r="AV231" s="101">
        <f t="shared" si="28"/>
        <v>1.4503525888000002</v>
      </c>
      <c r="AW231" s="60">
        <f t="shared" si="29"/>
        <v>2.9859290399999994</v>
      </c>
      <c r="AX231" s="61">
        <f t="shared" si="30"/>
        <v>517.92625955072003</v>
      </c>
      <c r="AZ231" s="23">
        <f t="shared" si="31"/>
        <v>3.0582068767999999</v>
      </c>
      <c r="BA231" s="103">
        <f t="shared" si="32"/>
        <v>494.68100494335999</v>
      </c>
      <c r="BC231" s="104">
        <f t="shared" si="33"/>
        <v>1.4503525888000002</v>
      </c>
      <c r="BD231" s="105">
        <f t="shared" si="34"/>
        <v>435.20002153471995</v>
      </c>
      <c r="BF231" s="115">
        <f t="shared" si="26"/>
        <v>-0.1532163808</v>
      </c>
      <c r="BG231" s="116">
        <f t="shared" si="27"/>
        <v>250.26064192000001</v>
      </c>
    </row>
    <row r="232" spans="1:73" s="101" customFormat="1" ht="14.4" x14ac:dyDescent="0.3">
      <c r="A232" s="101">
        <v>49</v>
      </c>
      <c r="B232" s="101" t="s">
        <v>467</v>
      </c>
      <c r="C232" s="20">
        <v>44616.435497685183</v>
      </c>
      <c r="D232" s="101" t="s">
        <v>25</v>
      </c>
      <c r="E232" s="101" t="s">
        <v>17</v>
      </c>
      <c r="F232" s="101">
        <v>0</v>
      </c>
      <c r="G232" s="101">
        <v>6.0519999999999996</v>
      </c>
      <c r="H232" s="12">
        <v>1655</v>
      </c>
      <c r="I232" s="101">
        <v>-1E-3</v>
      </c>
      <c r="J232" s="101" t="s">
        <v>18</v>
      </c>
      <c r="K232" s="101" t="s">
        <v>18</v>
      </c>
      <c r="L232" s="101" t="s">
        <v>18</v>
      </c>
      <c r="M232" s="101" t="s">
        <v>18</v>
      </c>
      <c r="O232" s="101">
        <v>49</v>
      </c>
      <c r="P232" s="101" t="s">
        <v>467</v>
      </c>
      <c r="Q232" s="20">
        <v>44616.435497685183</v>
      </c>
      <c r="R232" s="101" t="s">
        <v>25</v>
      </c>
      <c r="S232" s="101" t="s">
        <v>17</v>
      </c>
      <c r="T232" s="101">
        <v>0</v>
      </c>
      <c r="U232" s="101" t="s">
        <v>18</v>
      </c>
      <c r="V232" s="101" t="s">
        <v>18</v>
      </c>
      <c r="W232" s="101" t="s">
        <v>18</v>
      </c>
      <c r="X232" s="101" t="s">
        <v>18</v>
      </c>
      <c r="Y232" s="101" t="s">
        <v>18</v>
      </c>
      <c r="Z232" s="101" t="s">
        <v>18</v>
      </c>
      <c r="AA232" s="101" t="s">
        <v>18</v>
      </c>
      <c r="AC232" s="101">
        <v>49</v>
      </c>
      <c r="AD232" s="101" t="s">
        <v>467</v>
      </c>
      <c r="AE232" s="20">
        <v>44616.435497685183</v>
      </c>
      <c r="AF232" s="101" t="s">
        <v>25</v>
      </c>
      <c r="AG232" s="101" t="s">
        <v>17</v>
      </c>
      <c r="AH232" s="101">
        <v>0</v>
      </c>
      <c r="AI232" s="101">
        <v>12.236000000000001</v>
      </c>
      <c r="AJ232" s="12">
        <v>3169</v>
      </c>
      <c r="AK232" s="101">
        <v>0.59599999999999997</v>
      </c>
      <c r="AL232" s="101" t="s">
        <v>18</v>
      </c>
      <c r="AM232" s="101" t="s">
        <v>18</v>
      </c>
      <c r="AN232" s="101" t="s">
        <v>18</v>
      </c>
      <c r="AO232" s="101" t="s">
        <v>18</v>
      </c>
      <c r="AQ232" s="101">
        <v>1</v>
      </c>
      <c r="AS232" s="7">
        <v>188</v>
      </c>
      <c r="AT232" s="104">
        <f t="shared" si="37"/>
        <v>-2.526016749999993E-2</v>
      </c>
      <c r="AU232" s="105">
        <f t="shared" si="38"/>
        <v>551.07601384327995</v>
      </c>
      <c r="AV232" s="101">
        <f t="shared" si="28"/>
        <v>0</v>
      </c>
      <c r="AW232" s="60">
        <f t="shared" si="29"/>
        <v>0.16397928124999961</v>
      </c>
      <c r="AX232" s="61">
        <f t="shared" si="30"/>
        <v>621.73222844603004</v>
      </c>
      <c r="AZ232" s="23">
        <f t="shared" si="31"/>
        <v>-0.54666149874999981</v>
      </c>
      <c r="BA232" s="103">
        <f t="shared" si="32"/>
        <v>601.8915079581401</v>
      </c>
      <c r="BC232" s="104">
        <f t="shared" si="33"/>
        <v>-2.526016749999993E-2</v>
      </c>
      <c r="BD232" s="105">
        <f t="shared" si="34"/>
        <v>551.07601384327995</v>
      </c>
      <c r="BF232" s="115">
        <f t="shared" si="26"/>
        <v>-1.6670683199999998</v>
      </c>
      <c r="BG232" s="116">
        <f t="shared" si="27"/>
        <v>305.74441708000001</v>
      </c>
    </row>
    <row r="233" spans="1:73" s="101" customFormat="1" ht="14.4" x14ac:dyDescent="0.3">
      <c r="A233" s="101">
        <v>49</v>
      </c>
      <c r="B233" s="101" t="s">
        <v>468</v>
      </c>
      <c r="C233" s="20">
        <v>44617.643645833334</v>
      </c>
      <c r="D233" s="101" t="s">
        <v>25</v>
      </c>
      <c r="E233" s="101" t="s">
        <v>17</v>
      </c>
      <c r="F233" s="101">
        <v>0</v>
      </c>
      <c r="G233" s="101">
        <v>6.0949999999999998</v>
      </c>
      <c r="H233" s="12">
        <v>1851</v>
      </c>
      <c r="I233" s="101">
        <v>-1E-3</v>
      </c>
      <c r="J233" s="101" t="s">
        <v>18</v>
      </c>
      <c r="K233" s="101" t="s">
        <v>18</v>
      </c>
      <c r="L233" s="101" t="s">
        <v>18</v>
      </c>
      <c r="M233" s="101" t="s">
        <v>18</v>
      </c>
      <c r="O233" s="101">
        <v>49</v>
      </c>
      <c r="P233" s="101" t="s">
        <v>468</v>
      </c>
      <c r="Q233" s="20">
        <v>44617.643645833334</v>
      </c>
      <c r="R233" s="101" t="s">
        <v>25</v>
      </c>
      <c r="S233" s="101" t="s">
        <v>17</v>
      </c>
      <c r="T233" s="101">
        <v>0</v>
      </c>
      <c r="U233" s="101" t="s">
        <v>18</v>
      </c>
      <c r="V233" s="101" t="s">
        <v>18</v>
      </c>
      <c r="W233" s="101" t="s">
        <v>18</v>
      </c>
      <c r="X233" s="101" t="s">
        <v>18</v>
      </c>
      <c r="Y233" s="101" t="s">
        <v>18</v>
      </c>
      <c r="Z233" s="101" t="s">
        <v>18</v>
      </c>
      <c r="AA233" s="101" t="s">
        <v>18</v>
      </c>
      <c r="AC233" s="101">
        <v>49</v>
      </c>
      <c r="AD233" s="101" t="s">
        <v>468</v>
      </c>
      <c r="AE233" s="20">
        <v>44617.643645833334</v>
      </c>
      <c r="AF233" s="101" t="s">
        <v>25</v>
      </c>
      <c r="AG233" s="101" t="s">
        <v>17</v>
      </c>
      <c r="AH233" s="101">
        <v>0</v>
      </c>
      <c r="AI233" s="101">
        <v>12.263999999999999</v>
      </c>
      <c r="AJ233" s="12">
        <v>2789</v>
      </c>
      <c r="AK233" s="101">
        <v>0.51500000000000001</v>
      </c>
      <c r="AL233" s="101" t="s">
        <v>18</v>
      </c>
      <c r="AM233" s="101" t="s">
        <v>18</v>
      </c>
      <c r="AN233" s="101" t="s">
        <v>18</v>
      </c>
      <c r="AO233" s="101" t="s">
        <v>18</v>
      </c>
      <c r="AQ233" s="101">
        <v>1</v>
      </c>
      <c r="AS233" s="7">
        <v>189</v>
      </c>
      <c r="AT233" s="104">
        <f t="shared" si="37"/>
        <v>0.23822690530000012</v>
      </c>
      <c r="AU233" s="105">
        <f t="shared" si="38"/>
        <v>472.58779214408008</v>
      </c>
      <c r="AV233" s="101">
        <f t="shared" si="28"/>
        <v>0.23822690530000012</v>
      </c>
      <c r="AW233" s="60">
        <f t="shared" si="29"/>
        <v>0.70876177124999895</v>
      </c>
      <c r="AX233" s="61">
        <f t="shared" si="30"/>
        <v>551.42234223682999</v>
      </c>
      <c r="AZ233" s="23">
        <f t="shared" si="31"/>
        <v>0.1628246520500003</v>
      </c>
      <c r="BA233" s="103">
        <f t="shared" si="32"/>
        <v>529.27232124854004</v>
      </c>
      <c r="BC233" s="104">
        <f t="shared" si="33"/>
        <v>0.23822690530000012</v>
      </c>
      <c r="BD233" s="105">
        <f t="shared" si="34"/>
        <v>472.58779214408008</v>
      </c>
      <c r="BF233" s="115">
        <f t="shared" si="26"/>
        <v>-1.3754220447999996</v>
      </c>
      <c r="BG233" s="116">
        <f t="shared" si="27"/>
        <v>268.28012588000007</v>
      </c>
    </row>
    <row r="234" spans="1:73" s="101" customFormat="1" ht="14.4" x14ac:dyDescent="0.3">
      <c r="A234" s="101">
        <v>49</v>
      </c>
      <c r="B234" s="101" t="s">
        <v>469</v>
      </c>
      <c r="C234" s="20">
        <v>44627.651296296295</v>
      </c>
      <c r="D234" s="101" t="s">
        <v>25</v>
      </c>
      <c r="E234" s="101" t="s">
        <v>17</v>
      </c>
      <c r="F234" s="101">
        <v>0</v>
      </c>
      <c r="G234" s="101">
        <v>6.0620000000000003</v>
      </c>
      <c r="H234" s="12">
        <v>1778</v>
      </c>
      <c r="I234" s="101">
        <v>-1E-3</v>
      </c>
      <c r="J234" s="101" t="s">
        <v>18</v>
      </c>
      <c r="K234" s="101" t="s">
        <v>18</v>
      </c>
      <c r="L234" s="101" t="s">
        <v>18</v>
      </c>
      <c r="M234" s="101" t="s">
        <v>18</v>
      </c>
      <c r="O234" s="101">
        <v>49</v>
      </c>
      <c r="P234" s="101" t="s">
        <v>469</v>
      </c>
      <c r="Q234" s="20">
        <v>44627.651296296295</v>
      </c>
      <c r="R234" s="101" t="s">
        <v>25</v>
      </c>
      <c r="S234" s="101" t="s">
        <v>17</v>
      </c>
      <c r="T234" s="101">
        <v>0</v>
      </c>
      <c r="U234" s="101" t="s">
        <v>18</v>
      </c>
      <c r="V234" s="101" t="s">
        <v>18</v>
      </c>
      <c r="W234" s="101" t="s">
        <v>18</v>
      </c>
      <c r="X234" s="101" t="s">
        <v>18</v>
      </c>
      <c r="Y234" s="101" t="s">
        <v>18</v>
      </c>
      <c r="Z234" s="101" t="s">
        <v>18</v>
      </c>
      <c r="AA234" s="101" t="s">
        <v>18</v>
      </c>
      <c r="AC234" s="101">
        <v>49</v>
      </c>
      <c r="AD234" s="101" t="s">
        <v>469</v>
      </c>
      <c r="AE234" s="20">
        <v>44627.651296296295</v>
      </c>
      <c r="AF234" s="101" t="s">
        <v>25</v>
      </c>
      <c r="AG234" s="101" t="s">
        <v>17</v>
      </c>
      <c r="AH234" s="101">
        <v>0</v>
      </c>
      <c r="AI234" s="101">
        <v>12.215</v>
      </c>
      <c r="AJ234" s="12">
        <v>2743</v>
      </c>
      <c r="AK234" s="101">
        <v>0.50600000000000001</v>
      </c>
      <c r="AL234" s="101" t="s">
        <v>18</v>
      </c>
      <c r="AM234" s="101" t="s">
        <v>18</v>
      </c>
      <c r="AN234" s="101" t="s">
        <v>18</v>
      </c>
      <c r="AO234" s="101" t="s">
        <v>18</v>
      </c>
      <c r="AQ234" s="101">
        <v>1</v>
      </c>
      <c r="AS234" s="7">
        <v>190</v>
      </c>
      <c r="AT234" s="104">
        <f t="shared" si="37"/>
        <v>0.13878676520000011</v>
      </c>
      <c r="AU234" s="105">
        <f t="shared" si="38"/>
        <v>463.08608626952008</v>
      </c>
      <c r="AV234" s="101">
        <f t="shared" si="28"/>
        <v>0.13878676520000011</v>
      </c>
      <c r="AW234" s="60">
        <f t="shared" si="29"/>
        <v>0.50566728499999947</v>
      </c>
      <c r="AX234" s="61">
        <f t="shared" si="30"/>
        <v>542.90991544427004</v>
      </c>
      <c r="AZ234" s="23">
        <f t="shared" si="31"/>
        <v>-0.10090240779999959</v>
      </c>
      <c r="BA234" s="103">
        <f t="shared" si="32"/>
        <v>520.48125896326007</v>
      </c>
      <c r="BC234" s="104">
        <f t="shared" si="33"/>
        <v>0.13878676520000011</v>
      </c>
      <c r="BD234" s="105">
        <f t="shared" si="34"/>
        <v>463.08608626952008</v>
      </c>
      <c r="BF234" s="115">
        <f t="shared" si="26"/>
        <v>-1.4841818831999998</v>
      </c>
      <c r="BG234" s="116">
        <f t="shared" si="27"/>
        <v>263.71126972000002</v>
      </c>
    </row>
    <row r="235" spans="1:73" s="101" customFormat="1" ht="14.4" x14ac:dyDescent="0.3">
      <c r="A235" s="101">
        <v>49</v>
      </c>
      <c r="B235" s="101" t="s">
        <v>470</v>
      </c>
      <c r="C235" s="20">
        <v>44707.660787037035</v>
      </c>
      <c r="D235" s="101" t="s">
        <v>471</v>
      </c>
      <c r="E235" s="101" t="s">
        <v>17</v>
      </c>
      <c r="F235" s="101">
        <v>0</v>
      </c>
      <c r="G235" s="101">
        <v>6.0529999999999999</v>
      </c>
      <c r="H235" s="12">
        <v>1760</v>
      </c>
      <c r="I235" s="101">
        <v>-1E-3</v>
      </c>
      <c r="J235" s="101" t="s">
        <v>18</v>
      </c>
      <c r="K235" s="101" t="s">
        <v>18</v>
      </c>
      <c r="L235" s="101" t="s">
        <v>18</v>
      </c>
      <c r="M235" s="101" t="s">
        <v>18</v>
      </c>
      <c r="O235" s="101">
        <v>49</v>
      </c>
      <c r="P235" s="101" t="s">
        <v>470</v>
      </c>
      <c r="Q235" s="20">
        <v>44707.660787037035</v>
      </c>
      <c r="R235" s="101" t="s">
        <v>471</v>
      </c>
      <c r="S235" s="101" t="s">
        <v>17</v>
      </c>
      <c r="T235" s="101">
        <v>0</v>
      </c>
      <c r="U235" s="101" t="s">
        <v>18</v>
      </c>
      <c r="V235" s="12" t="s">
        <v>18</v>
      </c>
      <c r="W235" s="101" t="s">
        <v>18</v>
      </c>
      <c r="X235" s="101" t="s">
        <v>18</v>
      </c>
      <c r="Y235" s="101" t="s">
        <v>18</v>
      </c>
      <c r="Z235" s="101" t="s">
        <v>18</v>
      </c>
      <c r="AA235" s="101" t="s">
        <v>18</v>
      </c>
      <c r="AC235" s="101">
        <v>49</v>
      </c>
      <c r="AD235" s="101" t="s">
        <v>470</v>
      </c>
      <c r="AE235" s="20">
        <v>44707.660787037035</v>
      </c>
      <c r="AF235" s="101" t="s">
        <v>471</v>
      </c>
      <c r="AG235" s="101" t="s">
        <v>17</v>
      </c>
      <c r="AH235" s="101">
        <v>0</v>
      </c>
      <c r="AI235" s="101">
        <v>12.22</v>
      </c>
      <c r="AJ235" s="12">
        <v>2482</v>
      </c>
      <c r="AK235" s="101">
        <v>0.45</v>
      </c>
      <c r="AL235" s="101" t="s">
        <v>18</v>
      </c>
      <c r="AM235" s="101" t="s">
        <v>18</v>
      </c>
      <c r="AN235" s="101" t="s">
        <v>18</v>
      </c>
      <c r="AO235" s="101" t="s">
        <v>18</v>
      </c>
      <c r="AQ235" s="101">
        <v>1</v>
      </c>
      <c r="AR235" s="101" t="s">
        <v>446</v>
      </c>
      <c r="AS235" s="7">
        <v>191</v>
      </c>
      <c r="AT235" s="104">
        <f t="shared" si="37"/>
        <v>0.11450527999999993</v>
      </c>
      <c r="AU235" s="105">
        <f t="shared" si="38"/>
        <v>409.17218853152002</v>
      </c>
      <c r="AV235" s="101">
        <f t="shared" si="28"/>
        <v>0.11450527999999993</v>
      </c>
      <c r="AW235" s="60">
        <f t="shared" si="29"/>
        <v>0.45562399999999936</v>
      </c>
      <c r="AX235" s="61">
        <f t="shared" si="30"/>
        <v>494.60611646251999</v>
      </c>
      <c r="AZ235" s="23">
        <f t="shared" si="31"/>
        <v>-0.16602591999999916</v>
      </c>
      <c r="BA235" s="103">
        <f t="shared" si="32"/>
        <v>470.60023313175998</v>
      </c>
      <c r="BC235" s="104">
        <f t="shared" si="33"/>
        <v>0.11450527999999993</v>
      </c>
      <c r="BD235" s="105">
        <f t="shared" si="34"/>
        <v>409.17218853152002</v>
      </c>
      <c r="BF235" s="115">
        <f t="shared" si="26"/>
        <v>-1.5109744799999998</v>
      </c>
      <c r="BG235" s="116">
        <f t="shared" si="27"/>
        <v>237.65015872000004</v>
      </c>
    </row>
    <row r="236" spans="1:73" s="101" customFormat="1" ht="14.4" x14ac:dyDescent="0.3">
      <c r="A236" s="101">
        <v>49</v>
      </c>
      <c r="B236" s="101" t="s">
        <v>452</v>
      </c>
      <c r="C236" s="20">
        <v>44713.526435185187</v>
      </c>
      <c r="D236" s="101" t="s">
        <v>25</v>
      </c>
      <c r="E236" s="101" t="s">
        <v>17</v>
      </c>
      <c r="F236" s="101">
        <v>0</v>
      </c>
      <c r="G236" s="101">
        <v>6.0540000000000003</v>
      </c>
      <c r="H236" s="12">
        <v>1783</v>
      </c>
      <c r="I236" s="101">
        <v>-1E-3</v>
      </c>
      <c r="J236" s="101" t="s">
        <v>18</v>
      </c>
      <c r="K236" s="101" t="s">
        <v>18</v>
      </c>
      <c r="L236" s="101" t="s">
        <v>18</v>
      </c>
      <c r="M236" s="101" t="s">
        <v>18</v>
      </c>
      <c r="O236" s="101">
        <v>49</v>
      </c>
      <c r="P236" s="101" t="s">
        <v>452</v>
      </c>
      <c r="Q236" s="20">
        <v>44713.526435185187</v>
      </c>
      <c r="R236" s="101" t="s">
        <v>25</v>
      </c>
      <c r="S236" s="101" t="s">
        <v>17</v>
      </c>
      <c r="T236" s="101">
        <v>0</v>
      </c>
      <c r="U236" s="101" t="s">
        <v>18</v>
      </c>
      <c r="V236" s="101" t="s">
        <v>18</v>
      </c>
      <c r="W236" s="101" t="s">
        <v>18</v>
      </c>
      <c r="X236" s="101" t="s">
        <v>18</v>
      </c>
      <c r="Y236" s="101" t="s">
        <v>18</v>
      </c>
      <c r="Z236" s="101" t="s">
        <v>18</v>
      </c>
      <c r="AA236" s="101" t="s">
        <v>18</v>
      </c>
      <c r="AC236" s="101">
        <v>49</v>
      </c>
      <c r="AD236" s="101" t="s">
        <v>452</v>
      </c>
      <c r="AE236" s="20">
        <v>44713.526435185187</v>
      </c>
      <c r="AF236" s="101" t="s">
        <v>25</v>
      </c>
      <c r="AG236" s="101" t="s">
        <v>17</v>
      </c>
      <c r="AH236" s="101">
        <v>0</v>
      </c>
      <c r="AI236" s="101">
        <v>12.227</v>
      </c>
      <c r="AJ236" s="12">
        <v>1773</v>
      </c>
      <c r="AK236" s="101">
        <v>0.29899999999999999</v>
      </c>
      <c r="AL236" s="101" t="s">
        <v>18</v>
      </c>
      <c r="AM236" s="101" t="s">
        <v>18</v>
      </c>
      <c r="AN236" s="101" t="s">
        <v>18</v>
      </c>
      <c r="AO236" s="101" t="s">
        <v>18</v>
      </c>
      <c r="AQ236" s="101">
        <v>1</v>
      </c>
      <c r="AS236" s="7">
        <v>192</v>
      </c>
      <c r="AT236" s="104">
        <f t="shared" si="37"/>
        <v>0.14554833170000014</v>
      </c>
      <c r="AU236" s="105">
        <f t="shared" si="38"/>
        <v>262.69887713992</v>
      </c>
      <c r="AV236" s="101">
        <f t="shared" si="28"/>
        <v>0.14554833170000014</v>
      </c>
      <c r="AW236" s="60">
        <f t="shared" si="29"/>
        <v>0.51957064124999963</v>
      </c>
      <c r="AX236" s="61">
        <f t="shared" si="30"/>
        <v>363.34688068467</v>
      </c>
      <c r="AZ236" s="23">
        <f t="shared" si="31"/>
        <v>-8.2819207550000051E-2</v>
      </c>
      <c r="BA236" s="103">
        <f t="shared" si="32"/>
        <v>335.08848621846005</v>
      </c>
      <c r="BC236" s="104">
        <f t="shared" si="33"/>
        <v>0.14554833170000014</v>
      </c>
      <c r="BD236" s="105">
        <f t="shared" si="34"/>
        <v>262.69887713992</v>
      </c>
      <c r="BF236" s="115">
        <f t="shared" si="26"/>
        <v>-1.4767377472000001</v>
      </c>
      <c r="BG236" s="116">
        <f t="shared" si="27"/>
        <v>165.67290412</v>
      </c>
      <c r="BH236" s="20"/>
      <c r="BM236" s="12"/>
    </row>
    <row r="237" spans="1:73" s="101" customFormat="1" ht="14.4" x14ac:dyDescent="0.3">
      <c r="A237" s="101">
        <v>49</v>
      </c>
      <c r="B237" s="101" t="s">
        <v>472</v>
      </c>
      <c r="C237" s="20">
        <v>44720.447534722225</v>
      </c>
      <c r="D237" s="101" t="s">
        <v>25</v>
      </c>
      <c r="E237" s="101" t="s">
        <v>17</v>
      </c>
      <c r="F237" s="101">
        <v>0</v>
      </c>
      <c r="G237" s="101">
        <v>6.0650000000000004</v>
      </c>
      <c r="H237" s="12">
        <v>1707</v>
      </c>
      <c r="I237" s="101">
        <v>-1E-3</v>
      </c>
      <c r="J237" s="101" t="s">
        <v>18</v>
      </c>
      <c r="K237" s="101" t="s">
        <v>18</v>
      </c>
      <c r="L237" s="101" t="s">
        <v>18</v>
      </c>
      <c r="M237" s="101" t="s">
        <v>18</v>
      </c>
      <c r="O237" s="101">
        <v>49</v>
      </c>
      <c r="P237" s="101" t="s">
        <v>472</v>
      </c>
      <c r="Q237" s="20">
        <v>44720.447534722225</v>
      </c>
      <c r="R237" s="101" t="s">
        <v>25</v>
      </c>
      <c r="S237" s="101" t="s">
        <v>17</v>
      </c>
      <c r="T237" s="101">
        <v>0</v>
      </c>
      <c r="U237" s="101">
        <v>2.7</v>
      </c>
      <c r="V237" s="12">
        <v>5132598</v>
      </c>
      <c r="W237" s="101">
        <v>958.29399999999998</v>
      </c>
      <c r="X237" s="101" t="s">
        <v>18</v>
      </c>
      <c r="Y237" s="101" t="s">
        <v>18</v>
      </c>
      <c r="Z237" s="101" t="s">
        <v>18</v>
      </c>
      <c r="AA237" s="101" t="s">
        <v>18</v>
      </c>
      <c r="AC237" s="101">
        <v>49</v>
      </c>
      <c r="AD237" s="101" t="s">
        <v>472</v>
      </c>
      <c r="AE237" s="20">
        <v>44720.447534722225</v>
      </c>
      <c r="AF237" s="101" t="s">
        <v>25</v>
      </c>
      <c r="AG237" s="101" t="s">
        <v>17</v>
      </c>
      <c r="AH237" s="101">
        <v>0</v>
      </c>
      <c r="AI237" s="101">
        <v>12.21</v>
      </c>
      <c r="AJ237" s="12">
        <v>2079</v>
      </c>
      <c r="AK237" s="101">
        <v>0.36399999999999999</v>
      </c>
      <c r="AL237" s="101" t="s">
        <v>18</v>
      </c>
      <c r="AM237" s="101" t="s">
        <v>18</v>
      </c>
      <c r="AN237" s="101" t="s">
        <v>18</v>
      </c>
      <c r="AO237" s="101" t="s">
        <v>18</v>
      </c>
      <c r="AQ237" s="101">
        <v>1</v>
      </c>
      <c r="AS237" s="7">
        <v>193</v>
      </c>
      <c r="AT237" s="104">
        <f t="shared" si="37"/>
        <v>4.3556559700000053E-2</v>
      </c>
      <c r="AU237" s="105">
        <f t="shared" si="38"/>
        <v>325.91899640968001</v>
      </c>
      <c r="AV237" s="101">
        <f t="shared" si="28"/>
        <v>4.3556559700000053E-2</v>
      </c>
      <c r="AW237" s="60">
        <f t="shared" si="29"/>
        <v>0.3083542912499988</v>
      </c>
      <c r="AX237" s="61">
        <f t="shared" si="30"/>
        <v>420.00529293243005</v>
      </c>
      <c r="AZ237" s="23">
        <f t="shared" si="31"/>
        <v>-0.35799654955000015</v>
      </c>
      <c r="BA237" s="103">
        <f t="shared" si="32"/>
        <v>393.57652036134004</v>
      </c>
      <c r="BC237" s="104">
        <f t="shared" si="33"/>
        <v>4.3556559700000053E-2</v>
      </c>
      <c r="BD237" s="105">
        <f t="shared" si="34"/>
        <v>325.91899640968001</v>
      </c>
      <c r="BF237" s="115">
        <f t="shared" ref="BF237:BF243" si="39">IF(H237&lt;100000,((0.0000000152*H237^2)+(0.0014347*H237)+(-4.08313)),((0.00000295*V237^2)+(0.083061*V237)+(133)))</f>
        <v>-1.5898065951999998</v>
      </c>
      <c r="BG237" s="116">
        <f t="shared" ref="BG237:BG243" si="40">(-0.00000172*AJ237^2)+(0.108838*AJ237)+(-21.89)</f>
        <v>196.94994747999999</v>
      </c>
      <c r="BH237" s="8"/>
      <c r="BI237" s="101">
        <v>49</v>
      </c>
      <c r="BJ237" s="101" t="s">
        <v>472</v>
      </c>
      <c r="BK237" s="20">
        <v>44720.447534722225</v>
      </c>
      <c r="BL237" s="101" t="s">
        <v>25</v>
      </c>
      <c r="BM237" s="101" t="s">
        <v>17</v>
      </c>
      <c r="BN237" s="101">
        <v>0</v>
      </c>
      <c r="BO237" s="101">
        <v>2.7</v>
      </c>
      <c r="BP237" s="12">
        <v>5132598</v>
      </c>
      <c r="BQ237" s="101">
        <v>958.29399999999998</v>
      </c>
      <c r="BR237" s="101" t="s">
        <v>18</v>
      </c>
      <c r="BS237" s="101" t="s">
        <v>18</v>
      </c>
      <c r="BT237" s="101" t="s">
        <v>18</v>
      </c>
      <c r="BU237" s="101" t="s">
        <v>18</v>
      </c>
    </row>
    <row r="238" spans="1:73" s="101" customFormat="1" ht="14.4" x14ac:dyDescent="0.3">
      <c r="A238" s="101">
        <v>49</v>
      </c>
      <c r="B238" s="101" t="s">
        <v>473</v>
      </c>
      <c r="C238" s="20">
        <v>44725.415613425925</v>
      </c>
      <c r="D238" s="101" t="s">
        <v>25</v>
      </c>
      <c r="E238" s="101" t="s">
        <v>17</v>
      </c>
      <c r="F238" s="101">
        <v>0</v>
      </c>
      <c r="G238" s="101">
        <v>6.0910000000000002</v>
      </c>
      <c r="H238" s="12">
        <v>1694</v>
      </c>
      <c r="I238" s="101">
        <v>-1E-3</v>
      </c>
      <c r="J238" s="101" t="s">
        <v>18</v>
      </c>
      <c r="K238" s="101" t="s">
        <v>18</v>
      </c>
      <c r="L238" s="101" t="s">
        <v>18</v>
      </c>
      <c r="M238" s="101" t="s">
        <v>18</v>
      </c>
      <c r="O238" s="101">
        <v>49</v>
      </c>
      <c r="P238" s="101" t="s">
        <v>473</v>
      </c>
      <c r="Q238" s="20">
        <v>44725.415613425925</v>
      </c>
      <c r="R238" s="101" t="s">
        <v>25</v>
      </c>
      <c r="S238" s="101" t="s">
        <v>17</v>
      </c>
      <c r="T238" s="101">
        <v>0</v>
      </c>
      <c r="U238" s="101" t="s">
        <v>18</v>
      </c>
      <c r="V238" s="101" t="s">
        <v>18</v>
      </c>
      <c r="W238" s="101" t="s">
        <v>18</v>
      </c>
      <c r="X238" s="101" t="s">
        <v>18</v>
      </c>
      <c r="Y238" s="101" t="s">
        <v>18</v>
      </c>
      <c r="Z238" s="101" t="s">
        <v>18</v>
      </c>
      <c r="AA238" s="101" t="s">
        <v>18</v>
      </c>
      <c r="AC238" s="101">
        <v>49</v>
      </c>
      <c r="AD238" s="101" t="s">
        <v>473</v>
      </c>
      <c r="AE238" s="20">
        <v>44725.415613425925</v>
      </c>
      <c r="AF238" s="101" t="s">
        <v>25</v>
      </c>
      <c r="AG238" s="101" t="s">
        <v>17</v>
      </c>
      <c r="AH238" s="101">
        <v>0</v>
      </c>
      <c r="AI238" s="101">
        <v>12.243</v>
      </c>
      <c r="AJ238" s="12">
        <v>2581</v>
      </c>
      <c r="AK238" s="101">
        <v>0.47099999999999997</v>
      </c>
      <c r="AL238" s="101" t="s">
        <v>18</v>
      </c>
      <c r="AM238" s="101" t="s">
        <v>18</v>
      </c>
      <c r="AN238" s="101" t="s">
        <v>18</v>
      </c>
      <c r="AO238" s="101" t="s">
        <v>18</v>
      </c>
      <c r="AQ238" s="101">
        <v>1</v>
      </c>
      <c r="AS238" s="7">
        <v>194</v>
      </c>
      <c r="AT238" s="104">
        <f t="shared" si="37"/>
        <v>2.6278710799999994E-2</v>
      </c>
      <c r="AU238" s="105">
        <f t="shared" si="38"/>
        <v>429.62269696328002</v>
      </c>
      <c r="AV238" s="101">
        <f t="shared" ref="AV238:AV243" si="41">IF(AT238&lt;0,0,AT238)</f>
        <v>2.6278710799999994E-2</v>
      </c>
      <c r="AW238" s="60">
        <f t="shared" ref="AW238:AW243" si="42">IF(H238&lt;15000,((0.00000002125*H238^2)+(0.002705*H238)+(-4.371)),(IF(H238&lt;700000,((-0.0000000008162*H238^2)+(0.003141*H238)+(0.4702)), ((0.000000003285*V238^2)+(0.1899*V238)+(559.5)))))</f>
        <v>0.27224976499999975</v>
      </c>
      <c r="AX238" s="61">
        <f t="shared" ref="AX238:AX243" si="43">((-0.00000006277*AJ238^2)+(0.1854*AJ238)+(34.83))</f>
        <v>512.92925381603004</v>
      </c>
      <c r="AZ238" s="23">
        <f t="shared" ref="AZ238:AZ243" si="44">IF(H238&lt;10000,((-0.00000005795*H238^2)+(0.003823*H238)+(-6.715)),(IF(H238&lt;700000,((-0.0000000001209*H238^2)+(0.002635*H238)+(-0.4111)), ((-0.00000002007*V238^2)+(0.2564*V238)+(286.1)))))</f>
        <v>-0.40513340619999916</v>
      </c>
      <c r="BA238" s="103">
        <f t="shared" ref="BA238:BA243" si="45">(-0.00000001626*AJ238^2)+(0.1912*AJ238)+(-3.858)</f>
        <v>489.52088301814001</v>
      </c>
      <c r="BC238" s="104">
        <f t="shared" ref="BC238:BC243" si="46">IF(H238&lt;10000,((0.0000001453*H238^2)+(0.0008349*H238)+(-1.805)),(IF(H238&lt;700000,((-0.00000000008054*H238^2)+(0.002348*H238)+(-2.47)), ((-0.00000001938*V238^2)+(0.2471*V238)+(226.8)))))</f>
        <v>2.6278710799999994E-2</v>
      </c>
      <c r="BD238" s="105">
        <f t="shared" ref="BD238:BD243" si="47">(-0.00000002552*AJ238^2)+(0.2067*AJ238)+(-103.7)</f>
        <v>429.62269696328002</v>
      </c>
      <c r="BF238" s="117">
        <f t="shared" si="39"/>
        <v>-1.6091297328</v>
      </c>
      <c r="BG238" s="118">
        <f t="shared" si="40"/>
        <v>247.56299308000001</v>
      </c>
      <c r="BH238" s="8"/>
      <c r="BI238" s="101">
        <v>49</v>
      </c>
      <c r="BJ238" s="101" t="s">
        <v>473</v>
      </c>
      <c r="BK238" s="20">
        <v>44725.415613425925</v>
      </c>
      <c r="BL238" s="101" t="s">
        <v>25</v>
      </c>
      <c r="BM238" s="101" t="s">
        <v>17</v>
      </c>
      <c r="BN238" s="101">
        <v>0</v>
      </c>
      <c r="BO238" s="101">
        <v>2.7170000000000001</v>
      </c>
      <c r="BP238" s="12">
        <v>5075499</v>
      </c>
      <c r="BQ238" s="101">
        <v>957.83199999999999</v>
      </c>
      <c r="BR238" s="101" t="s">
        <v>18</v>
      </c>
      <c r="BS238" s="101" t="s">
        <v>18</v>
      </c>
      <c r="BT238" s="101" t="s">
        <v>18</v>
      </c>
      <c r="BU238" s="101" t="s">
        <v>18</v>
      </c>
    </row>
    <row r="239" spans="1:73" s="101" customFormat="1" ht="14.4" x14ac:dyDescent="0.3">
      <c r="A239" s="101">
        <v>49</v>
      </c>
      <c r="B239" s="101" t="s">
        <v>474</v>
      </c>
      <c r="C239" s="20">
        <v>44726.421898148146</v>
      </c>
      <c r="D239" s="101" t="s">
        <v>25</v>
      </c>
      <c r="E239" s="101" t="s">
        <v>17</v>
      </c>
      <c r="F239" s="101">
        <v>0</v>
      </c>
      <c r="G239" s="101">
        <v>6.0730000000000004</v>
      </c>
      <c r="H239" s="12">
        <v>2099</v>
      </c>
      <c r="I239" s="101">
        <v>-1E-3</v>
      </c>
      <c r="J239" s="101" t="s">
        <v>18</v>
      </c>
      <c r="K239" s="101" t="s">
        <v>18</v>
      </c>
      <c r="L239" s="101" t="s">
        <v>18</v>
      </c>
      <c r="M239" s="101" t="s">
        <v>18</v>
      </c>
      <c r="O239" s="101">
        <v>49</v>
      </c>
      <c r="P239" s="101" t="s">
        <v>474</v>
      </c>
      <c r="Q239" s="20">
        <v>44726.421898148146</v>
      </c>
      <c r="R239" s="101" t="s">
        <v>25</v>
      </c>
      <c r="S239" s="101" t="s">
        <v>17</v>
      </c>
      <c r="T239" s="101">
        <v>0</v>
      </c>
      <c r="U239" s="101" t="s">
        <v>18</v>
      </c>
      <c r="V239" s="101" t="s">
        <v>18</v>
      </c>
      <c r="W239" s="101" t="s">
        <v>18</v>
      </c>
      <c r="X239" s="101" t="s">
        <v>18</v>
      </c>
      <c r="Y239" s="101" t="s">
        <v>18</v>
      </c>
      <c r="Z239" s="101" t="s">
        <v>18</v>
      </c>
      <c r="AA239" s="101" t="s">
        <v>18</v>
      </c>
      <c r="AC239" s="101">
        <v>49</v>
      </c>
      <c r="AD239" s="101" t="s">
        <v>474</v>
      </c>
      <c r="AE239" s="20">
        <v>44726.421898148146</v>
      </c>
      <c r="AF239" s="101" t="s">
        <v>25</v>
      </c>
      <c r="AG239" s="101" t="s">
        <v>17</v>
      </c>
      <c r="AH239" s="101">
        <v>0</v>
      </c>
      <c r="AI239" s="101">
        <v>12.234</v>
      </c>
      <c r="AJ239" s="12">
        <v>3004</v>
      </c>
      <c r="AK239" s="101">
        <v>0.56100000000000005</v>
      </c>
      <c r="AL239" s="101" t="s">
        <v>18</v>
      </c>
      <c r="AM239" s="101" t="s">
        <v>18</v>
      </c>
      <c r="AN239" s="101" t="s">
        <v>18</v>
      </c>
      <c r="AO239" s="101" t="s">
        <v>18</v>
      </c>
      <c r="AQ239" s="101">
        <v>1</v>
      </c>
      <c r="AS239" s="7">
        <v>195</v>
      </c>
      <c r="AT239" s="104">
        <f t="shared" si="37"/>
        <v>0.58761798530000031</v>
      </c>
      <c r="AU239" s="105">
        <f t="shared" si="38"/>
        <v>516.99650711167988</v>
      </c>
      <c r="AV239" s="101">
        <f t="shared" si="41"/>
        <v>0.58761798530000031</v>
      </c>
      <c r="AW239" s="60">
        <f t="shared" si="42"/>
        <v>1.4004182712499995</v>
      </c>
      <c r="AX239" s="61">
        <f t="shared" si="43"/>
        <v>591.20516251568006</v>
      </c>
      <c r="AZ239" s="23">
        <f t="shared" si="44"/>
        <v>1.0541608320499991</v>
      </c>
      <c r="BA239" s="103">
        <f t="shared" si="45"/>
        <v>570.36006949984017</v>
      </c>
      <c r="BC239" s="104">
        <f t="shared" si="46"/>
        <v>0.58761798530000031</v>
      </c>
      <c r="BD239" s="105">
        <f t="shared" si="47"/>
        <v>516.99650711167988</v>
      </c>
      <c r="BF239" s="115">
        <f t="shared" si="39"/>
        <v>-1.0047265248000001</v>
      </c>
      <c r="BG239" s="116">
        <f t="shared" si="40"/>
        <v>289.53804448000005</v>
      </c>
      <c r="BH239" s="8"/>
      <c r="BI239" s="101">
        <v>49</v>
      </c>
      <c r="BJ239" s="101" t="s">
        <v>474</v>
      </c>
      <c r="BK239" s="20">
        <v>44726.421898148146</v>
      </c>
      <c r="BL239" s="101" t="s">
        <v>25</v>
      </c>
      <c r="BM239" s="101" t="s">
        <v>17</v>
      </c>
      <c r="BN239" s="101">
        <v>0</v>
      </c>
      <c r="BO239" s="101">
        <v>2.7090000000000001</v>
      </c>
      <c r="BP239" s="12">
        <v>5184756</v>
      </c>
      <c r="BQ239" s="101">
        <v>958.69600000000003</v>
      </c>
      <c r="BR239" s="101" t="s">
        <v>18</v>
      </c>
      <c r="BS239" s="101" t="s">
        <v>18</v>
      </c>
      <c r="BT239" s="101" t="s">
        <v>18</v>
      </c>
      <c r="BU239" s="101" t="s">
        <v>18</v>
      </c>
    </row>
    <row r="240" spans="1:73" s="101" customFormat="1" ht="14.4" x14ac:dyDescent="0.3">
      <c r="A240" s="101">
        <v>49</v>
      </c>
      <c r="B240" s="101" t="s">
        <v>475</v>
      </c>
      <c r="C240" s="20">
        <v>44728.453333333331</v>
      </c>
      <c r="D240" s="101" t="s">
        <v>25</v>
      </c>
      <c r="E240" s="101" t="s">
        <v>17</v>
      </c>
      <c r="F240" s="101">
        <v>0</v>
      </c>
      <c r="G240" s="101">
        <v>6.0549999999999997</v>
      </c>
      <c r="H240" s="12">
        <v>1565</v>
      </c>
      <c r="I240" s="101">
        <v>-2E-3</v>
      </c>
      <c r="J240" s="101" t="s">
        <v>18</v>
      </c>
      <c r="K240" s="101" t="s">
        <v>18</v>
      </c>
      <c r="L240" s="101" t="s">
        <v>18</v>
      </c>
      <c r="M240" s="101" t="s">
        <v>18</v>
      </c>
      <c r="O240" s="101">
        <v>49</v>
      </c>
      <c r="P240" s="101" t="s">
        <v>475</v>
      </c>
      <c r="Q240" s="20">
        <v>44728.453333333331</v>
      </c>
      <c r="R240" s="101" t="s">
        <v>25</v>
      </c>
      <c r="S240" s="101" t="s">
        <v>17</v>
      </c>
      <c r="T240" s="101">
        <v>0</v>
      </c>
      <c r="U240" s="101" t="s">
        <v>18</v>
      </c>
      <c r="V240" s="101" t="s">
        <v>18</v>
      </c>
      <c r="W240" s="101" t="s">
        <v>18</v>
      </c>
      <c r="X240" s="101" t="s">
        <v>18</v>
      </c>
      <c r="Y240" s="101" t="s">
        <v>18</v>
      </c>
      <c r="Z240" s="101" t="s">
        <v>18</v>
      </c>
      <c r="AA240" s="101" t="s">
        <v>18</v>
      </c>
      <c r="AC240" s="101">
        <v>49</v>
      </c>
      <c r="AD240" s="101" t="s">
        <v>475</v>
      </c>
      <c r="AE240" s="20">
        <v>44728.453333333331</v>
      </c>
      <c r="AF240" s="101" t="s">
        <v>25</v>
      </c>
      <c r="AG240" s="101" t="s">
        <v>17</v>
      </c>
      <c r="AH240" s="101">
        <v>0</v>
      </c>
      <c r="AI240" s="101">
        <v>12.234999999999999</v>
      </c>
      <c r="AJ240" s="12">
        <v>2437</v>
      </c>
      <c r="AK240" s="101">
        <v>0.44</v>
      </c>
      <c r="AL240" s="101" t="s">
        <v>18</v>
      </c>
      <c r="AM240" s="101" t="s">
        <v>18</v>
      </c>
      <c r="AN240" s="101" t="s">
        <v>18</v>
      </c>
      <c r="AO240" s="101" t="s">
        <v>18</v>
      </c>
      <c r="AQ240" s="101">
        <v>1</v>
      </c>
      <c r="AS240" s="7">
        <v>196</v>
      </c>
      <c r="AT240" s="104">
        <f t="shared" si="37"/>
        <v>-0.14250910750000001</v>
      </c>
      <c r="AU240" s="105">
        <f t="shared" si="38"/>
        <v>399.87633751111997</v>
      </c>
      <c r="AV240" s="101">
        <f t="shared" si="41"/>
        <v>0</v>
      </c>
      <c r="AW240" s="60">
        <f t="shared" si="42"/>
        <v>-8.5628968750000922E-2</v>
      </c>
      <c r="AX240" s="61">
        <f t="shared" si="43"/>
        <v>486.27701091587005</v>
      </c>
      <c r="AZ240" s="23">
        <f t="shared" si="44"/>
        <v>-0.87393758874999961</v>
      </c>
      <c r="BA240" s="103">
        <f t="shared" si="45"/>
        <v>461.99983236406001</v>
      </c>
      <c r="BC240" s="104">
        <f t="shared" si="46"/>
        <v>-0.14250910750000001</v>
      </c>
      <c r="BD240" s="105">
        <f t="shared" si="47"/>
        <v>399.87633751111997</v>
      </c>
      <c r="BF240" s="117">
        <f t="shared" si="39"/>
        <v>-1.8005962800000002</v>
      </c>
      <c r="BG240" s="118">
        <f t="shared" si="40"/>
        <v>233.13317932000001</v>
      </c>
      <c r="BH240" s="8"/>
      <c r="BI240" s="101">
        <v>49</v>
      </c>
      <c r="BJ240" s="101" t="s">
        <v>475</v>
      </c>
      <c r="BK240" s="20">
        <v>44728.453333333331</v>
      </c>
      <c r="BL240" s="101" t="s">
        <v>25</v>
      </c>
      <c r="BM240" s="101" t="s">
        <v>17</v>
      </c>
      <c r="BN240" s="101">
        <v>0</v>
      </c>
      <c r="BO240" s="101">
        <v>2.69</v>
      </c>
      <c r="BP240" s="12">
        <v>5630115</v>
      </c>
      <c r="BQ240" s="101">
        <v>961.61599999999999</v>
      </c>
      <c r="BR240" s="101" t="s">
        <v>18</v>
      </c>
      <c r="BS240" s="101" t="s">
        <v>18</v>
      </c>
      <c r="BT240" s="101" t="s">
        <v>18</v>
      </c>
      <c r="BU240" s="101" t="s">
        <v>18</v>
      </c>
    </row>
    <row r="241" spans="1:88" s="101" customFormat="1" ht="14.4" x14ac:dyDescent="0.3">
      <c r="A241" s="101">
        <v>49</v>
      </c>
      <c r="B241" s="101" t="s">
        <v>476</v>
      </c>
      <c r="C241" s="20">
        <v>44733.491574074076</v>
      </c>
      <c r="D241" s="101" t="s">
        <v>25</v>
      </c>
      <c r="E241" s="101" t="s">
        <v>17</v>
      </c>
      <c r="F241" s="101">
        <v>0</v>
      </c>
      <c r="G241" s="101">
        <v>6.0519999999999996</v>
      </c>
      <c r="H241" s="12">
        <v>1507</v>
      </c>
      <c r="I241" s="101">
        <v>-2E-3</v>
      </c>
      <c r="J241" s="101" t="s">
        <v>18</v>
      </c>
      <c r="K241" s="101" t="s">
        <v>18</v>
      </c>
      <c r="L241" s="101" t="s">
        <v>18</v>
      </c>
      <c r="M241" s="101" t="s">
        <v>18</v>
      </c>
      <c r="O241" s="101">
        <v>49</v>
      </c>
      <c r="P241" s="101" t="s">
        <v>476</v>
      </c>
      <c r="Q241" s="20">
        <v>44733.491574074076</v>
      </c>
      <c r="R241" s="101" t="s">
        <v>25</v>
      </c>
      <c r="S241" s="101" t="s">
        <v>17</v>
      </c>
      <c r="T241" s="101">
        <v>0</v>
      </c>
      <c r="U241" s="101" t="s">
        <v>18</v>
      </c>
      <c r="V241" s="101" t="s">
        <v>18</v>
      </c>
      <c r="W241" s="101" t="s">
        <v>18</v>
      </c>
      <c r="X241" s="101" t="s">
        <v>18</v>
      </c>
      <c r="Y241" s="101" t="s">
        <v>18</v>
      </c>
      <c r="Z241" s="101" t="s">
        <v>18</v>
      </c>
      <c r="AA241" s="101" t="s">
        <v>18</v>
      </c>
      <c r="AC241" s="101">
        <v>49</v>
      </c>
      <c r="AD241" s="101" t="s">
        <v>476</v>
      </c>
      <c r="AE241" s="20">
        <v>44733.491574074076</v>
      </c>
      <c r="AF241" s="101" t="s">
        <v>25</v>
      </c>
      <c r="AG241" s="101" t="s">
        <v>17</v>
      </c>
      <c r="AH241" s="101">
        <v>0</v>
      </c>
      <c r="AI241" s="101">
        <v>12.206</v>
      </c>
      <c r="AJ241" s="12">
        <v>3023</v>
      </c>
      <c r="AK241" s="101">
        <v>0.56499999999999995</v>
      </c>
      <c r="AL241" s="101" t="s">
        <v>18</v>
      </c>
      <c r="AM241" s="101" t="s">
        <v>18</v>
      </c>
      <c r="AN241" s="101" t="s">
        <v>18</v>
      </c>
      <c r="AO241" s="101" t="s">
        <v>18</v>
      </c>
      <c r="AQ241" s="101">
        <v>1</v>
      </c>
      <c r="AR241" s="101" t="s">
        <v>446</v>
      </c>
      <c r="AS241" s="7">
        <v>197</v>
      </c>
      <c r="AT241" s="104">
        <f t="shared" si="37"/>
        <v>-0.21682228029999995</v>
      </c>
      <c r="AU241" s="105">
        <f t="shared" si="38"/>
        <v>520.92088473991998</v>
      </c>
      <c r="AV241" s="101">
        <f t="shared" si="41"/>
        <v>0</v>
      </c>
      <c r="AW241" s="60">
        <f t="shared" si="42"/>
        <v>-0.24630520875000084</v>
      </c>
      <c r="AX241" s="61">
        <f t="shared" si="43"/>
        <v>594.72057453467005</v>
      </c>
      <c r="AZ241" s="23">
        <f t="shared" si="44"/>
        <v>-1.0853462895499995</v>
      </c>
      <c r="BA241" s="103">
        <f t="shared" si="45"/>
        <v>573.99100751846004</v>
      </c>
      <c r="BC241" s="104">
        <f t="shared" si="46"/>
        <v>-0.21682228029999995</v>
      </c>
      <c r="BD241" s="105">
        <f t="shared" si="47"/>
        <v>520.92088473991998</v>
      </c>
      <c r="BF241" s="117">
        <f t="shared" si="39"/>
        <v>-1.8865171552</v>
      </c>
      <c r="BG241" s="118">
        <f t="shared" si="40"/>
        <v>291.40900412000002</v>
      </c>
      <c r="BH241" s="8"/>
      <c r="BI241" s="101">
        <v>49</v>
      </c>
      <c r="BJ241" s="101" t="s">
        <v>476</v>
      </c>
      <c r="BK241" s="20">
        <v>44733.491574074076</v>
      </c>
      <c r="BL241" s="101" t="s">
        <v>25</v>
      </c>
      <c r="BM241" s="101" t="s">
        <v>17</v>
      </c>
      <c r="BN241" s="101">
        <v>0</v>
      </c>
      <c r="BO241" s="101">
        <v>2.6989999999999998</v>
      </c>
      <c r="BP241" s="12">
        <v>5188698</v>
      </c>
      <c r="BQ241" s="101">
        <v>958.726</v>
      </c>
      <c r="BR241" s="101" t="s">
        <v>18</v>
      </c>
      <c r="BS241" s="101" t="s">
        <v>18</v>
      </c>
      <c r="BT241" s="101" t="s">
        <v>18</v>
      </c>
      <c r="BU241" s="101" t="s">
        <v>18</v>
      </c>
    </row>
    <row r="242" spans="1:88" s="101" customFormat="1" ht="14.4" x14ac:dyDescent="0.3">
      <c r="A242" s="101">
        <v>49</v>
      </c>
      <c r="B242" s="101" t="s">
        <v>477</v>
      </c>
      <c r="C242" s="20">
        <v>44739.454305555555</v>
      </c>
      <c r="D242" s="101" t="s">
        <v>25</v>
      </c>
      <c r="E242" s="101" t="s">
        <v>17</v>
      </c>
      <c r="F242" s="101">
        <v>0</v>
      </c>
      <c r="G242" s="101">
        <v>6.0919999999999996</v>
      </c>
      <c r="H242" s="12">
        <v>1746</v>
      </c>
      <c r="I242" s="101">
        <v>-1E-3</v>
      </c>
      <c r="J242" s="101" t="s">
        <v>18</v>
      </c>
      <c r="K242" s="101" t="s">
        <v>18</v>
      </c>
      <c r="L242" s="101" t="s">
        <v>18</v>
      </c>
      <c r="M242" s="101" t="s">
        <v>18</v>
      </c>
      <c r="O242" s="101">
        <v>49</v>
      </c>
      <c r="P242" s="101" t="s">
        <v>477</v>
      </c>
      <c r="Q242" s="20">
        <v>44739.454305555555</v>
      </c>
      <c r="R242" s="101" t="s">
        <v>25</v>
      </c>
      <c r="S242" s="101" t="s">
        <v>17</v>
      </c>
      <c r="T242" s="101">
        <v>0</v>
      </c>
      <c r="U242" s="101" t="s">
        <v>18</v>
      </c>
      <c r="V242" s="12" t="s">
        <v>18</v>
      </c>
      <c r="W242" s="101" t="s">
        <v>18</v>
      </c>
      <c r="X242" s="101" t="s">
        <v>18</v>
      </c>
      <c r="Y242" s="101" t="s">
        <v>18</v>
      </c>
      <c r="Z242" s="101" t="s">
        <v>18</v>
      </c>
      <c r="AA242" s="101" t="s">
        <v>18</v>
      </c>
      <c r="AC242" s="101">
        <v>49</v>
      </c>
      <c r="AD242" s="101" t="s">
        <v>477</v>
      </c>
      <c r="AE242" s="20">
        <v>44739.454305555555</v>
      </c>
      <c r="AF242" s="101" t="s">
        <v>25</v>
      </c>
      <c r="AG242" s="101" t="s">
        <v>17</v>
      </c>
      <c r="AH242" s="101">
        <v>0</v>
      </c>
      <c r="AI242" s="101">
        <v>12.23</v>
      </c>
      <c r="AJ242" s="12">
        <v>2633</v>
      </c>
      <c r="AK242" s="101">
        <v>0.48199999999999998</v>
      </c>
      <c r="AL242" s="101" t="s">
        <v>18</v>
      </c>
      <c r="AM242" s="101" t="s">
        <v>18</v>
      </c>
      <c r="AN242" s="101" t="s">
        <v>18</v>
      </c>
      <c r="AO242" s="101" t="s">
        <v>18</v>
      </c>
      <c r="AQ242" s="101">
        <v>1</v>
      </c>
      <c r="AS242" s="7">
        <v>198</v>
      </c>
      <c r="AT242" s="104">
        <f t="shared" si="37"/>
        <v>9.5684774800000039E-2</v>
      </c>
      <c r="AU242" s="105">
        <f t="shared" si="38"/>
        <v>440.36417777671994</v>
      </c>
      <c r="AV242" s="101">
        <f t="shared" si="41"/>
        <v>9.5684774800000039E-2</v>
      </c>
      <c r="AW242" s="60">
        <f t="shared" si="42"/>
        <v>0.41671096499999916</v>
      </c>
      <c r="AX242" s="61">
        <f t="shared" si="43"/>
        <v>522.55303511147008</v>
      </c>
      <c r="AZ242" s="23">
        <f t="shared" si="44"/>
        <v>-0.21670350219999968</v>
      </c>
      <c r="BA242" s="103">
        <f t="shared" si="45"/>
        <v>499.45887447686005</v>
      </c>
      <c r="BC242" s="104">
        <f t="shared" si="46"/>
        <v>9.5684774800000039E-2</v>
      </c>
      <c r="BD242" s="105">
        <f t="shared" si="47"/>
        <v>440.36417777671994</v>
      </c>
      <c r="BF242" s="117">
        <f t="shared" si="39"/>
        <v>-1.5318063567999998</v>
      </c>
      <c r="BG242" s="118">
        <f t="shared" si="40"/>
        <v>252.75622892000001</v>
      </c>
      <c r="BH242" s="8"/>
      <c r="BI242" s="101">
        <v>49</v>
      </c>
      <c r="BJ242" s="101" t="s">
        <v>477</v>
      </c>
      <c r="BK242" s="20">
        <v>44739.454305555555</v>
      </c>
      <c r="BL242" s="101" t="s">
        <v>25</v>
      </c>
      <c r="BM242" s="101" t="s">
        <v>17</v>
      </c>
      <c r="BN242" s="101">
        <v>0</v>
      </c>
      <c r="BO242" s="101">
        <v>2.6970000000000001</v>
      </c>
      <c r="BP242" s="12">
        <v>5449013</v>
      </c>
      <c r="BQ242" s="101">
        <v>960.51900000000001</v>
      </c>
      <c r="BR242" s="101" t="s">
        <v>18</v>
      </c>
      <c r="BS242" s="101" t="s">
        <v>18</v>
      </c>
      <c r="BT242" s="101" t="s">
        <v>18</v>
      </c>
      <c r="BU242" s="101" t="s">
        <v>18</v>
      </c>
    </row>
    <row r="243" spans="1:88" s="101" customFormat="1" ht="14.4" x14ac:dyDescent="0.3">
      <c r="A243" s="101">
        <v>49</v>
      </c>
      <c r="B243" s="101" t="s">
        <v>478</v>
      </c>
      <c r="C243" s="20">
        <v>44740.530740740738</v>
      </c>
      <c r="D243" s="101" t="s">
        <v>25</v>
      </c>
      <c r="E243" s="101" t="s">
        <v>17</v>
      </c>
      <c r="F243" s="101">
        <v>0</v>
      </c>
      <c r="G243" s="101">
        <v>6.0640000000000001</v>
      </c>
      <c r="H243" s="12">
        <v>1778</v>
      </c>
      <c r="I243" s="101">
        <v>-1E-3</v>
      </c>
      <c r="J243" s="101" t="s">
        <v>18</v>
      </c>
      <c r="K243" s="101" t="s">
        <v>18</v>
      </c>
      <c r="L243" s="101" t="s">
        <v>18</v>
      </c>
      <c r="M243" s="101" t="s">
        <v>18</v>
      </c>
      <c r="O243" s="101">
        <v>49</v>
      </c>
      <c r="P243" s="101" t="s">
        <v>478</v>
      </c>
      <c r="Q243" s="20">
        <v>44740.530740740738</v>
      </c>
      <c r="R243" s="101" t="s">
        <v>25</v>
      </c>
      <c r="S243" s="101" t="s">
        <v>17</v>
      </c>
      <c r="T243" s="101">
        <v>0</v>
      </c>
      <c r="U243" s="101" t="s">
        <v>18</v>
      </c>
      <c r="V243" s="101" t="s">
        <v>18</v>
      </c>
      <c r="W243" s="101" t="s">
        <v>18</v>
      </c>
      <c r="X243" s="101" t="s">
        <v>18</v>
      </c>
      <c r="Y243" s="101" t="s">
        <v>18</v>
      </c>
      <c r="Z243" s="101" t="s">
        <v>18</v>
      </c>
      <c r="AA243" s="101" t="s">
        <v>18</v>
      </c>
      <c r="AC243" s="101">
        <v>49</v>
      </c>
      <c r="AD243" s="101" t="s">
        <v>478</v>
      </c>
      <c r="AE243" s="20">
        <v>44740.530740740738</v>
      </c>
      <c r="AF243" s="101" t="s">
        <v>25</v>
      </c>
      <c r="AG243" s="101" t="s">
        <v>17</v>
      </c>
      <c r="AH243" s="101">
        <v>0</v>
      </c>
      <c r="AI243" s="101">
        <v>12.222</v>
      </c>
      <c r="AJ243" s="12">
        <v>2835</v>
      </c>
      <c r="AK243" s="101">
        <v>0.52500000000000002</v>
      </c>
      <c r="AL243" s="101" t="s">
        <v>18</v>
      </c>
      <c r="AM243" s="101" t="s">
        <v>18</v>
      </c>
      <c r="AN243" s="101" t="s">
        <v>18</v>
      </c>
      <c r="AO243" s="101" t="s">
        <v>18</v>
      </c>
      <c r="AQ243" s="101">
        <v>1</v>
      </c>
      <c r="AS243" s="7">
        <v>83</v>
      </c>
      <c r="AT243" s="104">
        <f t="shared" si="37"/>
        <v>0.13878676520000011</v>
      </c>
      <c r="AU243" s="105">
        <f t="shared" si="38"/>
        <v>482.08939001800007</v>
      </c>
      <c r="AV243" s="101">
        <f t="shared" si="41"/>
        <v>0.13878676520000011</v>
      </c>
      <c r="AW243" s="60">
        <f t="shared" si="42"/>
        <v>0.50566728499999947</v>
      </c>
      <c r="AX243" s="61">
        <f t="shared" si="43"/>
        <v>559.93450338675007</v>
      </c>
      <c r="AZ243" s="23">
        <f t="shared" si="44"/>
        <v>-0.10090240779999959</v>
      </c>
      <c r="BA243" s="103">
        <f t="shared" si="45"/>
        <v>538.06331472150009</v>
      </c>
      <c r="BC243" s="104">
        <f t="shared" si="46"/>
        <v>0.13878676520000011</v>
      </c>
      <c r="BD243" s="105">
        <f t="shared" si="47"/>
        <v>482.08939001800007</v>
      </c>
      <c r="BF243" s="117">
        <f t="shared" si="39"/>
        <v>-1.4841818831999998</v>
      </c>
      <c r="BG243" s="118">
        <f t="shared" si="40"/>
        <v>272.84170300000005</v>
      </c>
      <c r="BH243" s="8"/>
      <c r="BI243" s="101">
        <v>49</v>
      </c>
      <c r="BJ243" s="101" t="s">
        <v>478</v>
      </c>
      <c r="BK243" s="20">
        <v>44740.530740740738</v>
      </c>
      <c r="BL243" s="101" t="s">
        <v>25</v>
      </c>
      <c r="BM243" s="101" t="s">
        <v>17</v>
      </c>
      <c r="BN243" s="101">
        <v>0</v>
      </c>
      <c r="BO243" s="101">
        <v>2.7010000000000001</v>
      </c>
      <c r="BP243" s="12">
        <v>5232715</v>
      </c>
      <c r="BQ243" s="101">
        <v>959.05200000000002</v>
      </c>
      <c r="BR243" s="101" t="s">
        <v>18</v>
      </c>
      <c r="BS243" s="101" t="s">
        <v>18</v>
      </c>
      <c r="BT243" s="101" t="s">
        <v>18</v>
      </c>
      <c r="BU243" s="101" t="s">
        <v>18</v>
      </c>
    </row>
    <row r="244" spans="1:88" s="101" customFormat="1" ht="14.4" x14ac:dyDescent="0.3">
      <c r="C244" s="20"/>
      <c r="H244" s="12"/>
      <c r="Q244" s="20"/>
      <c r="V244" s="12"/>
      <c r="AE244" s="20"/>
      <c r="AJ244" s="12"/>
      <c r="AR244" s="8"/>
      <c r="AS244" s="44"/>
      <c r="AT244" s="24"/>
      <c r="AU244" s="83"/>
      <c r="AV244" s="8"/>
      <c r="AW244" s="24"/>
      <c r="AX244" s="83"/>
      <c r="AY244" s="8"/>
      <c r="AZ244" s="24"/>
      <c r="BA244" s="83"/>
      <c r="BB244" s="8"/>
      <c r="BC244" s="24"/>
      <c r="BD244" s="83"/>
      <c r="BE244" s="8"/>
      <c r="BF244" s="119"/>
      <c r="BG244" s="120"/>
      <c r="BH244" s="8"/>
      <c r="BK244" s="20"/>
      <c r="BP244" s="12"/>
    </row>
    <row r="245" spans="1:88" s="101" customFormat="1" ht="14.4" x14ac:dyDescent="0.3">
      <c r="C245" s="20"/>
      <c r="H245" s="12"/>
      <c r="Q245" s="20"/>
      <c r="V245" s="12"/>
      <c r="AE245" s="20"/>
      <c r="AJ245" s="12"/>
      <c r="AR245" s="8"/>
      <c r="AS245" s="44"/>
      <c r="AT245" s="24"/>
      <c r="AU245" s="83"/>
      <c r="AV245" s="8"/>
      <c r="AW245" s="24"/>
      <c r="AX245" s="83"/>
      <c r="AY245" s="8"/>
      <c r="AZ245" s="24"/>
      <c r="BA245" s="83"/>
      <c r="BB245" s="8"/>
      <c r="BC245" s="24"/>
      <c r="BD245" s="83"/>
      <c r="BE245" s="8"/>
      <c r="BF245" s="119"/>
      <c r="BG245" s="120"/>
      <c r="BH245" s="8"/>
      <c r="BK245" s="20"/>
      <c r="BP245" s="12"/>
    </row>
    <row r="246" spans="1:88" s="101" customFormat="1" ht="14.4" x14ac:dyDescent="0.3">
      <c r="C246" s="20"/>
      <c r="H246" s="12"/>
      <c r="Q246" s="20"/>
      <c r="V246" s="12"/>
      <c r="AE246" s="20"/>
      <c r="AJ246" s="12"/>
      <c r="AR246" s="8"/>
      <c r="AS246" s="44"/>
      <c r="AT246" s="24"/>
      <c r="AU246" s="83"/>
      <c r="AV246" s="8"/>
      <c r="AW246" s="24"/>
      <c r="AX246" s="83"/>
      <c r="AY246" s="8"/>
      <c r="AZ246" s="24"/>
      <c r="BA246" s="83"/>
      <c r="BB246" s="8"/>
      <c r="BC246" s="24"/>
      <c r="BD246" s="83"/>
      <c r="BE246" s="8"/>
      <c r="BF246" s="119"/>
      <c r="BG246" s="120"/>
      <c r="BH246" s="8"/>
      <c r="BK246" s="20"/>
      <c r="BP246" s="12"/>
    </row>
    <row r="247" spans="1:88" s="101" customFormat="1" ht="14.4" x14ac:dyDescent="0.3">
      <c r="C247" s="20"/>
      <c r="H247" s="12"/>
      <c r="Q247" s="20"/>
      <c r="V247" s="12"/>
      <c r="AE247" s="20"/>
      <c r="AJ247" s="12"/>
      <c r="AR247" s="8"/>
      <c r="AS247" s="44"/>
      <c r="AT247" s="24"/>
      <c r="AU247" s="83"/>
      <c r="AV247" s="8"/>
      <c r="AW247" s="24"/>
      <c r="AX247" s="83"/>
      <c r="AY247" s="8"/>
      <c r="AZ247" s="24"/>
      <c r="BA247" s="83"/>
      <c r="BB247" s="8"/>
      <c r="BC247" s="24"/>
      <c r="BD247" s="83"/>
      <c r="BE247" s="8"/>
      <c r="BF247" s="8"/>
      <c r="BG247" s="8"/>
      <c r="BH247" s="8"/>
    </row>
    <row r="248" spans="1:88" s="101" customFormat="1" ht="14.4" x14ac:dyDescent="0.3">
      <c r="C248" s="20"/>
      <c r="H248" s="12"/>
      <c r="Q248" s="20"/>
      <c r="V248" s="12"/>
      <c r="AE248" s="20"/>
      <c r="AJ248" s="12"/>
      <c r="AR248" s="8"/>
      <c r="AS248" s="44"/>
      <c r="AT248" s="24"/>
      <c r="AU248" s="83"/>
      <c r="AV248" s="8"/>
      <c r="AW248" s="24"/>
      <c r="AX248" s="83"/>
      <c r="AY248" s="8"/>
      <c r="AZ248" s="24"/>
      <c r="BA248" s="83"/>
      <c r="BB248" s="8"/>
      <c r="BC248" s="24"/>
      <c r="BD248" s="83"/>
      <c r="BE248" s="8"/>
      <c r="BF248" s="8"/>
      <c r="BG248" s="8"/>
      <c r="BH248" s="8"/>
    </row>
    <row r="249" spans="1:88" s="101" customFormat="1" ht="14.4" x14ac:dyDescent="0.3">
      <c r="C249" s="20"/>
      <c r="H249" s="12"/>
      <c r="Q249" s="20"/>
      <c r="V249" s="12"/>
      <c r="AE249" s="20"/>
      <c r="AJ249" s="12"/>
      <c r="AR249" s="8"/>
      <c r="AS249" s="44"/>
      <c r="AT249" s="24"/>
      <c r="AU249" s="83"/>
      <c r="AV249" s="8"/>
      <c r="AW249" s="24"/>
      <c r="AX249" s="83"/>
      <c r="AY249" s="8"/>
      <c r="AZ249" s="24"/>
      <c r="BA249" s="83"/>
      <c r="BB249" s="8"/>
      <c r="BC249" s="24"/>
      <c r="BD249" s="83"/>
      <c r="BE249" s="8"/>
      <c r="BF249" s="8"/>
      <c r="BG249" s="8"/>
      <c r="BH249" s="8"/>
    </row>
    <row r="250" spans="1:88" s="101" customFormat="1" ht="14.4" x14ac:dyDescent="0.3">
      <c r="C250" s="20"/>
      <c r="H250" s="12"/>
      <c r="Q250" s="20"/>
      <c r="V250" s="12"/>
      <c r="AE250" s="20"/>
      <c r="AJ250" s="12"/>
      <c r="AR250" s="8"/>
      <c r="AS250" s="44"/>
      <c r="AT250" s="24"/>
      <c r="AU250" s="83"/>
      <c r="AV250" s="8"/>
      <c r="AW250" s="24"/>
      <c r="AX250" s="83"/>
      <c r="AY250" s="8"/>
      <c r="AZ250" s="24"/>
      <c r="BA250" s="83"/>
      <c r="BB250" s="8"/>
      <c r="BC250" s="24"/>
      <c r="BD250" s="83"/>
      <c r="BE250" s="8"/>
      <c r="BF250" s="8"/>
      <c r="BG250" s="8"/>
      <c r="BH250" s="8"/>
    </row>
    <row r="251" spans="1:88" s="8" customFormat="1" ht="14.4" x14ac:dyDescent="0.3">
      <c r="C251" s="59"/>
      <c r="H251" s="10"/>
      <c r="Q251" s="59"/>
      <c r="V251" s="10"/>
      <c r="AE251" s="59"/>
      <c r="AJ251" s="10"/>
      <c r="AS251" s="44"/>
      <c r="AT251" s="24"/>
      <c r="AU251" s="83"/>
    </row>
    <row r="252" spans="1:88" s="8" customFormat="1" ht="14.4" x14ac:dyDescent="0.3">
      <c r="C252" s="59"/>
      <c r="H252" s="10"/>
      <c r="Q252" s="59"/>
      <c r="AE252" s="59"/>
      <c r="AJ252" s="10"/>
      <c r="AS252" s="44"/>
      <c r="AT252" s="24"/>
      <c r="AU252" s="83"/>
    </row>
    <row r="253" spans="1:88" s="111" customFormat="1" x14ac:dyDescent="0.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10"/>
      <c r="N253" s="110"/>
      <c r="O253" s="110"/>
      <c r="P253" s="109"/>
      <c r="Q253" s="38"/>
      <c r="R253" s="38"/>
      <c r="S253" s="38"/>
      <c r="T253" s="38"/>
      <c r="U253" s="38"/>
      <c r="V253" s="38"/>
      <c r="W253" s="38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R253" s="8"/>
    </row>
    <row r="254" spans="1:88" s="8" customFormat="1" ht="14.4" x14ac:dyDescent="0.3">
      <c r="A254" s="112"/>
      <c r="C254" s="59"/>
      <c r="H254" s="10"/>
      <c r="L254" s="113"/>
      <c r="Q254" s="59"/>
      <c r="V254" s="10"/>
      <c r="AE254" s="59"/>
      <c r="AJ254" s="10"/>
      <c r="AT254" s="111" t="s">
        <v>479</v>
      </c>
      <c r="AX254" s="8" t="s">
        <v>480</v>
      </c>
    </row>
    <row r="255" spans="1:88" s="36" customFormat="1" ht="15" x14ac:dyDescent="0.25">
      <c r="A255" s="40"/>
      <c r="B255" s="40"/>
      <c r="C255" s="40"/>
      <c r="D255" s="40"/>
      <c r="E255" s="39"/>
      <c r="F255" s="34"/>
      <c r="G255" s="34" t="s">
        <v>40</v>
      </c>
      <c r="H255" s="68">
        <f>AVERAGE(H45:H254)</f>
        <v>2197.2010050251256</v>
      </c>
      <c r="I255" s="68"/>
      <c r="J255" s="38"/>
      <c r="K255" s="38"/>
      <c r="M255" s="54"/>
      <c r="N255" s="39"/>
      <c r="O255" s="39"/>
      <c r="P255" s="39"/>
      <c r="Q255" s="53"/>
      <c r="U255" s="38"/>
      <c r="V255" s="38"/>
      <c r="W255" s="38"/>
      <c r="Z255" s="53"/>
      <c r="AA255" s="53"/>
      <c r="AB255" s="53"/>
      <c r="AC255" s="53"/>
      <c r="AD255" s="53"/>
      <c r="AE255" s="53"/>
      <c r="AF255" s="53"/>
      <c r="AG255" s="53"/>
      <c r="AH255" s="34"/>
      <c r="AI255" s="34" t="s">
        <v>40</v>
      </c>
      <c r="AJ255" s="68">
        <f>AVERAGE(AJ45:AJ254)</f>
        <v>2335.8984771573605</v>
      </c>
      <c r="AK255" s="68"/>
      <c r="AL255" s="56"/>
      <c r="AM255" s="56"/>
      <c r="AN255" s="56"/>
      <c r="AO255" s="56"/>
      <c r="AP255" s="56"/>
      <c r="AQ255" s="34" t="s">
        <v>40</v>
      </c>
      <c r="AR255" s="34"/>
      <c r="AS255" s="55">
        <f>MIN(AS45:AS254)</f>
        <v>1</v>
      </c>
      <c r="AT255" s="69">
        <f>AVERAGE(AT45:AT253)</f>
        <v>1.5462222255917788</v>
      </c>
      <c r="AU255" s="69">
        <f>AVERAGE(AU45:AU253)</f>
        <v>444.62215635929664</v>
      </c>
      <c r="AV255" s="69">
        <f>AVERAGE(AV45:AV253)</f>
        <v>1.6964202411334868</v>
      </c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</row>
    <row r="256" spans="1:88" s="36" customFormat="1" ht="15" x14ac:dyDescent="0.25">
      <c r="A256" s="40"/>
      <c r="B256" s="40"/>
      <c r="C256" s="40"/>
      <c r="D256" s="40"/>
      <c r="E256" s="39"/>
      <c r="F256" s="34"/>
      <c r="G256" s="34" t="s">
        <v>91</v>
      </c>
      <c r="H256" s="70">
        <f>STDEV(H45:H254)</f>
        <v>496.74625130020183</v>
      </c>
      <c r="I256" s="70"/>
      <c r="J256" s="38"/>
      <c r="K256" s="38"/>
      <c r="M256" s="54"/>
      <c r="N256" s="39"/>
      <c r="O256" s="39"/>
      <c r="P256" s="39"/>
      <c r="Q256" s="53"/>
      <c r="U256" s="38"/>
      <c r="V256" s="38"/>
      <c r="W256" s="38"/>
      <c r="Z256" s="53"/>
      <c r="AA256" s="53"/>
      <c r="AB256" s="53"/>
      <c r="AC256" s="53"/>
      <c r="AD256" s="53"/>
      <c r="AE256" s="53"/>
      <c r="AF256" s="53"/>
      <c r="AG256" s="53"/>
      <c r="AH256" s="34"/>
      <c r="AI256" s="34" t="s">
        <v>91</v>
      </c>
      <c r="AJ256" s="70">
        <f>STDEV(AJ45:AJ254)</f>
        <v>469.93471088829932</v>
      </c>
      <c r="AK256" s="70"/>
      <c r="AL256" s="56"/>
      <c r="AM256" s="56"/>
      <c r="AN256" s="56"/>
      <c r="AO256" s="56"/>
      <c r="AP256" s="56"/>
      <c r="AQ256" s="34" t="s">
        <v>91</v>
      </c>
      <c r="AR256" s="34"/>
      <c r="AS256" s="55">
        <f>MAX(AS45:AS254)</f>
        <v>198</v>
      </c>
      <c r="AT256" s="70">
        <f>STDEV(AT45:AT253)</f>
        <v>1.4823013171741883</v>
      </c>
      <c r="AU256" s="70">
        <f>STDEV(AU45:AU253)</f>
        <v>89.7290524009602</v>
      </c>
      <c r="AV256" s="70">
        <f>STDEV(AV45:AV253)</f>
        <v>1.1910938614940785</v>
      </c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</row>
    <row r="257" spans="1:88" s="36" customFormat="1" ht="15" x14ac:dyDescent="0.25">
      <c r="A257" s="40"/>
      <c r="B257" s="40"/>
      <c r="C257" s="40"/>
      <c r="D257" s="40"/>
      <c r="E257" s="39"/>
      <c r="F257" s="34"/>
      <c r="G257" s="34" t="s">
        <v>92</v>
      </c>
      <c r="H257" s="70">
        <f>100*H256/H255</f>
        <v>22.60813872577495</v>
      </c>
      <c r="I257" s="70"/>
      <c r="J257" s="38"/>
      <c r="K257" s="38"/>
      <c r="M257" s="54"/>
      <c r="N257" s="39"/>
      <c r="O257" s="39"/>
      <c r="P257" s="39"/>
      <c r="Q257" s="53"/>
      <c r="S257" s="39"/>
      <c r="T257" s="34"/>
      <c r="U257" s="35"/>
      <c r="V257" s="38"/>
      <c r="W257" s="38"/>
      <c r="Z257" s="53"/>
      <c r="AA257" s="53"/>
      <c r="AB257" s="53"/>
      <c r="AC257" s="53"/>
      <c r="AD257" s="53"/>
      <c r="AE257" s="53"/>
      <c r="AF257" s="53"/>
      <c r="AG257" s="53"/>
      <c r="AH257" s="34"/>
      <c r="AI257" s="34" t="s">
        <v>92</v>
      </c>
      <c r="AJ257" s="70">
        <f>100*AJ256/AJ255</f>
        <v>20.117942431307199</v>
      </c>
      <c r="AK257" s="70"/>
      <c r="AL257" s="56"/>
      <c r="AM257" s="56"/>
      <c r="AN257" s="56"/>
      <c r="AO257" s="56"/>
      <c r="AP257" s="56"/>
      <c r="AQ257" s="34" t="s">
        <v>92</v>
      </c>
      <c r="AR257" s="34"/>
      <c r="AS257" s="55"/>
      <c r="AT257" s="70">
        <f>100*AT256/AT255</f>
        <v>95.865994721869527</v>
      </c>
      <c r="AU257" s="70">
        <f>100*AU256/AU255</f>
        <v>20.180967393907981</v>
      </c>
      <c r="AV257" s="70">
        <f>100*AV256/AV255</f>
        <v>70.21219345380085</v>
      </c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</row>
    <row r="258" spans="1:88" s="36" customFormat="1" ht="15" x14ac:dyDescent="0.25">
      <c r="A258" s="40"/>
      <c r="B258" s="40"/>
      <c r="C258" s="40"/>
      <c r="D258" s="40"/>
      <c r="E258" s="39"/>
      <c r="F258" s="34" t="s">
        <v>93</v>
      </c>
      <c r="G258" s="34" t="s">
        <v>94</v>
      </c>
      <c r="H258" s="70">
        <f>H255-(2*H256)</f>
        <v>1203.7085024247219</v>
      </c>
      <c r="I258" s="70"/>
      <c r="J258" s="38"/>
      <c r="K258" s="38"/>
      <c r="P258" s="39"/>
      <c r="Q258" s="53"/>
      <c r="U258" s="38"/>
      <c r="V258" s="38"/>
      <c r="W258" s="38"/>
      <c r="Y258" s="53"/>
      <c r="Z258" s="53"/>
      <c r="AA258" s="53"/>
      <c r="AB258" s="53"/>
      <c r="AC258" s="53"/>
      <c r="AD258" s="53"/>
      <c r="AE258" s="53"/>
      <c r="AF258" s="53"/>
      <c r="AG258" s="53"/>
      <c r="AH258" s="34" t="s">
        <v>93</v>
      </c>
      <c r="AI258" s="34" t="s">
        <v>94</v>
      </c>
      <c r="AJ258" s="70">
        <f>AJ255-(2*AJ256)</f>
        <v>1396.0290553807617</v>
      </c>
      <c r="AK258" s="70"/>
      <c r="AL258" s="56"/>
      <c r="AM258" s="56"/>
      <c r="AN258" s="56"/>
      <c r="AO258" s="56"/>
      <c r="AP258" s="56"/>
      <c r="AQ258" s="34" t="s">
        <v>94</v>
      </c>
      <c r="AR258" s="34" t="s">
        <v>93</v>
      </c>
      <c r="AS258" s="56"/>
      <c r="AT258" s="70">
        <f>AT255-(2*AT256)</f>
        <v>-1.4183804087565979</v>
      </c>
      <c r="AU258" s="70">
        <f>AU255-(2*AU256)</f>
        <v>265.16405155737624</v>
      </c>
      <c r="AV258" s="70">
        <f>AV255-(2*AV256)</f>
        <v>-0.68576748185467018</v>
      </c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</row>
    <row r="259" spans="1:88" s="36" customFormat="1" ht="15" x14ac:dyDescent="0.25">
      <c r="A259" s="40"/>
      <c r="B259" s="40"/>
      <c r="C259" s="40"/>
      <c r="D259" s="40"/>
      <c r="E259" s="39"/>
      <c r="F259" s="34"/>
      <c r="G259" s="34" t="s">
        <v>95</v>
      </c>
      <c r="H259" s="70">
        <f>H255+(2*H256)</f>
        <v>3190.6935076255295</v>
      </c>
      <c r="I259" s="70"/>
      <c r="P259" s="39"/>
      <c r="Q259" s="53"/>
      <c r="U259" s="38"/>
      <c r="V259" s="38"/>
      <c r="W259" s="38"/>
      <c r="Y259" s="53"/>
      <c r="Z259" s="53"/>
      <c r="AA259" s="53"/>
      <c r="AB259" s="53"/>
      <c r="AC259" s="53"/>
      <c r="AD259" s="53"/>
      <c r="AE259" s="53"/>
      <c r="AF259" s="53"/>
      <c r="AG259" s="53"/>
      <c r="AH259" s="34"/>
      <c r="AI259" s="34" t="s">
        <v>95</v>
      </c>
      <c r="AJ259" s="70">
        <f>AJ255+(2*AJ256)</f>
        <v>3275.7678989339593</v>
      </c>
      <c r="AK259" s="70"/>
      <c r="AL259" s="56"/>
      <c r="AM259" s="56"/>
      <c r="AN259" s="56"/>
      <c r="AO259" s="56"/>
      <c r="AP259" s="56"/>
      <c r="AQ259" s="34" t="s">
        <v>95</v>
      </c>
      <c r="AR259" s="34"/>
      <c r="AS259" s="56"/>
      <c r="AT259" s="70">
        <f>AT255+(2*AT256)</f>
        <v>4.5108248599401559</v>
      </c>
      <c r="AU259" s="70">
        <f>AU255+(2*AU256)</f>
        <v>624.08026116121709</v>
      </c>
      <c r="AV259" s="70">
        <f>AV255+(2*AV256)</f>
        <v>4.0786079641216437</v>
      </c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</row>
    <row r="260" spans="1:88" s="36" customFormat="1" ht="15" x14ac:dyDescent="0.25">
      <c r="A260" s="40"/>
      <c r="B260" s="40"/>
      <c r="C260" s="40"/>
      <c r="D260" s="40"/>
      <c r="E260" s="39"/>
      <c r="F260" s="34" t="s">
        <v>96</v>
      </c>
      <c r="G260" s="34" t="s">
        <v>97</v>
      </c>
      <c r="H260" s="70">
        <f>H255-(3*H256)</f>
        <v>706.96225112452021</v>
      </c>
      <c r="I260" s="70"/>
      <c r="J260" s="38"/>
      <c r="K260" s="38"/>
      <c r="P260" s="53"/>
      <c r="Q260" s="34"/>
      <c r="T260" s="38"/>
      <c r="U260" s="38"/>
      <c r="V260" s="38"/>
      <c r="W260" s="54"/>
      <c r="X260" s="55"/>
      <c r="Y260" s="53"/>
      <c r="Z260" s="53"/>
      <c r="AA260" s="53"/>
      <c r="AB260" s="53"/>
      <c r="AC260" s="53"/>
      <c r="AD260" s="53"/>
      <c r="AE260" s="53"/>
      <c r="AF260" s="53"/>
      <c r="AG260" s="53"/>
      <c r="AH260" s="34" t="s">
        <v>96</v>
      </c>
      <c r="AI260" s="34" t="s">
        <v>97</v>
      </c>
      <c r="AJ260" s="70">
        <f>AJ255-(3*AJ256)</f>
        <v>926.0943444924626</v>
      </c>
      <c r="AK260" s="70"/>
      <c r="AL260" s="56"/>
      <c r="AM260" s="56"/>
      <c r="AN260" s="56"/>
      <c r="AO260" s="56"/>
      <c r="AP260" s="56"/>
      <c r="AQ260" s="34" t="s">
        <v>97</v>
      </c>
      <c r="AR260" s="34" t="s">
        <v>96</v>
      </c>
      <c r="AS260" s="56"/>
      <c r="AT260" s="70">
        <f>AT255-(3*AT256)</f>
        <v>-2.9006817259307858</v>
      </c>
      <c r="AU260" s="70">
        <f>AU255-(3*AU256)</f>
        <v>175.43499915641604</v>
      </c>
      <c r="AV260" s="70">
        <f>AV255-(3*AV256)</f>
        <v>-1.8768613433487489</v>
      </c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</row>
    <row r="261" spans="1:88" ht="15" x14ac:dyDescent="0.25">
      <c r="F261" s="34"/>
      <c r="G261" s="34" t="s">
        <v>98</v>
      </c>
      <c r="H261" s="70">
        <f>H255+(3*H256)</f>
        <v>3687.439758925731</v>
      </c>
      <c r="I261" s="70"/>
      <c r="J261" s="40"/>
      <c r="K261" s="40"/>
      <c r="L261" s="56"/>
      <c r="M261" s="39"/>
      <c r="N261" s="39"/>
      <c r="O261" s="39"/>
      <c r="Q261" s="34"/>
      <c r="R261" s="56"/>
      <c r="T261" s="38"/>
      <c r="U261" s="38"/>
      <c r="V261" s="38"/>
      <c r="W261" s="54"/>
      <c r="X261" s="55"/>
      <c r="AH261" s="34"/>
      <c r="AI261" s="34" t="s">
        <v>98</v>
      </c>
      <c r="AJ261" s="70">
        <f>AJ255+(3*AJ256)</f>
        <v>3745.7026098222586</v>
      </c>
      <c r="AK261" s="70"/>
      <c r="AQ261" s="34" t="s">
        <v>98</v>
      </c>
      <c r="AR261" s="34"/>
      <c r="AT261" s="70">
        <f>AT255+(3*AT256)</f>
        <v>5.9931261771143429</v>
      </c>
      <c r="AU261" s="70">
        <f>AU255+(3*AU256)</f>
        <v>713.80931356217729</v>
      </c>
      <c r="AV261" s="70">
        <f>AV255+(3*AV256)</f>
        <v>5.2697018256157229</v>
      </c>
    </row>
    <row r="262" spans="1:88" ht="15" x14ac:dyDescent="0.25">
      <c r="G262" s="34" t="s">
        <v>99</v>
      </c>
      <c r="H262" s="70">
        <f>COUNT(H45:H254)</f>
        <v>199</v>
      </c>
      <c r="I262" s="70"/>
      <c r="J262" s="40"/>
      <c r="K262" s="40"/>
      <c r="L262" s="56"/>
      <c r="M262" s="39"/>
      <c r="N262" s="39"/>
      <c r="O262" s="39"/>
      <c r="Q262" s="34"/>
      <c r="R262" s="56"/>
      <c r="T262" s="38"/>
      <c r="U262" s="38"/>
      <c r="V262" s="38"/>
      <c r="W262" s="54"/>
      <c r="X262" s="55"/>
      <c r="AH262" s="53"/>
      <c r="AI262" s="34" t="s">
        <v>99</v>
      </c>
      <c r="AJ262" s="70">
        <f>COUNT(AJ45:AJ254)</f>
        <v>197</v>
      </c>
      <c r="AK262" s="70"/>
      <c r="AQ262" s="34" t="s">
        <v>99</v>
      </c>
      <c r="AR262" s="34"/>
      <c r="AT262" s="70">
        <f>COUNT(AT45:AT253)</f>
        <v>199</v>
      </c>
      <c r="AU262" s="70">
        <f>COUNT(AU45:AU253)</f>
        <v>198</v>
      </c>
      <c r="AV262" s="70">
        <f>COUNT(AV45:AV253)</f>
        <v>199</v>
      </c>
    </row>
    <row r="263" spans="1:88" ht="15" x14ac:dyDescent="0.25">
      <c r="G263" s="34" t="s">
        <v>238</v>
      </c>
      <c r="H263" s="70">
        <f>TINV(0.02,(H262-1))</f>
        <v>2.3453283485446179</v>
      </c>
      <c r="I263" s="70"/>
      <c r="J263" s="40"/>
      <c r="K263" s="40"/>
      <c r="L263" s="56"/>
      <c r="M263" s="39"/>
      <c r="N263" s="39"/>
      <c r="O263" s="39"/>
      <c r="Q263" s="34"/>
      <c r="R263" s="56"/>
      <c r="T263" s="38"/>
      <c r="U263" s="38"/>
      <c r="V263" s="38"/>
      <c r="W263" s="54"/>
      <c r="X263" s="55"/>
      <c r="AH263" s="53"/>
      <c r="AI263" s="34" t="s">
        <v>238</v>
      </c>
      <c r="AJ263" s="70">
        <f>TINV(0.02,(AJ262-1))</f>
        <v>2.345523548841971</v>
      </c>
      <c r="AK263" s="70"/>
      <c r="AQ263" s="34" t="s">
        <v>238</v>
      </c>
      <c r="AR263" s="34"/>
      <c r="AT263" s="70">
        <f>TINV(0.02,(AT262-1))</f>
        <v>2.3453283485446179</v>
      </c>
      <c r="AU263" s="70">
        <f>TINV(0.02,(AU262-1))</f>
        <v>2.3454254493948361</v>
      </c>
      <c r="AV263" s="70">
        <f>TINV(0.02,(AV262-1))</f>
        <v>2.3453283485446179</v>
      </c>
    </row>
    <row r="264" spans="1:88" ht="15" x14ac:dyDescent="0.25">
      <c r="G264" s="34" t="s">
        <v>44</v>
      </c>
      <c r="H264" s="71">
        <f>H256*H263</f>
        <v>1165.033065207632</v>
      </c>
      <c r="I264" s="71"/>
      <c r="AH264" s="53"/>
      <c r="AI264" s="34" t="s">
        <v>44</v>
      </c>
      <c r="AJ264" s="71">
        <f>AJ256*AJ263</f>
        <v>1102.2429308067494</v>
      </c>
      <c r="AK264" s="71"/>
      <c r="AQ264" s="34" t="s">
        <v>44</v>
      </c>
      <c r="AR264" s="34"/>
      <c r="AT264" s="71">
        <f>AT256*AT263</f>
        <v>3.4764833002536508</v>
      </c>
      <c r="AU264" s="71">
        <f>AU256*AU263</f>
        <v>210.45280305129486</v>
      </c>
      <c r="AV264" s="71">
        <f>AV256*AV263</f>
        <v>2.7935061991395389</v>
      </c>
    </row>
    <row r="265" spans="1:88" ht="15" x14ac:dyDescent="0.25">
      <c r="G265" s="34" t="s">
        <v>45</v>
      </c>
      <c r="H265" s="72">
        <f>H256*10</f>
        <v>4967.4625130020186</v>
      </c>
      <c r="I265" s="72"/>
      <c r="J265" s="35"/>
      <c r="AH265" s="53"/>
      <c r="AI265" s="34" t="s">
        <v>45</v>
      </c>
      <c r="AJ265" s="72">
        <f>AJ256*10</f>
        <v>4699.3471088829929</v>
      </c>
      <c r="AK265" s="72"/>
      <c r="AQ265" s="34" t="s">
        <v>45</v>
      </c>
      <c r="AR265" s="34"/>
      <c r="AT265" s="72">
        <f>AT256*10</f>
        <v>14.823013171741884</v>
      </c>
      <c r="AU265" s="72">
        <f>AU256*10</f>
        <v>897.290524009602</v>
      </c>
      <c r="AV265" s="72">
        <f>AV256*10</f>
        <v>11.910938614940784</v>
      </c>
    </row>
    <row r="266" spans="1:88" ht="15" x14ac:dyDescent="0.25">
      <c r="AQ266" s="34" t="s">
        <v>239</v>
      </c>
      <c r="AR266" s="34"/>
      <c r="AT266" s="56" t="s">
        <v>444</v>
      </c>
      <c r="AU266" s="56" t="s">
        <v>481</v>
      </c>
      <c r="AV266" s="56" t="s">
        <v>444</v>
      </c>
    </row>
    <row r="269" spans="1:88" x14ac:dyDescent="0.3">
      <c r="AQ269" s="8"/>
      <c r="AR269" s="8"/>
      <c r="AS269" s="8"/>
      <c r="AT269" s="111" t="s">
        <v>482</v>
      </c>
      <c r="AU269" s="8"/>
      <c r="AV269" s="8"/>
    </row>
    <row r="270" spans="1:88" ht="15" x14ac:dyDescent="0.25">
      <c r="AQ270" s="34" t="s">
        <v>40</v>
      </c>
      <c r="AR270" s="34"/>
      <c r="AS270" s="55">
        <f>MIN(AS216:AS254)</f>
        <v>83</v>
      </c>
      <c r="AT270" s="69">
        <f>AVERAGE(AT216:AT254)</f>
        <v>1.0531994412821428</v>
      </c>
      <c r="AU270" s="69">
        <f t="shared" ref="AU270:AV270" si="48">AVERAGE(AU216:AU254)</f>
        <v>403.65760920483137</v>
      </c>
      <c r="AV270" s="69">
        <f t="shared" si="48"/>
        <v>1.0669348539714285</v>
      </c>
    </row>
    <row r="271" spans="1:88" ht="15" x14ac:dyDescent="0.25">
      <c r="AQ271" s="34" t="s">
        <v>91</v>
      </c>
      <c r="AR271" s="34"/>
      <c r="AS271" s="55">
        <f>MAX(AS216:AS254)</f>
        <v>198</v>
      </c>
      <c r="AT271" s="70">
        <f>STDEV(AT216:AT254)</f>
        <v>0.98595410789329552</v>
      </c>
      <c r="AU271" s="70">
        <f t="shared" ref="AU271:AV271" si="49">STDEV(AU216:AU254)</f>
        <v>77.684337077575492</v>
      </c>
      <c r="AV271" s="70">
        <f t="shared" si="49"/>
        <v>0.96922084034054024</v>
      </c>
    </row>
    <row r="272" spans="1:88" ht="15" x14ac:dyDescent="0.25">
      <c r="AQ272" s="34" t="s">
        <v>92</v>
      </c>
      <c r="AR272" s="34"/>
      <c r="AS272" s="55"/>
      <c r="AT272" s="70">
        <f>100*AT271/AT270</f>
        <v>93.615137764696854</v>
      </c>
      <c r="AU272" s="70">
        <f t="shared" ref="AU272:AV272" si="50">100*AU271/AU270</f>
        <v>19.245106572029336</v>
      </c>
      <c r="AV272" s="70">
        <f t="shared" si="50"/>
        <v>90.841613874814428</v>
      </c>
    </row>
    <row r="273" spans="1:48" ht="15" x14ac:dyDescent="0.25">
      <c r="AQ273" s="34" t="s">
        <v>94</v>
      </c>
      <c r="AR273" s="34" t="s">
        <v>93</v>
      </c>
      <c r="AT273" s="70">
        <f>AT270-(2*AT271)</f>
        <v>-0.91870877450444821</v>
      </c>
      <c r="AU273" s="70">
        <f t="shared" ref="AU273:AV273" si="51">AU270-(2*AU271)</f>
        <v>248.28893504968039</v>
      </c>
      <c r="AV273" s="70">
        <f t="shared" si="51"/>
        <v>-0.87150682670965196</v>
      </c>
    </row>
    <row r="274" spans="1:48" ht="15" x14ac:dyDescent="0.25">
      <c r="AQ274" s="34" t="s">
        <v>95</v>
      </c>
      <c r="AR274" s="34"/>
      <c r="AT274" s="70">
        <f>AT270+(2*AT271)</f>
        <v>3.0251076570687339</v>
      </c>
      <c r="AU274" s="70">
        <f t="shared" ref="AU274:AV274" si="52">AU270+(2*AU271)</f>
        <v>559.02628335998236</v>
      </c>
      <c r="AV274" s="70">
        <f t="shared" si="52"/>
        <v>3.005376534652509</v>
      </c>
    </row>
    <row r="275" spans="1:48" ht="15" x14ac:dyDescent="0.25">
      <c r="AQ275" s="34" t="s">
        <v>97</v>
      </c>
      <c r="AR275" s="34" t="s">
        <v>96</v>
      </c>
      <c r="AT275" s="70">
        <f>AT270-(3*AT271)</f>
        <v>-1.9046628823977436</v>
      </c>
      <c r="AU275" s="70">
        <f t="shared" ref="AU275:AV275" si="53">AU270-(3*AU271)</f>
        <v>170.6045979721049</v>
      </c>
      <c r="AV275" s="70">
        <f t="shared" si="53"/>
        <v>-1.8407276670501922</v>
      </c>
    </row>
    <row r="276" spans="1:48" ht="15" x14ac:dyDescent="0.25">
      <c r="AQ276" s="34" t="s">
        <v>98</v>
      </c>
      <c r="AR276" s="34"/>
      <c r="AT276" s="70">
        <f>AT270+(3*AT271)</f>
        <v>4.0110617649620295</v>
      </c>
      <c r="AU276" s="70">
        <f t="shared" ref="AU276:AV276" si="54">AU270+(3*AU271)</f>
        <v>636.71062043755785</v>
      </c>
      <c r="AV276" s="70">
        <f t="shared" si="54"/>
        <v>3.9745973749930492</v>
      </c>
    </row>
    <row r="277" spans="1:48" ht="15" x14ac:dyDescent="0.25">
      <c r="AQ277" s="34" t="s">
        <v>99</v>
      </c>
      <c r="AR277" s="34"/>
      <c r="AT277" s="70">
        <f>COUNT(AT216:AT254)</f>
        <v>28</v>
      </c>
      <c r="AU277" s="70">
        <f t="shared" ref="AU277:AV277" si="55">COUNT(AU216:AU254)</f>
        <v>28</v>
      </c>
      <c r="AV277" s="70">
        <f t="shared" si="55"/>
        <v>28</v>
      </c>
    </row>
    <row r="278" spans="1:48" ht="15" x14ac:dyDescent="0.25">
      <c r="AQ278" s="34" t="s">
        <v>238</v>
      </c>
      <c r="AR278" s="34"/>
      <c r="AT278" s="70">
        <f>TINV(0.02,(AT277-1))</f>
        <v>2.4726599119560069</v>
      </c>
      <c r="AU278" s="70">
        <f t="shared" ref="AU278:AV278" si="56">TINV(0.02,(AU277-1))</f>
        <v>2.4726599119560069</v>
      </c>
      <c r="AV278" s="70">
        <f t="shared" si="56"/>
        <v>2.4726599119560069</v>
      </c>
    </row>
    <row r="279" spans="1:48" ht="15" x14ac:dyDescent="0.25">
      <c r="AQ279" s="34" t="s">
        <v>44</v>
      </c>
      <c r="AR279" s="34"/>
      <c r="AT279" s="71">
        <f>AT271*AT278</f>
        <v>2.4379291976160995</v>
      </c>
      <c r="AU279" s="71">
        <f t="shared" ref="AU279:AV279" si="57">AU271*AU278</f>
        <v>192.08694607859857</v>
      </c>
      <c r="AV279" s="71">
        <f t="shared" si="57"/>
        <v>2.3965535177423671</v>
      </c>
    </row>
    <row r="280" spans="1:48" ht="15" x14ac:dyDescent="0.25">
      <c r="AQ280" s="34" t="s">
        <v>45</v>
      </c>
      <c r="AR280" s="34"/>
      <c r="AT280" s="72">
        <f>AT271*10</f>
        <v>9.8595410789329545</v>
      </c>
      <c r="AU280" s="72">
        <f t="shared" ref="AU280:AV280" si="58">AU271*10</f>
        <v>776.84337077575492</v>
      </c>
      <c r="AV280" s="72">
        <f t="shared" si="58"/>
        <v>9.6922084034054024</v>
      </c>
    </row>
    <row r="281" spans="1:48" ht="15" x14ac:dyDescent="0.25">
      <c r="AQ281" s="34" t="s">
        <v>239</v>
      </c>
      <c r="AR281" s="34"/>
      <c r="AT281" s="56" t="s">
        <v>444</v>
      </c>
      <c r="AU281" s="56" t="s">
        <v>481</v>
      </c>
      <c r="AV281" s="56" t="s">
        <v>444</v>
      </c>
    </row>
    <row r="285" spans="1:48" ht="13.2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R285" s="56"/>
    </row>
    <row r="286" spans="1:48" ht="13.2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R286" s="56"/>
    </row>
    <row r="287" spans="1:48" ht="13.2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R287" s="56"/>
    </row>
    <row r="288" spans="1:48" ht="13.2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R288" s="56"/>
    </row>
    <row r="289" spans="1:44" ht="13.2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R289" s="56"/>
    </row>
    <row r="290" spans="1:44" ht="13.2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R290" s="56"/>
    </row>
    <row r="291" spans="1:44" ht="13.2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R291" s="56"/>
    </row>
    <row r="292" spans="1:44" ht="13.2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R292" s="5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5"/>
  <sheetViews>
    <sheetView workbookViewId="0">
      <selection activeCell="E46" sqref="E46"/>
    </sheetView>
  </sheetViews>
  <sheetFormatPr defaultRowHeight="14.4" x14ac:dyDescent="0.3"/>
  <cols>
    <col min="1" max="1" width="23.5546875" customWidth="1"/>
  </cols>
  <sheetData>
    <row r="3" spans="1:5" x14ac:dyDescent="0.3">
      <c r="B3" t="s">
        <v>44</v>
      </c>
      <c r="C3" t="s">
        <v>45</v>
      </c>
      <c r="D3" t="s">
        <v>295</v>
      </c>
      <c r="E3" t="s">
        <v>299</v>
      </c>
    </row>
    <row r="5" spans="1:5" x14ac:dyDescent="0.3">
      <c r="A5" s="18">
        <v>42123</v>
      </c>
      <c r="B5">
        <v>8.2465538447769063E-2</v>
      </c>
      <c r="C5">
        <v>0.26240610801130554</v>
      </c>
      <c r="D5" t="s">
        <v>293</v>
      </c>
      <c r="E5" t="s">
        <v>300</v>
      </c>
    </row>
    <row r="6" spans="1:5" s="101" customFormat="1" x14ac:dyDescent="0.3">
      <c r="A6" s="102">
        <v>42130</v>
      </c>
      <c r="B6" s="101">
        <v>0.16570742859355495</v>
      </c>
      <c r="C6" s="101">
        <v>0.52728257432450443</v>
      </c>
      <c r="D6" s="101" t="s">
        <v>293</v>
      </c>
      <c r="E6" s="101" t="s">
        <v>300</v>
      </c>
    </row>
    <row r="7" spans="1:5" x14ac:dyDescent="0.3">
      <c r="A7" s="18">
        <v>42592</v>
      </c>
      <c r="B7">
        <v>0.61099959287167505</v>
      </c>
      <c r="C7">
        <v>1.9442063700765886</v>
      </c>
      <c r="D7" t="s">
        <v>293</v>
      </c>
      <c r="E7" t="s">
        <v>300</v>
      </c>
    </row>
    <row r="8" spans="1:5" x14ac:dyDescent="0.3">
      <c r="A8" s="6">
        <v>42929</v>
      </c>
      <c r="B8">
        <v>0.25047012419281217</v>
      </c>
      <c r="C8">
        <v>0.88773926929659819</v>
      </c>
      <c r="D8" t="s">
        <v>293</v>
      </c>
      <c r="E8" t="s">
        <v>300</v>
      </c>
    </row>
    <row r="9" spans="1:5" x14ac:dyDescent="0.3">
      <c r="A9" s="18">
        <v>43327</v>
      </c>
      <c r="B9">
        <v>1.4228917691331124</v>
      </c>
      <c r="C9">
        <v>4.5276548032973158</v>
      </c>
      <c r="D9" t="s">
        <v>293</v>
      </c>
      <c r="E9" t="s">
        <v>300</v>
      </c>
    </row>
    <row r="10" spans="1:5" x14ac:dyDescent="0.3">
      <c r="A10" s="18">
        <v>43601</v>
      </c>
      <c r="B10">
        <v>0.27852424170360435</v>
      </c>
      <c r="C10">
        <v>0.88626671974661886</v>
      </c>
      <c r="D10" t="s">
        <v>293</v>
      </c>
      <c r="E10" t="s">
        <v>301</v>
      </c>
    </row>
    <row r="11" spans="1:5" x14ac:dyDescent="0.3">
      <c r="A11" s="18">
        <v>43642</v>
      </c>
      <c r="B11">
        <v>1.5722436362178027</v>
      </c>
      <c r="C11">
        <v>5.0028938292419234</v>
      </c>
      <c r="D11" s="101" t="s">
        <v>293</v>
      </c>
      <c r="E11" t="s">
        <v>301</v>
      </c>
    </row>
    <row r="12" spans="1:5" s="101" customFormat="1" x14ac:dyDescent="0.3">
      <c r="A12" s="102">
        <v>44595</v>
      </c>
      <c r="B12" s="101">
        <v>0.79578909293114264</v>
      </c>
      <c r="C12" s="101">
        <v>2.5322082727461708</v>
      </c>
      <c r="D12" s="101" t="s">
        <v>293</v>
      </c>
      <c r="E12" s="101" t="s">
        <v>301</v>
      </c>
    </row>
    <row r="13" spans="1:5" x14ac:dyDescent="0.3">
      <c r="A13" s="18" t="s">
        <v>297</v>
      </c>
      <c r="B13">
        <v>0.99346200941018481</v>
      </c>
      <c r="C13">
        <v>4.1699249069567106</v>
      </c>
      <c r="D13" t="s">
        <v>294</v>
      </c>
      <c r="E13" t="s">
        <v>300</v>
      </c>
    </row>
    <row r="14" spans="1:5" x14ac:dyDescent="0.3">
      <c r="A14" s="18" t="s">
        <v>296</v>
      </c>
      <c r="B14">
        <v>0.83896199079988265</v>
      </c>
      <c r="C14">
        <v>3.549714073934267</v>
      </c>
      <c r="D14" t="s">
        <v>294</v>
      </c>
      <c r="E14" t="s">
        <v>300</v>
      </c>
    </row>
    <row r="15" spans="1:5" s="101" customFormat="1" x14ac:dyDescent="0.3">
      <c r="A15" s="102" t="s">
        <v>341</v>
      </c>
      <c r="B15" s="101">
        <v>0.89798195798745162</v>
      </c>
      <c r="C15" s="101">
        <v>2.8573869169495913</v>
      </c>
      <c r="D15" s="101" t="s">
        <v>294</v>
      </c>
      <c r="E15" s="101" t="s">
        <v>300</v>
      </c>
    </row>
    <row r="16" spans="1:5" x14ac:dyDescent="0.3">
      <c r="A16" s="18" t="s">
        <v>298</v>
      </c>
      <c r="B16">
        <v>2.1476876586275635</v>
      </c>
      <c r="C16">
        <v>8.8329595705714983</v>
      </c>
      <c r="D16" t="s">
        <v>294</v>
      </c>
      <c r="E16" t="s">
        <v>301</v>
      </c>
    </row>
    <row r="17" spans="1:7" x14ac:dyDescent="0.3">
      <c r="A17" t="s">
        <v>303</v>
      </c>
      <c r="B17">
        <v>2.5243917150889703</v>
      </c>
      <c r="C17">
        <v>10.551811915356559</v>
      </c>
      <c r="D17" t="s">
        <v>294</v>
      </c>
      <c r="E17" t="s">
        <v>301</v>
      </c>
    </row>
    <row r="18" spans="1:7" x14ac:dyDescent="0.3">
      <c r="A18" t="s">
        <v>302</v>
      </c>
      <c r="B18">
        <v>4.1797097636375744</v>
      </c>
      <c r="C18">
        <v>17.57271943940227</v>
      </c>
      <c r="D18" t="s">
        <v>294</v>
      </c>
      <c r="E18" t="s">
        <v>301</v>
      </c>
    </row>
    <row r="23" spans="1:7" x14ac:dyDescent="0.3">
      <c r="A23" s="101" t="s">
        <v>99</v>
      </c>
      <c r="B23" s="101">
        <f>COUNT(B5:B22)</f>
        <v>14</v>
      </c>
      <c r="C23" s="101">
        <f>COUNT(C5:C22)</f>
        <v>14</v>
      </c>
    </row>
    <row r="24" spans="1:7" x14ac:dyDescent="0.3">
      <c r="A24" s="101" t="s">
        <v>40</v>
      </c>
      <c r="B24" s="101">
        <f>AVERAGE(B5:B22)</f>
        <v>1.1972347514030786</v>
      </c>
      <c r="C24" s="101">
        <f>AVERAGE(C5:C22)</f>
        <v>4.5789410549937086</v>
      </c>
      <c r="G24" s="101"/>
    </row>
    <row r="25" spans="1:7" x14ac:dyDescent="0.3">
      <c r="A25" s="101" t="s">
        <v>41</v>
      </c>
      <c r="B25" s="101">
        <f>STDEV(B5:B22)</f>
        <v>1.1287444616584708</v>
      </c>
      <c r="C25" s="101">
        <f>STDEV(C5:C22)</f>
        <v>4.8072302958416318</v>
      </c>
    </row>
    <row r="26" spans="1:7" x14ac:dyDescent="0.3">
      <c r="A26" s="101" t="s">
        <v>92</v>
      </c>
      <c r="B26" s="101">
        <f>100*B25/B24</f>
        <v>94.279293207590086</v>
      </c>
      <c r="C26" s="101">
        <f>100*C25/C24</f>
        <v>104.98563397314221</v>
      </c>
    </row>
    <row r="27" spans="1:7" x14ac:dyDescent="0.3">
      <c r="A27" s="101"/>
      <c r="B27" s="101"/>
      <c r="C27" s="101"/>
    </row>
    <row r="28" spans="1:7" x14ac:dyDescent="0.3">
      <c r="A28" s="101" t="s">
        <v>365</v>
      </c>
      <c r="B28" s="101"/>
      <c r="C28" s="101"/>
    </row>
    <row r="29" spans="1:7" x14ac:dyDescent="0.3">
      <c r="A29" s="101" t="s">
        <v>99</v>
      </c>
      <c r="B29" s="101">
        <f>COUNT(B5:B12)</f>
        <v>8</v>
      </c>
      <c r="C29" s="101">
        <f>COUNT(C5:C12)</f>
        <v>8</v>
      </c>
    </row>
    <row r="30" spans="1:7" x14ac:dyDescent="0.3">
      <c r="A30" s="101" t="s">
        <v>40</v>
      </c>
      <c r="B30" s="101">
        <f>AVERAGE(B5:B12)</f>
        <v>0.6473864280114342</v>
      </c>
      <c r="C30" s="101">
        <f>AVERAGE(C5:C12)</f>
        <v>2.0713322433426282</v>
      </c>
    </row>
    <row r="31" spans="1:7" x14ac:dyDescent="0.3">
      <c r="A31" s="101" t="s">
        <v>41</v>
      </c>
      <c r="B31" s="101">
        <f>STDEV(B5:B12)</f>
        <v>0.57630211286848099</v>
      </c>
      <c r="C31" s="101">
        <f>STDEV(C5:C12)</f>
        <v>1.825130810165275</v>
      </c>
    </row>
    <row r="32" spans="1:7" x14ac:dyDescent="0.3">
      <c r="A32" s="101" t="s">
        <v>92</v>
      </c>
      <c r="B32" s="101">
        <f>100*B31/B30</f>
        <v>89.019801455940055</v>
      </c>
      <c r="C32" s="101">
        <f>100*C31/C30</f>
        <v>88.113860827076024</v>
      </c>
    </row>
    <row r="33" spans="1:3" x14ac:dyDescent="0.3">
      <c r="A33" s="102" t="s">
        <v>366</v>
      </c>
      <c r="B33" s="13">
        <f>_xlfn.CONFIDENCE.NORM(0.05,B31,B29)</f>
        <v>0.39934965110261361</v>
      </c>
      <c r="C33" s="13">
        <f>_xlfn.CONFIDENCE.NORM(0.05,C31,C29)</f>
        <v>1.2647278848732397</v>
      </c>
    </row>
    <row r="34" spans="1:3" x14ac:dyDescent="0.3">
      <c r="A34" s="102" t="s">
        <v>367</v>
      </c>
      <c r="B34" s="13">
        <f>B30-B33</f>
        <v>0.24803677690882059</v>
      </c>
      <c r="C34" s="13">
        <f>C30-C33</f>
        <v>0.80660435846938849</v>
      </c>
    </row>
    <row r="35" spans="1:3" x14ac:dyDescent="0.3">
      <c r="A35" s="102" t="s">
        <v>368</v>
      </c>
      <c r="B35" s="13">
        <f>B30+B33</f>
        <v>1.0467360791140479</v>
      </c>
      <c r="C35" s="13">
        <f>C30+C33</f>
        <v>3.3360601282158679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5"/>
  <sheetViews>
    <sheetView workbookViewId="0">
      <selection activeCell="H43" sqref="H43"/>
    </sheetView>
  </sheetViews>
  <sheetFormatPr defaultRowHeight="14.4" x14ac:dyDescent="0.3"/>
  <cols>
    <col min="1" max="1" width="12.21875" customWidth="1"/>
  </cols>
  <sheetData>
    <row r="3" spans="1:5" x14ac:dyDescent="0.3">
      <c r="B3" t="s">
        <v>44</v>
      </c>
      <c r="C3" t="s">
        <v>45</v>
      </c>
      <c r="D3" t="s">
        <v>295</v>
      </c>
      <c r="E3" t="s">
        <v>299</v>
      </c>
    </row>
    <row r="5" spans="1:5" x14ac:dyDescent="0.3">
      <c r="A5" s="18">
        <v>42123</v>
      </c>
      <c r="B5">
        <v>32.387354888507979</v>
      </c>
      <c r="C5">
        <v>103.05686357043633</v>
      </c>
      <c r="D5" t="s">
        <v>293</v>
      </c>
      <c r="E5" t="s">
        <v>300</v>
      </c>
    </row>
    <row r="6" spans="1:5" s="101" customFormat="1" x14ac:dyDescent="0.3">
      <c r="A6" s="102">
        <v>42130</v>
      </c>
      <c r="B6" s="101">
        <v>53.581968176482995</v>
      </c>
      <c r="C6" s="101">
        <v>170.498319582086</v>
      </c>
      <c r="D6" s="101" t="s">
        <v>293</v>
      </c>
      <c r="E6" s="101" t="s">
        <v>300</v>
      </c>
    </row>
    <row r="7" spans="1:5" x14ac:dyDescent="0.3">
      <c r="A7" s="18">
        <v>42592</v>
      </c>
      <c r="B7">
        <v>159.8463448237238</v>
      </c>
      <c r="C7">
        <v>508.63255142137712</v>
      </c>
      <c r="D7" t="s">
        <v>293</v>
      </c>
      <c r="E7" t="s">
        <v>300</v>
      </c>
    </row>
    <row r="8" spans="1:5" x14ac:dyDescent="0.3">
      <c r="A8" s="6">
        <v>42929</v>
      </c>
      <c r="B8">
        <v>62.10128985167303</v>
      </c>
      <c r="C8">
        <v>220.10510775673001</v>
      </c>
      <c r="D8" t="s">
        <v>293</v>
      </c>
      <c r="E8" t="s">
        <v>300</v>
      </c>
    </row>
    <row r="9" spans="1:5" x14ac:dyDescent="0.3">
      <c r="A9" s="18">
        <v>43327</v>
      </c>
      <c r="B9">
        <v>305.39441855843387</v>
      </c>
      <c r="C9">
        <v>971.76787165526832</v>
      </c>
      <c r="D9" t="s">
        <v>293</v>
      </c>
      <c r="E9" t="s">
        <v>300</v>
      </c>
    </row>
    <row r="10" spans="1:5" x14ac:dyDescent="0.3">
      <c r="A10" s="18">
        <v>43601</v>
      </c>
      <c r="B10">
        <v>113.14731203699921</v>
      </c>
      <c r="C10">
        <v>360.03579607225515</v>
      </c>
      <c r="D10" t="s">
        <v>293</v>
      </c>
      <c r="E10" t="s">
        <v>301</v>
      </c>
    </row>
    <row r="11" spans="1:5" x14ac:dyDescent="0.3">
      <c r="A11" s="18">
        <v>43642</v>
      </c>
      <c r="B11">
        <v>134.13921986904737</v>
      </c>
      <c r="C11">
        <v>426.83224144353755</v>
      </c>
      <c r="D11" t="s">
        <v>293</v>
      </c>
      <c r="E11" t="s">
        <v>301</v>
      </c>
    </row>
    <row r="12" spans="1:5" s="101" customFormat="1" x14ac:dyDescent="0.3">
      <c r="A12" s="102">
        <v>44595</v>
      </c>
      <c r="B12" s="101">
        <v>189.59359325416827</v>
      </c>
      <c r="C12" s="101">
        <v>603.28857176158647</v>
      </c>
      <c r="D12" s="101" t="s">
        <v>293</v>
      </c>
      <c r="E12" s="101" t="s">
        <v>301</v>
      </c>
    </row>
    <row r="13" spans="1:5" x14ac:dyDescent="0.3">
      <c r="A13" s="18" t="s">
        <v>297</v>
      </c>
      <c r="B13">
        <v>111.89906219204632</v>
      </c>
      <c r="C13">
        <v>469.68145946188429</v>
      </c>
      <c r="D13" t="s">
        <v>294</v>
      </c>
      <c r="E13" t="s">
        <v>300</v>
      </c>
    </row>
    <row r="14" spans="1:5" x14ac:dyDescent="0.3">
      <c r="A14" s="18" t="s">
        <v>296</v>
      </c>
      <c r="B14">
        <v>319.76001644913305</v>
      </c>
      <c r="C14">
        <v>1352.7161965914311</v>
      </c>
      <c r="D14" t="s">
        <v>294</v>
      </c>
      <c r="E14" t="s">
        <v>300</v>
      </c>
    </row>
    <row r="15" spans="1:5" s="101" customFormat="1" x14ac:dyDescent="0.3">
      <c r="A15" s="102" t="s">
        <v>341</v>
      </c>
      <c r="B15" s="101">
        <v>549.88058893226298</v>
      </c>
      <c r="C15" s="101">
        <v>1749.7251328088942</v>
      </c>
      <c r="D15" s="101" t="s">
        <v>294</v>
      </c>
      <c r="E15" s="101" t="s">
        <v>300</v>
      </c>
    </row>
    <row r="16" spans="1:5" x14ac:dyDescent="0.3">
      <c r="A16" s="18" t="s">
        <v>298</v>
      </c>
      <c r="B16">
        <v>202.75350593160329</v>
      </c>
      <c r="C16">
        <v>833.8798770347862</v>
      </c>
      <c r="D16" t="s">
        <v>294</v>
      </c>
      <c r="E16" t="s">
        <v>301</v>
      </c>
    </row>
    <row r="17" spans="1:7" x14ac:dyDescent="0.3">
      <c r="A17" t="s">
        <v>303</v>
      </c>
      <c r="B17">
        <v>246.62131833437789</v>
      </c>
      <c r="C17">
        <v>1030.8629004868667</v>
      </c>
      <c r="D17" t="s">
        <v>294</v>
      </c>
      <c r="E17" t="s">
        <v>301</v>
      </c>
    </row>
    <row r="18" spans="1:7" x14ac:dyDescent="0.3">
      <c r="A18" t="s">
        <v>302</v>
      </c>
      <c r="B18">
        <v>229.43069791702095</v>
      </c>
      <c r="C18">
        <v>964.59359938267187</v>
      </c>
      <c r="D18" t="s">
        <v>294</v>
      </c>
      <c r="E18" t="s">
        <v>301</v>
      </c>
    </row>
    <row r="22" spans="1:7" x14ac:dyDescent="0.3">
      <c r="F22" s="101"/>
      <c r="G22" s="101"/>
    </row>
    <row r="23" spans="1:7" x14ac:dyDescent="0.3">
      <c r="A23" t="s">
        <v>99</v>
      </c>
      <c r="B23">
        <f>COUNT(B5:B22)</f>
        <v>14</v>
      </c>
      <c r="C23">
        <f>COUNT(C5:C22)</f>
        <v>14</v>
      </c>
      <c r="F23" s="101"/>
      <c r="G23" s="101"/>
    </row>
    <row r="24" spans="1:7" x14ac:dyDescent="0.3">
      <c r="A24" t="s">
        <v>40</v>
      </c>
      <c r="B24">
        <f>AVERAGE(B5:B22)</f>
        <v>193.60976365824862</v>
      </c>
      <c r="C24">
        <f>AVERAGE(C5:C22)</f>
        <v>697.54832064498646</v>
      </c>
      <c r="F24" s="101"/>
      <c r="G24" s="101"/>
    </row>
    <row r="25" spans="1:7" x14ac:dyDescent="0.3">
      <c r="A25" t="s">
        <v>41</v>
      </c>
      <c r="B25">
        <f>STDEV(B5:B22)</f>
        <v>135.94517683597178</v>
      </c>
      <c r="C25" s="101">
        <f>STDEV(C5:C22)</f>
        <v>476.79769352814623</v>
      </c>
    </row>
    <row r="26" spans="1:7" x14ac:dyDescent="0.3">
      <c r="A26" t="s">
        <v>92</v>
      </c>
      <c r="B26">
        <f>100*B25/B24</f>
        <v>70.216074988829689</v>
      </c>
      <c r="C26" s="101">
        <f>100*C25/C24</f>
        <v>68.353356952716382</v>
      </c>
    </row>
    <row r="28" spans="1:7" x14ac:dyDescent="0.3">
      <c r="A28" s="101" t="s">
        <v>365</v>
      </c>
      <c r="B28" s="101"/>
      <c r="C28" s="101"/>
    </row>
    <row r="29" spans="1:7" x14ac:dyDescent="0.3">
      <c r="A29" s="101" t="s">
        <v>99</v>
      </c>
      <c r="B29" s="101">
        <f>COUNT(B5:B12)</f>
        <v>8</v>
      </c>
      <c r="C29" s="101">
        <f>COUNT(C5:C12)</f>
        <v>8</v>
      </c>
    </row>
    <row r="30" spans="1:7" x14ac:dyDescent="0.3">
      <c r="A30" s="101" t="s">
        <v>40</v>
      </c>
      <c r="B30" s="101">
        <f>AVERAGE(B5:B12)</f>
        <v>131.27393768237957</v>
      </c>
      <c r="C30" s="101">
        <f>AVERAGE(C5:C12)</f>
        <v>420.52716540790959</v>
      </c>
    </row>
    <row r="31" spans="1:7" x14ac:dyDescent="0.3">
      <c r="A31" s="101" t="s">
        <v>41</v>
      </c>
      <c r="B31" s="101">
        <f>STDEV(B5:B12)</f>
        <v>89.019856954930077</v>
      </c>
      <c r="C31" s="101">
        <f>STDEV(C5:C12)</f>
        <v>280.86610540455627</v>
      </c>
    </row>
    <row r="32" spans="1:7" x14ac:dyDescent="0.3">
      <c r="A32" s="101" t="s">
        <v>92</v>
      </c>
      <c r="B32" s="101">
        <f>100*B31/B30</f>
        <v>67.812285154663186</v>
      </c>
      <c r="C32" s="101">
        <f>100*C31/C30</f>
        <v>66.789051578182182</v>
      </c>
    </row>
    <row r="33" spans="1:3" x14ac:dyDescent="0.3">
      <c r="A33" s="102" t="s">
        <v>366</v>
      </c>
      <c r="B33" s="13">
        <f>_xlfn.CONFIDENCE.NORM(0.05,B31,B29)</f>
        <v>61.686480098449408</v>
      </c>
      <c r="C33" s="13">
        <f>_xlfn.CONFIDENCE.NORM(0.05,C31,C29)</f>
        <v>194.62670480518705</v>
      </c>
    </row>
    <row r="34" spans="1:3" x14ac:dyDescent="0.3">
      <c r="A34" s="102" t="s">
        <v>367</v>
      </c>
      <c r="B34" s="13">
        <f>B30-B33</f>
        <v>69.58745758393016</v>
      </c>
      <c r="C34" s="13">
        <f>C30-C33</f>
        <v>225.90046060272255</v>
      </c>
    </row>
    <row r="35" spans="1:3" x14ac:dyDescent="0.3">
      <c r="A35" s="102" t="s">
        <v>368</v>
      </c>
      <c r="B35" s="13">
        <f>B30+B33</f>
        <v>192.96041778082898</v>
      </c>
      <c r="C35" s="13">
        <f>C30+C33</f>
        <v>615.15387021309664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8"/>
  <sheetViews>
    <sheetView topLeftCell="O22" workbookViewId="0">
      <selection activeCell="Z57" sqref="Z57:Z58"/>
    </sheetView>
  </sheetViews>
  <sheetFormatPr defaultRowHeight="14.4" x14ac:dyDescent="0.3"/>
  <cols>
    <col min="1" max="1" width="9.77734375" bestFit="1" customWidth="1"/>
    <col min="2" max="2" width="9.77734375" customWidth="1"/>
    <col min="3" max="4" width="9.77734375" style="13" customWidth="1"/>
    <col min="5" max="5" width="23.77734375" customWidth="1"/>
    <col min="6" max="6" width="14.5546875" customWidth="1"/>
    <col min="7" max="7" width="10.77734375" customWidth="1"/>
    <col min="8" max="8" width="12.21875" bestFit="1" customWidth="1"/>
    <col min="10" max="10" width="11.5546875" bestFit="1" customWidth="1"/>
    <col min="13" max="14" width="12" style="9" bestFit="1" customWidth="1"/>
    <col min="15" max="16" width="12" bestFit="1" customWidth="1"/>
    <col min="17" max="18" width="12" customWidth="1"/>
    <col min="19" max="19" width="12" bestFit="1" customWidth="1"/>
    <col min="21" max="21" width="12" style="17" bestFit="1" customWidth="1"/>
    <col min="22" max="22" width="8.77734375" style="17"/>
    <col min="25" max="25" width="11.5546875" bestFit="1" customWidth="1"/>
    <col min="26" max="26" width="9.5546875" bestFit="1" customWidth="1"/>
  </cols>
  <sheetData>
    <row r="1" spans="1:26" x14ac:dyDescent="0.3">
      <c r="A1" s="18" t="s">
        <v>254</v>
      </c>
      <c r="B1" s="18"/>
    </row>
    <row r="2" spans="1:26" s="1" customFormat="1" ht="115.2" x14ac:dyDescent="0.3">
      <c r="A2" s="1" t="s">
        <v>0</v>
      </c>
      <c r="B2" s="1" t="s">
        <v>62</v>
      </c>
      <c r="C2" s="2" t="s">
        <v>1</v>
      </c>
      <c r="D2" s="2" t="s">
        <v>63</v>
      </c>
      <c r="E2" s="1" t="s">
        <v>2</v>
      </c>
      <c r="F2" s="1" t="s">
        <v>64</v>
      </c>
      <c r="G2" s="1" t="s">
        <v>65</v>
      </c>
      <c r="H2" s="1" t="s">
        <v>66</v>
      </c>
      <c r="I2" s="1" t="s">
        <v>255</v>
      </c>
      <c r="J2" s="1" t="s">
        <v>69</v>
      </c>
      <c r="K2" s="1" t="s">
        <v>70</v>
      </c>
      <c r="L2" s="7" t="s">
        <v>71</v>
      </c>
      <c r="M2" s="1" t="s">
        <v>3</v>
      </c>
      <c r="N2" s="1" t="s">
        <v>72</v>
      </c>
      <c r="O2" s="3" t="s">
        <v>4</v>
      </c>
      <c r="P2" s="3" t="s">
        <v>73</v>
      </c>
      <c r="Q2" s="1" t="s">
        <v>256</v>
      </c>
      <c r="R2" s="1" t="s">
        <v>257</v>
      </c>
      <c r="S2" s="1" t="s">
        <v>258</v>
      </c>
      <c r="T2" s="1" t="s">
        <v>259</v>
      </c>
      <c r="U2" s="1" t="s">
        <v>260</v>
      </c>
      <c r="V2" s="1" t="s">
        <v>261</v>
      </c>
      <c r="W2" s="91" t="s">
        <v>262</v>
      </c>
      <c r="X2" s="91" t="s">
        <v>263</v>
      </c>
      <c r="Y2" s="92" t="s">
        <v>264</v>
      </c>
      <c r="Z2" s="1" t="s">
        <v>265</v>
      </c>
    </row>
    <row r="3" spans="1:26" s="1" customFormat="1" x14ac:dyDescent="0.3">
      <c r="A3" s="6">
        <v>42116</v>
      </c>
      <c r="B3" s="6"/>
      <c r="C3" s="2">
        <v>24.2</v>
      </c>
      <c r="D3" s="2">
        <v>29.83</v>
      </c>
      <c r="E3" s="1" t="s">
        <v>266</v>
      </c>
      <c r="F3" t="s">
        <v>267</v>
      </c>
      <c r="G3" s="1">
        <v>5</v>
      </c>
      <c r="H3" s="1">
        <v>779</v>
      </c>
      <c r="I3" s="1">
        <v>35</v>
      </c>
      <c r="J3" s="1">
        <v>4.37</v>
      </c>
      <c r="M3" s="2">
        <f t="shared" ref="M3:M9" si="0">C3</f>
        <v>24.2</v>
      </c>
      <c r="N3" s="8">
        <v>1</v>
      </c>
      <c r="O3" s="9">
        <f t="shared" ref="O3:O9" si="1">(N3*(G3/1000000))/(0.08205*(M3+273.15))</f>
        <v>2.0493846363986906E-7</v>
      </c>
      <c r="P3" s="9">
        <f t="shared" ref="P3:P9" si="2">(N3*0.001)/(0.08205*(M3+273.15))</f>
        <v>4.0987692727973805E-5</v>
      </c>
      <c r="Q3">
        <f t="shared" ref="Q3:Q9" si="3">O3*(0.04)</f>
        <v>8.197538545594763E-9</v>
      </c>
      <c r="R3">
        <f t="shared" ref="R3:R9" si="4">O3*(0.05)</f>
        <v>1.0246923181993454E-8</v>
      </c>
      <c r="S3">
        <f t="shared" ref="S3:S9" si="5">Q3*16*1000000</f>
        <v>0.13116061672951621</v>
      </c>
      <c r="T3">
        <f t="shared" ref="T3:T9" si="6">R3*44*1000000</f>
        <v>0.45086462000771194</v>
      </c>
      <c r="U3">
        <f t="shared" ref="U3:U9" si="7">(1000000*Q3/P3)</f>
        <v>200.00000000000006</v>
      </c>
      <c r="V3">
        <f t="shared" ref="V3:V9" si="8">(1000000*R3/P3)</f>
        <v>250.00000000000006</v>
      </c>
      <c r="W3" s="17">
        <f>(Q3*12*1000000*1000)</f>
        <v>98.370462547137166</v>
      </c>
      <c r="X3" s="17">
        <f t="shared" ref="W3:X9" si="9">(R3*12*1000000*1000)</f>
        <v>122.96307818392144</v>
      </c>
      <c r="Y3">
        <f>IF(H3&lt;601, ((-0.0003*H3^2)+(0.2671*H3)+0.4766), (IF(H3&lt;19001,((0.1503*H3)+59.75),((0.000005*H3^2)-(0.0565*H3)+2184))))</f>
        <v>176.83369999999999</v>
      </c>
      <c r="Z3" s="16">
        <f>(0.0518*J3^2)+(27.217*J3)+116.22</f>
        <v>236.14750942000001</v>
      </c>
    </row>
    <row r="4" spans="1:26" s="1" customFormat="1" x14ac:dyDescent="0.3">
      <c r="A4" s="6">
        <v>42116</v>
      </c>
      <c r="B4" s="6"/>
      <c r="C4" s="2">
        <v>24.2</v>
      </c>
      <c r="D4" s="2">
        <v>29.83</v>
      </c>
      <c r="E4" s="1" t="s">
        <v>266</v>
      </c>
      <c r="F4" t="s">
        <v>267</v>
      </c>
      <c r="G4" s="1">
        <v>5</v>
      </c>
      <c r="H4" s="1">
        <v>703</v>
      </c>
      <c r="I4" s="1">
        <v>35</v>
      </c>
      <c r="J4" s="1">
        <v>4.76</v>
      </c>
      <c r="M4" s="2">
        <f t="shared" si="0"/>
        <v>24.2</v>
      </c>
      <c r="N4" s="8">
        <v>1</v>
      </c>
      <c r="O4" s="9">
        <f t="shared" si="1"/>
        <v>2.0493846363986906E-7</v>
      </c>
      <c r="P4" s="9">
        <f t="shared" si="2"/>
        <v>4.0987692727973805E-5</v>
      </c>
      <c r="Q4">
        <f t="shared" si="3"/>
        <v>8.197538545594763E-9</v>
      </c>
      <c r="R4">
        <f t="shared" si="4"/>
        <v>1.0246923181993454E-8</v>
      </c>
      <c r="S4">
        <f t="shared" si="5"/>
        <v>0.13116061672951621</v>
      </c>
      <c r="T4">
        <f t="shared" si="6"/>
        <v>0.45086462000771194</v>
      </c>
      <c r="U4">
        <f t="shared" si="7"/>
        <v>200.00000000000006</v>
      </c>
      <c r="V4">
        <f t="shared" si="8"/>
        <v>250.00000000000006</v>
      </c>
      <c r="W4" s="17">
        <f t="shared" si="9"/>
        <v>98.370462547137166</v>
      </c>
      <c r="X4" s="17">
        <f t="shared" si="9"/>
        <v>122.96307818392144</v>
      </c>
      <c r="Y4">
        <f t="shared" ref="Y4:Y9" si="10">IF(H4&lt;601, ((-0.0003*H4^2)+(0.2671*H4)+0.4766), (IF(H4&lt;19001,((0.1503*H4)+59.75),((0.000005*H4^2)-(0.0565*H4)+2184))))</f>
        <v>165.4109</v>
      </c>
      <c r="Z4" s="16">
        <f t="shared" ref="Z4:Z9" si="11">(0.0518*J4^2)+(27.217*J4)+116.22</f>
        <v>246.94658368</v>
      </c>
    </row>
    <row r="5" spans="1:26" s="1" customFormat="1" x14ac:dyDescent="0.3">
      <c r="A5" s="6">
        <v>42116</v>
      </c>
      <c r="B5" s="6"/>
      <c r="C5" s="2">
        <v>24.2</v>
      </c>
      <c r="D5" s="2">
        <v>29.83</v>
      </c>
      <c r="E5" s="1" t="s">
        <v>266</v>
      </c>
      <c r="F5" t="s">
        <v>267</v>
      </c>
      <c r="G5" s="1">
        <v>5</v>
      </c>
      <c r="H5" s="1">
        <v>719</v>
      </c>
      <c r="I5" s="1">
        <v>38</v>
      </c>
      <c r="J5" s="1">
        <v>4.47</v>
      </c>
      <c r="M5" s="2">
        <f t="shared" si="0"/>
        <v>24.2</v>
      </c>
      <c r="N5" s="8">
        <v>1</v>
      </c>
      <c r="O5" s="9">
        <f t="shared" si="1"/>
        <v>2.0493846363986906E-7</v>
      </c>
      <c r="P5" s="9">
        <f t="shared" si="2"/>
        <v>4.0987692727973805E-5</v>
      </c>
      <c r="Q5">
        <f t="shared" si="3"/>
        <v>8.197538545594763E-9</v>
      </c>
      <c r="R5">
        <f t="shared" si="4"/>
        <v>1.0246923181993454E-8</v>
      </c>
      <c r="S5">
        <f t="shared" si="5"/>
        <v>0.13116061672951621</v>
      </c>
      <c r="T5">
        <f t="shared" si="6"/>
        <v>0.45086462000771194</v>
      </c>
      <c r="U5">
        <f t="shared" si="7"/>
        <v>200.00000000000006</v>
      </c>
      <c r="V5">
        <f t="shared" si="8"/>
        <v>250.00000000000006</v>
      </c>
      <c r="W5" s="17">
        <f t="shared" si="9"/>
        <v>98.370462547137166</v>
      </c>
      <c r="X5" s="17">
        <f t="shared" si="9"/>
        <v>122.96307818392144</v>
      </c>
      <c r="Y5">
        <f t="shared" si="10"/>
        <v>167.81569999999999</v>
      </c>
      <c r="Z5" s="16">
        <f t="shared" si="11"/>
        <v>238.91500062</v>
      </c>
    </row>
    <row r="6" spans="1:26" s="1" customFormat="1" x14ac:dyDescent="0.3">
      <c r="A6" s="6">
        <v>42116</v>
      </c>
      <c r="B6" s="6"/>
      <c r="C6" s="2">
        <v>24.2</v>
      </c>
      <c r="D6" s="2">
        <v>29.83</v>
      </c>
      <c r="E6" s="1" t="s">
        <v>266</v>
      </c>
      <c r="F6" t="s">
        <v>267</v>
      </c>
      <c r="G6" s="1">
        <v>5</v>
      </c>
      <c r="H6" s="1">
        <v>754</v>
      </c>
      <c r="I6" s="1">
        <v>35</v>
      </c>
      <c r="J6" s="1">
        <v>5.19</v>
      </c>
      <c r="M6" s="2">
        <f t="shared" si="0"/>
        <v>24.2</v>
      </c>
      <c r="N6" s="8">
        <v>1</v>
      </c>
      <c r="O6" s="9">
        <f t="shared" si="1"/>
        <v>2.0493846363986906E-7</v>
      </c>
      <c r="P6" s="9">
        <f t="shared" si="2"/>
        <v>4.0987692727973805E-5</v>
      </c>
      <c r="Q6">
        <f t="shared" si="3"/>
        <v>8.197538545594763E-9</v>
      </c>
      <c r="R6">
        <f t="shared" si="4"/>
        <v>1.0246923181993454E-8</v>
      </c>
      <c r="S6">
        <f t="shared" si="5"/>
        <v>0.13116061672951621</v>
      </c>
      <c r="T6">
        <f t="shared" si="6"/>
        <v>0.45086462000771194</v>
      </c>
      <c r="U6">
        <f t="shared" si="7"/>
        <v>200.00000000000006</v>
      </c>
      <c r="V6">
        <f t="shared" si="8"/>
        <v>250.00000000000006</v>
      </c>
      <c r="W6" s="17">
        <f t="shared" si="9"/>
        <v>98.370462547137166</v>
      </c>
      <c r="X6" s="17">
        <f t="shared" si="9"/>
        <v>122.96307818392144</v>
      </c>
      <c r="Y6">
        <f t="shared" si="10"/>
        <v>173.07619999999997</v>
      </c>
      <c r="Z6" s="16">
        <f t="shared" si="11"/>
        <v>258.87151998000002</v>
      </c>
    </row>
    <row r="7" spans="1:26" s="1" customFormat="1" x14ac:dyDescent="0.3">
      <c r="A7" s="6">
        <v>42116</v>
      </c>
      <c r="B7" s="6"/>
      <c r="C7" s="2">
        <v>24.2</v>
      </c>
      <c r="D7" s="2">
        <v>29.83</v>
      </c>
      <c r="E7" s="1" t="s">
        <v>266</v>
      </c>
      <c r="F7" t="s">
        <v>267</v>
      </c>
      <c r="G7" s="1">
        <v>5</v>
      </c>
      <c r="H7" s="1">
        <v>749</v>
      </c>
      <c r="I7" s="1">
        <v>36</v>
      </c>
      <c r="J7" s="1">
        <v>5.31</v>
      </c>
      <c r="M7" s="2">
        <f t="shared" si="0"/>
        <v>24.2</v>
      </c>
      <c r="N7" s="8">
        <v>1</v>
      </c>
      <c r="O7" s="9">
        <f t="shared" si="1"/>
        <v>2.0493846363986906E-7</v>
      </c>
      <c r="P7" s="9">
        <f t="shared" si="2"/>
        <v>4.0987692727973805E-5</v>
      </c>
      <c r="Q7">
        <f t="shared" si="3"/>
        <v>8.197538545594763E-9</v>
      </c>
      <c r="R7">
        <f t="shared" si="4"/>
        <v>1.0246923181993454E-8</v>
      </c>
      <c r="S7">
        <f t="shared" si="5"/>
        <v>0.13116061672951621</v>
      </c>
      <c r="T7">
        <f t="shared" si="6"/>
        <v>0.45086462000771194</v>
      </c>
      <c r="U7">
        <f t="shared" si="7"/>
        <v>200.00000000000006</v>
      </c>
      <c r="V7">
        <f t="shared" si="8"/>
        <v>250.00000000000006</v>
      </c>
      <c r="W7" s="17">
        <f t="shared" si="9"/>
        <v>98.370462547137166</v>
      </c>
      <c r="X7" s="17">
        <f t="shared" si="9"/>
        <v>122.96307818392144</v>
      </c>
      <c r="Y7">
        <f t="shared" si="10"/>
        <v>172.32470000000001</v>
      </c>
      <c r="Z7" s="16">
        <f t="shared" si="11"/>
        <v>262.20282798</v>
      </c>
    </row>
    <row r="8" spans="1:26" s="1" customFormat="1" x14ac:dyDescent="0.3">
      <c r="A8" s="6">
        <v>42116</v>
      </c>
      <c r="B8" s="6"/>
      <c r="C8" s="2">
        <v>24.2</v>
      </c>
      <c r="D8" s="2">
        <v>29.83</v>
      </c>
      <c r="E8" s="1" t="s">
        <v>266</v>
      </c>
      <c r="F8" t="s">
        <v>267</v>
      </c>
      <c r="G8" s="1">
        <v>5</v>
      </c>
      <c r="H8" s="1">
        <v>770</v>
      </c>
      <c r="I8" s="1">
        <v>36</v>
      </c>
      <c r="J8" s="1">
        <v>4.82</v>
      </c>
      <c r="M8" s="2">
        <f t="shared" si="0"/>
        <v>24.2</v>
      </c>
      <c r="N8" s="8">
        <v>1</v>
      </c>
      <c r="O8" s="9">
        <f t="shared" si="1"/>
        <v>2.0493846363986906E-7</v>
      </c>
      <c r="P8" s="9">
        <f t="shared" si="2"/>
        <v>4.0987692727973805E-5</v>
      </c>
      <c r="Q8">
        <f t="shared" si="3"/>
        <v>8.197538545594763E-9</v>
      </c>
      <c r="R8">
        <f t="shared" si="4"/>
        <v>1.0246923181993454E-8</v>
      </c>
      <c r="S8">
        <f t="shared" si="5"/>
        <v>0.13116061672951621</v>
      </c>
      <c r="T8">
        <f t="shared" si="6"/>
        <v>0.45086462000771194</v>
      </c>
      <c r="U8">
        <f t="shared" si="7"/>
        <v>200.00000000000006</v>
      </c>
      <c r="V8">
        <f t="shared" si="8"/>
        <v>250.00000000000006</v>
      </c>
      <c r="W8" s="17">
        <f t="shared" si="9"/>
        <v>98.370462547137166</v>
      </c>
      <c r="X8" s="17">
        <f t="shared" si="9"/>
        <v>122.96307818392144</v>
      </c>
      <c r="Y8">
        <f t="shared" si="10"/>
        <v>175.48099999999999</v>
      </c>
      <c r="Z8" s="16">
        <f t="shared" si="11"/>
        <v>248.60937831999999</v>
      </c>
    </row>
    <row r="9" spans="1:26" s="1" customFormat="1" x14ac:dyDescent="0.3">
      <c r="A9" s="6">
        <v>42116</v>
      </c>
      <c r="B9" s="6"/>
      <c r="C9" s="2">
        <v>24.2</v>
      </c>
      <c r="D9" s="2">
        <v>29.83</v>
      </c>
      <c r="E9" s="1" t="s">
        <v>266</v>
      </c>
      <c r="F9" t="s">
        <v>267</v>
      </c>
      <c r="G9" s="1">
        <v>5</v>
      </c>
      <c r="H9" s="1">
        <v>747</v>
      </c>
      <c r="I9" s="1">
        <v>35</v>
      </c>
      <c r="J9" s="1">
        <v>5.2</v>
      </c>
      <c r="M9" s="2">
        <f t="shared" si="0"/>
        <v>24.2</v>
      </c>
      <c r="N9" s="8">
        <v>1</v>
      </c>
      <c r="O9" s="9">
        <f t="shared" si="1"/>
        <v>2.0493846363986906E-7</v>
      </c>
      <c r="P9" s="9">
        <f t="shared" si="2"/>
        <v>4.0987692727973805E-5</v>
      </c>
      <c r="Q9">
        <f t="shared" si="3"/>
        <v>8.197538545594763E-9</v>
      </c>
      <c r="R9">
        <f t="shared" si="4"/>
        <v>1.0246923181993454E-8</v>
      </c>
      <c r="S9">
        <f t="shared" si="5"/>
        <v>0.13116061672951621</v>
      </c>
      <c r="T9">
        <f t="shared" si="6"/>
        <v>0.45086462000771194</v>
      </c>
      <c r="U9">
        <f t="shared" si="7"/>
        <v>200.00000000000006</v>
      </c>
      <c r="V9">
        <f t="shared" si="8"/>
        <v>250.00000000000006</v>
      </c>
      <c r="W9" s="17">
        <f t="shared" si="9"/>
        <v>98.370462547137166</v>
      </c>
      <c r="X9" s="17">
        <f t="shared" si="9"/>
        <v>122.96307818392144</v>
      </c>
      <c r="Y9">
        <f t="shared" si="10"/>
        <v>172.02409999999998</v>
      </c>
      <c r="Z9" s="16">
        <f t="shared" si="11"/>
        <v>259.14907200000005</v>
      </c>
    </row>
    <row r="10" spans="1:26" x14ac:dyDescent="0.3">
      <c r="K10" s="9"/>
      <c r="L10" s="9"/>
      <c r="M10"/>
      <c r="N10"/>
      <c r="S10" s="17"/>
      <c r="T10" s="17"/>
      <c r="U10"/>
      <c r="V10"/>
    </row>
    <row r="11" spans="1:26" x14ac:dyDescent="0.3">
      <c r="A11" s="18"/>
      <c r="B11" s="18"/>
      <c r="G11" t="s">
        <v>40</v>
      </c>
      <c r="H11" s="17">
        <f>AVERAGE(H3:H9)</f>
        <v>745.85714285714289</v>
      </c>
      <c r="I11" s="17">
        <f t="shared" ref="I11:J11" si="12">AVERAGE(I3:I9)</f>
        <v>35.714285714285715</v>
      </c>
      <c r="J11" s="17">
        <f t="shared" si="12"/>
        <v>4.8742857142857137</v>
      </c>
      <c r="K11" s="17"/>
      <c r="L11" s="12"/>
      <c r="M11" s="17"/>
      <c r="N11" s="17"/>
      <c r="O11" s="12"/>
      <c r="P11" s="17"/>
      <c r="Q11" s="17"/>
      <c r="R11" s="12"/>
      <c r="S11" s="17"/>
      <c r="T11" s="17"/>
      <c r="U11" s="12"/>
      <c r="V11" t="s">
        <v>268</v>
      </c>
      <c r="Y11">
        <v>200</v>
      </c>
      <c r="Z11" s="12">
        <v>250</v>
      </c>
    </row>
    <row r="12" spans="1:26" x14ac:dyDescent="0.3">
      <c r="A12" s="18"/>
      <c r="B12" s="18"/>
      <c r="G12" t="s">
        <v>253</v>
      </c>
      <c r="H12">
        <f>STDEV(H3:H9)</f>
        <v>26.823053339919944</v>
      </c>
      <c r="I12">
        <f t="shared" ref="I12:J12" si="13">STDEV(I3:I9)</f>
        <v>1.1126972805283735</v>
      </c>
      <c r="J12">
        <f t="shared" si="13"/>
        <v>0.37179103193672042</v>
      </c>
      <c r="L12" s="12"/>
      <c r="M12"/>
      <c r="N12"/>
      <c r="O12" s="12"/>
      <c r="R12" s="12"/>
      <c r="U12" s="12"/>
      <c r="V12" t="s">
        <v>40</v>
      </c>
      <c r="Y12">
        <f>AVERAGE(Y3:Y9)</f>
        <v>171.85232857142859</v>
      </c>
      <c r="Z12" s="16">
        <f>AVERAGE(Z3:Z9)</f>
        <v>250.12027028571427</v>
      </c>
    </row>
    <row r="13" spans="1:26" x14ac:dyDescent="0.3">
      <c r="A13" s="18"/>
      <c r="B13" s="18"/>
      <c r="G13" t="s">
        <v>92</v>
      </c>
      <c r="H13">
        <f>100*H12/H11</f>
        <v>3.5962722348101819</v>
      </c>
      <c r="I13">
        <f t="shared" ref="I13:J13" si="14">100*I12/I11</f>
        <v>3.1155523854794458</v>
      </c>
      <c r="J13">
        <f t="shared" si="14"/>
        <v>7.6276003035083333</v>
      </c>
      <c r="M13"/>
      <c r="N13"/>
      <c r="U13"/>
      <c r="V13" t="s">
        <v>41</v>
      </c>
      <c r="Y13">
        <f>STDEV(Y3:Y9)</f>
        <v>4.0315049169899657</v>
      </c>
      <c r="Z13">
        <f>STDEV(Z3:Z9)</f>
        <v>10.305686357043633</v>
      </c>
    </row>
    <row r="14" spans="1:26" x14ac:dyDescent="0.3">
      <c r="A14" s="18"/>
      <c r="B14" s="18"/>
      <c r="M14"/>
      <c r="N14"/>
      <c r="U14"/>
      <c r="V14" t="s">
        <v>92</v>
      </c>
      <c r="Y14">
        <f>100*Y13/Y12</f>
        <v>2.3459123018599737</v>
      </c>
      <c r="Z14">
        <f>100*Z13/Z12</f>
        <v>4.1202923478658366</v>
      </c>
    </row>
    <row r="15" spans="1:26" x14ac:dyDescent="0.3">
      <c r="A15" s="18"/>
      <c r="B15" s="18"/>
      <c r="M15"/>
      <c r="N15"/>
      <c r="U15"/>
      <c r="V15" t="s">
        <v>270</v>
      </c>
      <c r="Y15">
        <f>COUNT(Y3:Y9)</f>
        <v>7</v>
      </c>
      <c r="Z15">
        <f>COUNT(Z3:Z9)</f>
        <v>7</v>
      </c>
    </row>
    <row r="16" spans="1:26" x14ac:dyDescent="0.3">
      <c r="A16" s="18"/>
      <c r="B16" s="18"/>
      <c r="J16" s="1"/>
      <c r="M16" s="93"/>
      <c r="V16" t="s">
        <v>271</v>
      </c>
      <c r="Y16">
        <f>TINV(0.02,(Y15-1))</f>
        <v>3.1426684032909828</v>
      </c>
      <c r="Z16">
        <f>TINV(0.02,(Z15-1))</f>
        <v>3.1426684032909828</v>
      </c>
    </row>
    <row r="17" spans="1:27" x14ac:dyDescent="0.3">
      <c r="A17" s="18"/>
      <c r="B17" s="18"/>
      <c r="H17" s="1"/>
      <c r="J17" s="1"/>
      <c r="M17" s="93"/>
      <c r="V17" s="17" t="s">
        <v>44</v>
      </c>
      <c r="Y17">
        <f>Y13*Y16</f>
        <v>12.669683120336602</v>
      </c>
      <c r="Z17">
        <f>Z13*Z16</f>
        <v>32.387354888507979</v>
      </c>
    </row>
    <row r="18" spans="1:27" x14ac:dyDescent="0.3">
      <c r="L18" s="82"/>
      <c r="M18" s="75"/>
      <c r="V18" t="s">
        <v>45</v>
      </c>
      <c r="Y18">
        <f>Y13*10</f>
        <v>40.315049169899659</v>
      </c>
      <c r="Z18">
        <f>Z13*10</f>
        <v>103.05686357043633</v>
      </c>
    </row>
    <row r="19" spans="1:27" x14ac:dyDescent="0.3">
      <c r="L19" s="82"/>
      <c r="M19" s="75"/>
      <c r="V19"/>
    </row>
    <row r="20" spans="1:27" x14ac:dyDescent="0.3">
      <c r="L20" s="82"/>
      <c r="M20" s="75"/>
      <c r="V20"/>
    </row>
    <row r="21" spans="1:27" x14ac:dyDescent="0.3">
      <c r="V21"/>
    </row>
    <row r="22" spans="1:27" x14ac:dyDescent="0.3">
      <c r="A22" t="s">
        <v>272</v>
      </c>
      <c r="V22"/>
    </row>
    <row r="23" spans="1:27" s="1" customFormat="1" ht="115.2" x14ac:dyDescent="0.3">
      <c r="A23" s="1" t="s">
        <v>0</v>
      </c>
      <c r="B23" s="1" t="s">
        <v>62</v>
      </c>
      <c r="C23" s="2" t="s">
        <v>1</v>
      </c>
      <c r="D23" s="2" t="s">
        <v>63</v>
      </c>
      <c r="E23" s="1" t="s">
        <v>2</v>
      </c>
      <c r="F23" s="1" t="s">
        <v>64</v>
      </c>
      <c r="G23" s="1" t="s">
        <v>65</v>
      </c>
      <c r="H23" s="1" t="s">
        <v>66</v>
      </c>
      <c r="I23" s="1" t="s">
        <v>255</v>
      </c>
      <c r="J23" s="1" t="s">
        <v>69</v>
      </c>
      <c r="K23" s="1" t="s">
        <v>70</v>
      </c>
      <c r="L23" s="7" t="s">
        <v>71</v>
      </c>
      <c r="M23" s="1" t="s">
        <v>3</v>
      </c>
      <c r="N23" s="1" t="s">
        <v>72</v>
      </c>
      <c r="O23" s="3" t="s">
        <v>4</v>
      </c>
      <c r="P23" s="3" t="s">
        <v>73</v>
      </c>
      <c r="Q23" s="1" t="s">
        <v>256</v>
      </c>
      <c r="R23" s="1" t="s">
        <v>257</v>
      </c>
      <c r="S23" s="1" t="s">
        <v>258</v>
      </c>
      <c r="T23" s="1" t="s">
        <v>259</v>
      </c>
      <c r="U23" s="1" t="s">
        <v>260</v>
      </c>
      <c r="V23" s="1" t="s">
        <v>261</v>
      </c>
      <c r="W23" s="91" t="s">
        <v>262</v>
      </c>
      <c r="X23" s="91" t="s">
        <v>263</v>
      </c>
      <c r="Y23" s="92" t="s">
        <v>264</v>
      </c>
      <c r="Z23" s="1" t="s">
        <v>265</v>
      </c>
    </row>
    <row r="24" spans="1:27" s="1" customFormat="1" ht="14.25" customHeight="1" x14ac:dyDescent="0.3">
      <c r="A24" s="6">
        <v>42123</v>
      </c>
      <c r="B24" s="6"/>
      <c r="C24" s="2">
        <v>23.4</v>
      </c>
      <c r="D24" s="2">
        <v>29.89</v>
      </c>
      <c r="E24" s="1" t="s">
        <v>273</v>
      </c>
      <c r="F24" t="s">
        <v>274</v>
      </c>
      <c r="G24" s="1">
        <v>150</v>
      </c>
      <c r="H24" s="1">
        <v>1.25</v>
      </c>
      <c r="I24" s="1">
        <v>1793</v>
      </c>
      <c r="J24" s="1">
        <v>0.82</v>
      </c>
      <c r="K24" s="1">
        <v>1</v>
      </c>
      <c r="L24" s="7"/>
      <c r="M24" s="2">
        <f t="shared" ref="M24:M30" si="15">C24</f>
        <v>23.4</v>
      </c>
      <c r="N24" s="8">
        <f t="shared" ref="N24:N30" si="16">0.001316*((D24*25.4)-(2.5*2053/100))</f>
        <v>0.93157139599999994</v>
      </c>
      <c r="O24" s="9">
        <f t="shared" ref="O24:O30" si="17">(N24*(G24/1000000))/(0.08205*(M24+273.15))</f>
        <v>5.7428951898693598E-6</v>
      </c>
      <c r="P24" s="9"/>
      <c r="Q24"/>
      <c r="R24"/>
      <c r="S24"/>
      <c r="T24"/>
      <c r="U24"/>
      <c r="V24"/>
      <c r="Y24">
        <f>IF(H24&lt;601, ((-0.00003*H24^2)+(0.2671*H24)+0.4766), (IF(H24&lt;19001,((0.1503*H24)+59.75),((0.000005*H24^2)-(0.0565*H24)+2184))))</f>
        <v>0.81042812500000005</v>
      </c>
      <c r="Z24" s="16">
        <f>(0.0518*J24^2)+(27.217*J24)+116.22</f>
        <v>138.57277031999999</v>
      </c>
    </row>
    <row r="25" spans="1:27" s="1" customFormat="1" ht="14.25" customHeight="1" x14ac:dyDescent="0.3">
      <c r="A25" s="6">
        <v>42123</v>
      </c>
      <c r="B25" s="6"/>
      <c r="C25" s="2">
        <v>23.4</v>
      </c>
      <c r="D25" s="2">
        <v>29.89</v>
      </c>
      <c r="E25" s="1" t="s">
        <v>273</v>
      </c>
      <c r="F25" t="s">
        <v>274</v>
      </c>
      <c r="G25" s="1">
        <v>150</v>
      </c>
      <c r="H25" s="1">
        <v>1.21</v>
      </c>
      <c r="I25" s="1">
        <v>1811</v>
      </c>
      <c r="J25" s="1">
        <v>1.0900000000000001</v>
      </c>
      <c r="K25" s="1">
        <v>1</v>
      </c>
      <c r="L25" s="7"/>
      <c r="M25" s="2">
        <f t="shared" si="15"/>
        <v>23.4</v>
      </c>
      <c r="N25" s="8">
        <f t="shared" si="16"/>
        <v>0.93157139599999994</v>
      </c>
      <c r="O25" s="9">
        <f t="shared" si="17"/>
        <v>5.7428951898693598E-6</v>
      </c>
      <c r="P25" s="9"/>
      <c r="Q25"/>
      <c r="R25"/>
      <c r="S25"/>
      <c r="T25"/>
      <c r="U25"/>
      <c r="V25"/>
      <c r="Y25">
        <f t="shared" ref="Y25:Y30" si="18">IF(H25&lt;601, ((-0.00003*H25^2)+(0.2671*H25)+0.4766), (IF(H25&lt;19001,((0.1503*H25)+59.75),((0.000005*H25^2)-(0.0565*H25)+2184))))</f>
        <v>0.79974707700000003</v>
      </c>
      <c r="Z25" s="16">
        <f t="shared" ref="Z25:Z30" si="19">(0.0518*J25^2)+(27.217*J25)+116.22</f>
        <v>145.94807358</v>
      </c>
    </row>
    <row r="26" spans="1:27" s="1" customFormat="1" ht="14.25" customHeight="1" x14ac:dyDescent="0.3">
      <c r="A26" s="6">
        <v>42123</v>
      </c>
      <c r="B26" s="6"/>
      <c r="C26" s="2">
        <v>23.4</v>
      </c>
      <c r="D26" s="2">
        <v>29.89</v>
      </c>
      <c r="E26" s="1" t="s">
        <v>273</v>
      </c>
      <c r="F26" t="s">
        <v>274</v>
      </c>
      <c r="G26" s="1">
        <v>150</v>
      </c>
      <c r="H26" s="1">
        <v>1.43</v>
      </c>
      <c r="I26" s="1">
        <v>1528</v>
      </c>
      <c r="J26" s="1">
        <v>1.59</v>
      </c>
      <c r="K26" s="1">
        <v>1</v>
      </c>
      <c r="L26" s="7"/>
      <c r="M26" s="2">
        <f t="shared" si="15"/>
        <v>23.4</v>
      </c>
      <c r="N26" s="8">
        <f t="shared" si="16"/>
        <v>0.93157139599999994</v>
      </c>
      <c r="O26" s="9">
        <f t="shared" si="17"/>
        <v>5.7428951898693598E-6</v>
      </c>
      <c r="P26" s="9"/>
      <c r="Q26"/>
      <c r="R26"/>
      <c r="S26"/>
      <c r="T26"/>
      <c r="U26"/>
      <c r="V26"/>
      <c r="Y26">
        <f t="shared" si="18"/>
        <v>0.85849165299999997</v>
      </c>
      <c r="Z26" s="16">
        <f t="shared" si="19"/>
        <v>159.62598557999999</v>
      </c>
    </row>
    <row r="27" spans="1:27" s="1" customFormat="1" ht="14.25" customHeight="1" x14ac:dyDescent="0.3">
      <c r="A27" s="6">
        <v>42123</v>
      </c>
      <c r="B27" s="6"/>
      <c r="C27" s="2">
        <v>23.4</v>
      </c>
      <c r="D27" s="2">
        <v>29.89</v>
      </c>
      <c r="E27" s="1" t="s">
        <v>273</v>
      </c>
      <c r="F27" t="s">
        <v>274</v>
      </c>
      <c r="G27" s="1">
        <v>150</v>
      </c>
      <c r="H27" s="1">
        <v>1.1000000000000001</v>
      </c>
      <c r="I27" s="1">
        <v>1849</v>
      </c>
      <c r="J27" s="1">
        <v>1.51</v>
      </c>
      <c r="K27" s="1">
        <v>1</v>
      </c>
      <c r="L27" s="7"/>
      <c r="M27" s="2">
        <f t="shared" si="15"/>
        <v>23.4</v>
      </c>
      <c r="N27" s="8">
        <f t="shared" si="16"/>
        <v>0.93157139599999994</v>
      </c>
      <c r="O27" s="9">
        <f t="shared" si="17"/>
        <v>5.7428951898693598E-6</v>
      </c>
      <c r="P27" s="9"/>
      <c r="Q27"/>
      <c r="R27"/>
      <c r="S27"/>
      <c r="T27"/>
      <c r="U27"/>
      <c r="V27"/>
      <c r="Y27">
        <f t="shared" si="18"/>
        <v>0.77037370000000005</v>
      </c>
      <c r="Z27" s="16">
        <f t="shared" si="19"/>
        <v>157.43577918</v>
      </c>
    </row>
    <row r="28" spans="1:27" s="1" customFormat="1" ht="14.25" customHeight="1" x14ac:dyDescent="0.3">
      <c r="A28" s="6">
        <v>42123</v>
      </c>
      <c r="B28" s="6"/>
      <c r="C28" s="2">
        <v>23.4</v>
      </c>
      <c r="D28" s="2">
        <v>29.89</v>
      </c>
      <c r="E28" s="1" t="s">
        <v>273</v>
      </c>
      <c r="F28" t="s">
        <v>274</v>
      </c>
      <c r="G28" s="1">
        <v>150</v>
      </c>
      <c r="H28" s="1">
        <v>1.26</v>
      </c>
      <c r="I28" s="1">
        <v>1835</v>
      </c>
      <c r="J28" s="1">
        <v>0.95</v>
      </c>
      <c r="K28" s="1">
        <v>1</v>
      </c>
      <c r="L28" s="7"/>
      <c r="M28" s="2">
        <f t="shared" si="15"/>
        <v>23.4</v>
      </c>
      <c r="N28" s="8">
        <f t="shared" si="16"/>
        <v>0.93157139599999994</v>
      </c>
      <c r="O28" s="9">
        <f t="shared" si="17"/>
        <v>5.7428951898693598E-6</v>
      </c>
      <c r="P28" s="9"/>
      <c r="Q28"/>
      <c r="R28"/>
      <c r="S28"/>
      <c r="T28"/>
      <c r="U28"/>
      <c r="V28"/>
      <c r="Y28">
        <f t="shared" si="18"/>
        <v>0.81309837200000001</v>
      </c>
      <c r="Z28" s="16">
        <f t="shared" si="19"/>
        <v>142.12289949999999</v>
      </c>
    </row>
    <row r="29" spans="1:27" s="1" customFormat="1" ht="14.25" customHeight="1" x14ac:dyDescent="0.3">
      <c r="A29" s="6">
        <v>42124</v>
      </c>
      <c r="B29" s="6"/>
      <c r="C29" s="2">
        <v>23.4</v>
      </c>
      <c r="D29" s="2">
        <v>29.89</v>
      </c>
      <c r="E29" s="1" t="s">
        <v>273</v>
      </c>
      <c r="F29" t="s">
        <v>274</v>
      </c>
      <c r="G29" s="1">
        <v>150</v>
      </c>
      <c r="H29" s="1">
        <v>1.24</v>
      </c>
      <c r="I29" s="1">
        <v>1836</v>
      </c>
      <c r="J29" s="1">
        <v>0.95</v>
      </c>
      <c r="K29" s="1">
        <v>1</v>
      </c>
      <c r="L29" s="7"/>
      <c r="M29" s="2">
        <f t="shared" si="15"/>
        <v>23.4</v>
      </c>
      <c r="N29" s="8">
        <f t="shared" si="16"/>
        <v>0.93157139599999994</v>
      </c>
      <c r="O29" s="9">
        <f t="shared" si="17"/>
        <v>5.7428951898693598E-6</v>
      </c>
      <c r="P29" s="9"/>
      <c r="Q29"/>
      <c r="R29"/>
      <c r="S29"/>
      <c r="T29"/>
      <c r="U29"/>
      <c r="V29"/>
      <c r="Y29">
        <f t="shared" si="18"/>
        <v>0.80775787200000004</v>
      </c>
      <c r="Z29" s="16">
        <f t="shared" si="19"/>
        <v>142.12289949999999</v>
      </c>
    </row>
    <row r="30" spans="1:27" s="1" customFormat="1" ht="14.25" customHeight="1" x14ac:dyDescent="0.3">
      <c r="A30" s="6">
        <v>42123</v>
      </c>
      <c r="B30" s="6"/>
      <c r="C30" s="2">
        <v>23.4</v>
      </c>
      <c r="D30" s="2">
        <v>29.89</v>
      </c>
      <c r="E30" s="1" t="s">
        <v>273</v>
      </c>
      <c r="F30" t="s">
        <v>274</v>
      </c>
      <c r="G30" s="1">
        <v>150</v>
      </c>
      <c r="H30" s="1">
        <v>1.21</v>
      </c>
      <c r="I30" s="1">
        <v>1842</v>
      </c>
      <c r="J30" s="1">
        <v>1.93</v>
      </c>
      <c r="K30" s="1">
        <v>1</v>
      </c>
      <c r="L30" s="7"/>
      <c r="M30" s="2">
        <f t="shared" si="15"/>
        <v>23.4</v>
      </c>
      <c r="N30" s="8">
        <f t="shared" si="16"/>
        <v>0.93157139599999994</v>
      </c>
      <c r="O30" s="9">
        <f t="shared" si="17"/>
        <v>5.7428951898693598E-6</v>
      </c>
      <c r="P30" s="9"/>
      <c r="Q30"/>
      <c r="R30"/>
      <c r="S30"/>
      <c r="T30"/>
      <c r="U30"/>
      <c r="V30"/>
      <c r="Y30">
        <f t="shared" si="18"/>
        <v>0.79974707700000003</v>
      </c>
      <c r="Z30" s="16">
        <f t="shared" si="19"/>
        <v>168.94175981999999</v>
      </c>
    </row>
    <row r="32" spans="1:27" x14ac:dyDescent="0.3">
      <c r="A32" s="18"/>
      <c r="B32" s="18"/>
      <c r="G32" t="s">
        <v>40</v>
      </c>
      <c r="H32" s="17">
        <f>AVERAGE(H24:H30)</f>
        <v>1.2428571428571427</v>
      </c>
      <c r="I32" s="17">
        <f t="shared" ref="I32:J32" si="20">AVERAGE(I24:I30)</f>
        <v>1784.8571428571429</v>
      </c>
      <c r="J32" s="17">
        <f t="shared" si="20"/>
        <v>1.2628571428571429</v>
      </c>
      <c r="K32" s="17"/>
      <c r="L32" s="12"/>
      <c r="M32" s="17"/>
      <c r="N32" s="17"/>
      <c r="O32" s="12"/>
      <c r="P32" s="17"/>
      <c r="Q32" s="17"/>
      <c r="R32" s="12"/>
      <c r="S32" s="17"/>
      <c r="T32" s="17"/>
      <c r="U32" s="12"/>
      <c r="V32"/>
      <c r="Y32" s="17"/>
      <c r="Z32" s="17"/>
      <c r="AA32" s="17"/>
    </row>
    <row r="33" spans="1:29" x14ac:dyDescent="0.3">
      <c r="A33" s="18"/>
      <c r="B33" s="18"/>
      <c r="G33" t="s">
        <v>253</v>
      </c>
      <c r="H33">
        <f>STDEV(H24:H30)</f>
        <v>9.8270762982399049E-2</v>
      </c>
      <c r="I33">
        <f t="shared" ref="I33:J33" si="21">STDEV(I24:I30)</f>
        <v>114.91653285671964</v>
      </c>
      <c r="J33">
        <f t="shared" si="21"/>
        <v>0.41531972766830638</v>
      </c>
      <c r="L33" s="12"/>
      <c r="M33"/>
      <c r="N33"/>
      <c r="O33" s="12"/>
      <c r="R33" s="12"/>
      <c r="U33" s="12"/>
      <c r="V33" t="s">
        <v>40</v>
      </c>
      <c r="Y33">
        <f>AVERAGE(Y24:Y30)</f>
        <v>0.80852055371428577</v>
      </c>
      <c r="Z33" s="16">
        <f>AVERAGE(Z24:Z30)</f>
        <v>150.68145249714286</v>
      </c>
    </row>
    <row r="34" spans="1:29" x14ac:dyDescent="0.3">
      <c r="A34" s="18"/>
      <c r="B34" s="18"/>
      <c r="G34" t="s">
        <v>92</v>
      </c>
      <c r="H34">
        <f>100*H33/H32</f>
        <v>7.9068429985838335</v>
      </c>
      <c r="I34">
        <f t="shared" ref="I34:J34" si="22">100*I33/I32</f>
        <v>6.4384162797905997</v>
      </c>
      <c r="J34">
        <f t="shared" si="22"/>
        <v>32.887308752015215</v>
      </c>
      <c r="M34"/>
      <c r="N34"/>
      <c r="U34"/>
      <c r="V34" t="s">
        <v>41</v>
      </c>
      <c r="Y34">
        <f>STDEV(Y24:Y30)</f>
        <v>2.6240610801130552E-2</v>
      </c>
      <c r="Z34">
        <f>STDEV(Z24:Z30)</f>
        <v>11.36212379930492</v>
      </c>
    </row>
    <row r="35" spans="1:29" x14ac:dyDescent="0.3">
      <c r="A35" s="18"/>
      <c r="B35" s="18"/>
      <c r="M35"/>
      <c r="N35"/>
      <c r="U35"/>
      <c r="V35" t="s">
        <v>92</v>
      </c>
      <c r="Y35">
        <f>100*Y34/Y33</f>
        <v>3.2455094283729777</v>
      </c>
      <c r="Z35">
        <f>100*Z34/Z33</f>
        <v>7.5404926160506474</v>
      </c>
    </row>
    <row r="36" spans="1:29" x14ac:dyDescent="0.3">
      <c r="A36" s="18"/>
      <c r="B36" s="18"/>
      <c r="M36"/>
      <c r="N36"/>
      <c r="U36"/>
      <c r="V36" t="s">
        <v>270</v>
      </c>
      <c r="Y36">
        <f>COUNT(Y24:Y30)</f>
        <v>7</v>
      </c>
      <c r="Z36">
        <f>COUNT(Z24:Z30)</f>
        <v>7</v>
      </c>
    </row>
    <row r="37" spans="1:29" x14ac:dyDescent="0.3">
      <c r="A37" s="18"/>
      <c r="B37" s="18"/>
      <c r="M37"/>
      <c r="N37"/>
      <c r="U37"/>
      <c r="V37" t="s">
        <v>271</v>
      </c>
      <c r="Y37">
        <f>TINV(0.02,(Y36-1))</f>
        <v>3.1426684032909828</v>
      </c>
      <c r="Z37">
        <f>TINV(0.02,(Z36-1))</f>
        <v>3.1426684032909828</v>
      </c>
    </row>
    <row r="38" spans="1:29" x14ac:dyDescent="0.3">
      <c r="A38" s="18"/>
      <c r="B38" s="18"/>
      <c r="M38"/>
      <c r="N38"/>
      <c r="U38"/>
      <c r="V38" s="17" t="s">
        <v>44</v>
      </c>
      <c r="Y38">
        <f>Y34*Y37</f>
        <v>8.2465538447769063E-2</v>
      </c>
      <c r="Z38">
        <f>Z34*Z37</f>
        <v>35.707387458356067</v>
      </c>
    </row>
    <row r="39" spans="1:29" x14ac:dyDescent="0.3">
      <c r="A39" s="18"/>
      <c r="B39" s="18"/>
      <c r="M39"/>
      <c r="N39"/>
      <c r="U39"/>
      <c r="V39" t="s">
        <v>45</v>
      </c>
      <c r="Y39">
        <f>Y34*10</f>
        <v>0.26240610801130554</v>
      </c>
      <c r="Z39">
        <f>Z34*10</f>
        <v>113.62123799304919</v>
      </c>
    </row>
    <row r="42" spans="1:29" s="1" customFormat="1" ht="115.2" x14ac:dyDescent="0.3">
      <c r="A42" s="1" t="s">
        <v>0</v>
      </c>
      <c r="B42" s="1" t="s">
        <v>62</v>
      </c>
      <c r="C42" s="2" t="s">
        <v>1</v>
      </c>
      <c r="D42" s="2" t="s">
        <v>63</v>
      </c>
      <c r="E42" s="1" t="s">
        <v>2</v>
      </c>
      <c r="F42" s="1" t="s">
        <v>64</v>
      </c>
      <c r="G42" s="1" t="s">
        <v>65</v>
      </c>
      <c r="H42" s="1" t="s">
        <v>66</v>
      </c>
      <c r="I42" s="1" t="s">
        <v>255</v>
      </c>
      <c r="J42" s="1" t="s">
        <v>69</v>
      </c>
      <c r="K42" s="1" t="s">
        <v>70</v>
      </c>
      <c r="L42" s="7" t="s">
        <v>71</v>
      </c>
      <c r="M42" s="1" t="s">
        <v>3</v>
      </c>
      <c r="N42" s="1" t="s">
        <v>72</v>
      </c>
      <c r="O42" s="3" t="s">
        <v>4</v>
      </c>
      <c r="P42" s="3" t="s">
        <v>73</v>
      </c>
      <c r="Q42" s="1" t="s">
        <v>256</v>
      </c>
      <c r="R42" s="1" t="s">
        <v>257</v>
      </c>
      <c r="S42" s="1" t="s">
        <v>258</v>
      </c>
      <c r="T42" s="1" t="s">
        <v>259</v>
      </c>
      <c r="U42" s="1" t="s">
        <v>260</v>
      </c>
      <c r="V42" s="1" t="s">
        <v>261</v>
      </c>
      <c r="W42" s="91" t="s">
        <v>262</v>
      </c>
      <c r="X42" s="91" t="s">
        <v>263</v>
      </c>
      <c r="Y42" s="92" t="s">
        <v>264</v>
      </c>
      <c r="Z42" s="1" t="s">
        <v>265</v>
      </c>
      <c r="AB42" s="1" t="s">
        <v>275</v>
      </c>
      <c r="AC42" s="1" t="s">
        <v>276</v>
      </c>
    </row>
    <row r="43" spans="1:29" s="1" customFormat="1" ht="14.25" customHeight="1" x14ac:dyDescent="0.3">
      <c r="A43" s="6">
        <v>42130</v>
      </c>
      <c r="B43" s="6"/>
      <c r="C43" s="2">
        <v>24.2</v>
      </c>
      <c r="D43" s="2">
        <v>30.32</v>
      </c>
      <c r="E43" s="1" t="s">
        <v>277</v>
      </c>
      <c r="F43" t="s">
        <v>267</v>
      </c>
      <c r="G43" s="1">
        <v>5</v>
      </c>
      <c r="H43" s="1">
        <v>0.95</v>
      </c>
      <c r="I43" s="1">
        <v>1811</v>
      </c>
      <c r="J43" s="1">
        <v>1.0900000000000001</v>
      </c>
      <c r="K43" s="1">
        <v>1</v>
      </c>
      <c r="L43" s="7"/>
      <c r="M43" s="2">
        <f t="shared" ref="M43:M49" si="23">C43</f>
        <v>24.2</v>
      </c>
      <c r="N43" s="8">
        <f t="shared" ref="N43:N49" si="24">0.001316*((D43*25.4)-(2.5*2053/100))</f>
        <v>0.94594474799999972</v>
      </c>
      <c r="O43" s="9">
        <f t="shared" ref="O43:O49" si="25">(N43*(G43/1000000))/(0.08205*(M43+273.15))</f>
        <v>1.9386046334332305E-7</v>
      </c>
      <c r="P43" s="9">
        <f t="shared" ref="P43:P49" si="26">(N43*0.001)/(0.08205*(M43+273.15))</f>
        <v>3.8772092668664606E-5</v>
      </c>
      <c r="Q43">
        <f t="shared" ref="Q43:Q49" si="27">O43*(0.04/600)</f>
        <v>1.292403088955487E-11</v>
      </c>
      <c r="R43">
        <f t="shared" ref="R43:R49" si="28">O43*(0.05/600)</f>
        <v>1.6155038611943591E-11</v>
      </c>
      <c r="S43">
        <f t="shared" ref="S43:S49" si="29">Q43*16*1000000</f>
        <v>2.0678449423287791E-4</v>
      </c>
      <c r="T43">
        <f t="shared" ref="T43:T49" si="30">R43*44*1000000</f>
        <v>7.1082169892551798E-4</v>
      </c>
      <c r="U43">
        <f t="shared" ref="U43:U49" si="31">(1000000*Q43/P43)</f>
        <v>0.33333333333333337</v>
      </c>
      <c r="V43">
        <f t="shared" ref="V43:V49" si="32">(1000000*R43/P43)</f>
        <v>0.41666666666666685</v>
      </c>
      <c r="W43" s="17">
        <f t="shared" ref="W43:X49" si="33">(Q43*12*1000000*1000)</f>
        <v>0.15508837067465844</v>
      </c>
      <c r="X43" s="17">
        <f t="shared" si="33"/>
        <v>0.19386046334332308</v>
      </c>
      <c r="Y43">
        <f>IF(H43&lt;601, ((-0.00003*H43^2)+(0.2671*H43)+0.4766), (IF(H43&lt;19001,((0.1503*H43)+59.75),((0.000005*H43^2)-(0.0565*H43)+2184))))</f>
        <v>0.73031792500000003</v>
      </c>
      <c r="Z43" s="16">
        <f>(0.0518*J43^2)+(27.217*J43)+116.22</f>
        <v>145.94807358</v>
      </c>
    </row>
    <row r="44" spans="1:29" s="1" customFormat="1" ht="14.25" customHeight="1" x14ac:dyDescent="0.3">
      <c r="A44" s="6">
        <v>42130</v>
      </c>
      <c r="B44" s="6"/>
      <c r="C44" s="2">
        <v>24.2</v>
      </c>
      <c r="D44" s="2">
        <v>30.32</v>
      </c>
      <c r="E44" s="1" t="s">
        <v>277</v>
      </c>
      <c r="F44" t="s">
        <v>267</v>
      </c>
      <c r="G44" s="1">
        <v>5</v>
      </c>
      <c r="H44" s="1">
        <v>1.02</v>
      </c>
      <c r="I44" s="1">
        <v>1528</v>
      </c>
      <c r="J44" s="1">
        <v>1.59</v>
      </c>
      <c r="K44" s="1">
        <v>1</v>
      </c>
      <c r="L44" s="7"/>
      <c r="M44" s="2">
        <f t="shared" si="23"/>
        <v>24.2</v>
      </c>
      <c r="N44" s="8">
        <f t="shared" si="24"/>
        <v>0.94594474799999972</v>
      </c>
      <c r="O44" s="9">
        <f t="shared" si="25"/>
        <v>1.9386046334332305E-7</v>
      </c>
      <c r="P44" s="9">
        <f t="shared" si="26"/>
        <v>3.8772092668664606E-5</v>
      </c>
      <c r="Q44">
        <f t="shared" si="27"/>
        <v>1.292403088955487E-11</v>
      </c>
      <c r="R44">
        <f t="shared" si="28"/>
        <v>1.6155038611943591E-11</v>
      </c>
      <c r="S44">
        <f t="shared" si="29"/>
        <v>2.0678449423287791E-4</v>
      </c>
      <c r="T44">
        <f t="shared" si="30"/>
        <v>7.1082169892551798E-4</v>
      </c>
      <c r="U44">
        <f t="shared" si="31"/>
        <v>0.33333333333333337</v>
      </c>
      <c r="V44">
        <f t="shared" si="32"/>
        <v>0.41666666666666685</v>
      </c>
      <c r="W44" s="17">
        <f t="shared" si="33"/>
        <v>0.15508837067465844</v>
      </c>
      <c r="X44" s="17">
        <f t="shared" si="33"/>
        <v>0.19386046334332308</v>
      </c>
      <c r="Y44">
        <f t="shared" ref="Y44:Y49" si="34">IF(H44&lt;601, ((-0.00003*H44^2)+(0.2671*H44)+0.4766), (IF(H44&lt;19001,((0.1503*H44)+59.75),((0.000005*H44^2)-(0.0565*H44)+2184))))</f>
        <v>0.74901078800000009</v>
      </c>
      <c r="Z44" s="16">
        <f t="shared" ref="Z44:Z49" si="35">(0.0518*J44^2)+(27.217*J44)+116.22</f>
        <v>159.62598557999999</v>
      </c>
    </row>
    <row r="45" spans="1:29" s="1" customFormat="1" ht="14.25" customHeight="1" x14ac:dyDescent="0.3">
      <c r="A45" s="6">
        <v>42130</v>
      </c>
      <c r="B45" s="6"/>
      <c r="C45" s="2">
        <v>24.2</v>
      </c>
      <c r="D45" s="2">
        <v>30.32</v>
      </c>
      <c r="E45" s="1" t="s">
        <v>277</v>
      </c>
      <c r="F45" t="s">
        <v>267</v>
      </c>
      <c r="G45" s="1">
        <v>5</v>
      </c>
      <c r="H45" s="1">
        <v>0.85</v>
      </c>
      <c r="I45" s="1">
        <v>1849</v>
      </c>
      <c r="J45" s="1">
        <v>1.51</v>
      </c>
      <c r="K45" s="1">
        <v>1</v>
      </c>
      <c r="L45" s="7"/>
      <c r="M45" s="2">
        <f t="shared" si="23"/>
        <v>24.2</v>
      </c>
      <c r="N45" s="8">
        <f t="shared" si="24"/>
        <v>0.94594474799999972</v>
      </c>
      <c r="O45" s="9">
        <f t="shared" si="25"/>
        <v>1.9386046334332305E-7</v>
      </c>
      <c r="P45" s="9">
        <f t="shared" si="26"/>
        <v>3.8772092668664606E-5</v>
      </c>
      <c r="Q45">
        <f t="shared" si="27"/>
        <v>1.292403088955487E-11</v>
      </c>
      <c r="R45">
        <f t="shared" si="28"/>
        <v>1.6155038611943591E-11</v>
      </c>
      <c r="S45">
        <f t="shared" si="29"/>
        <v>2.0678449423287791E-4</v>
      </c>
      <c r="T45">
        <f t="shared" si="30"/>
        <v>7.1082169892551798E-4</v>
      </c>
      <c r="U45">
        <f t="shared" si="31"/>
        <v>0.33333333333333337</v>
      </c>
      <c r="V45">
        <f t="shared" si="32"/>
        <v>0.41666666666666685</v>
      </c>
      <c r="W45" s="17">
        <f t="shared" si="33"/>
        <v>0.15508837067465844</v>
      </c>
      <c r="X45" s="17">
        <f t="shared" si="33"/>
        <v>0.19386046334332308</v>
      </c>
      <c r="Y45">
        <f t="shared" si="34"/>
        <v>0.70361332500000007</v>
      </c>
      <c r="Z45" s="16">
        <f t="shared" si="35"/>
        <v>157.43577918</v>
      </c>
    </row>
    <row r="46" spans="1:29" s="1" customFormat="1" ht="14.25" customHeight="1" x14ac:dyDescent="0.3">
      <c r="A46" s="6">
        <v>42130</v>
      </c>
      <c r="B46" s="6"/>
      <c r="C46" s="2">
        <v>24.2</v>
      </c>
      <c r="D46" s="2">
        <v>30.32</v>
      </c>
      <c r="E46" s="1" t="s">
        <v>277</v>
      </c>
      <c r="F46" t="s">
        <v>267</v>
      </c>
      <c r="G46" s="1">
        <v>5</v>
      </c>
      <c r="H46" s="1">
        <v>1.33</v>
      </c>
      <c r="I46" s="1">
        <v>1835</v>
      </c>
      <c r="J46" s="1">
        <v>0.95</v>
      </c>
      <c r="K46" s="1">
        <v>1</v>
      </c>
      <c r="L46" s="7"/>
      <c r="M46" s="2">
        <f t="shared" si="23"/>
        <v>24.2</v>
      </c>
      <c r="N46" s="8">
        <f t="shared" si="24"/>
        <v>0.94594474799999972</v>
      </c>
      <c r="O46" s="9">
        <f t="shared" si="25"/>
        <v>1.9386046334332305E-7</v>
      </c>
      <c r="P46" s="9">
        <f t="shared" si="26"/>
        <v>3.8772092668664606E-5</v>
      </c>
      <c r="Q46">
        <f t="shared" si="27"/>
        <v>1.292403088955487E-11</v>
      </c>
      <c r="R46">
        <f t="shared" si="28"/>
        <v>1.6155038611943591E-11</v>
      </c>
      <c r="S46">
        <f t="shared" si="29"/>
        <v>2.0678449423287791E-4</v>
      </c>
      <c r="T46">
        <f t="shared" si="30"/>
        <v>7.1082169892551798E-4</v>
      </c>
      <c r="U46">
        <f t="shared" si="31"/>
        <v>0.33333333333333337</v>
      </c>
      <c r="V46">
        <f t="shared" si="32"/>
        <v>0.41666666666666685</v>
      </c>
      <c r="W46" s="17">
        <f t="shared" si="33"/>
        <v>0.15508837067465844</v>
      </c>
      <c r="X46" s="17">
        <f t="shared" si="33"/>
        <v>0.19386046334332308</v>
      </c>
      <c r="Y46">
        <f t="shared" si="34"/>
        <v>0.83178993300000004</v>
      </c>
      <c r="Z46" s="16">
        <f t="shared" si="35"/>
        <v>142.12289949999999</v>
      </c>
    </row>
    <row r="47" spans="1:29" s="1" customFormat="1" ht="14.25" customHeight="1" x14ac:dyDescent="0.3">
      <c r="A47" s="6">
        <v>42130</v>
      </c>
      <c r="B47" s="6"/>
      <c r="C47" s="2">
        <v>24.2</v>
      </c>
      <c r="D47" s="2">
        <v>30.32</v>
      </c>
      <c r="E47" s="1" t="s">
        <v>277</v>
      </c>
      <c r="F47" t="s">
        <v>267</v>
      </c>
      <c r="G47" s="1">
        <v>5</v>
      </c>
      <c r="H47" s="1">
        <v>1.36</v>
      </c>
      <c r="I47" s="1">
        <v>1836</v>
      </c>
      <c r="J47" s="1">
        <v>0.95</v>
      </c>
      <c r="K47" s="1">
        <v>1</v>
      </c>
      <c r="L47" s="7"/>
      <c r="M47" s="2">
        <f t="shared" si="23"/>
        <v>24.2</v>
      </c>
      <c r="N47" s="8">
        <f t="shared" si="24"/>
        <v>0.94594474799999972</v>
      </c>
      <c r="O47" s="9">
        <f t="shared" si="25"/>
        <v>1.9386046334332305E-7</v>
      </c>
      <c r="P47" s="9">
        <f t="shared" si="26"/>
        <v>3.8772092668664606E-5</v>
      </c>
      <c r="Q47">
        <f t="shared" si="27"/>
        <v>1.292403088955487E-11</v>
      </c>
      <c r="R47">
        <f t="shared" si="28"/>
        <v>1.6155038611943591E-11</v>
      </c>
      <c r="S47">
        <f t="shared" si="29"/>
        <v>2.0678449423287791E-4</v>
      </c>
      <c r="T47">
        <f t="shared" si="30"/>
        <v>7.1082169892551798E-4</v>
      </c>
      <c r="U47">
        <f t="shared" si="31"/>
        <v>0.33333333333333337</v>
      </c>
      <c r="V47">
        <f t="shared" si="32"/>
        <v>0.41666666666666685</v>
      </c>
      <c r="W47" s="17">
        <f t="shared" si="33"/>
        <v>0.15508837067465844</v>
      </c>
      <c r="X47" s="17">
        <f t="shared" si="33"/>
        <v>0.19386046334332308</v>
      </c>
      <c r="Y47">
        <f t="shared" si="34"/>
        <v>0.83980051200000005</v>
      </c>
      <c r="Z47" s="16">
        <f t="shared" si="35"/>
        <v>142.12289949999999</v>
      </c>
    </row>
    <row r="48" spans="1:29" s="1" customFormat="1" ht="14.25" customHeight="1" x14ac:dyDescent="0.3">
      <c r="A48" s="6">
        <v>42130</v>
      </c>
      <c r="B48" s="6"/>
      <c r="C48" s="2">
        <v>24.2</v>
      </c>
      <c r="D48" s="2">
        <v>30.32</v>
      </c>
      <c r="E48" s="1" t="s">
        <v>277</v>
      </c>
      <c r="F48" t="s">
        <v>267</v>
      </c>
      <c r="G48" s="1">
        <v>5</v>
      </c>
      <c r="H48" s="1">
        <v>1.0900000000000001</v>
      </c>
      <c r="I48" s="1">
        <v>1842</v>
      </c>
      <c r="J48" s="1">
        <v>1.93</v>
      </c>
      <c r="K48" s="1">
        <v>1</v>
      </c>
      <c r="L48" s="7"/>
      <c r="M48" s="2">
        <f t="shared" si="23"/>
        <v>24.2</v>
      </c>
      <c r="N48" s="8">
        <f t="shared" si="24"/>
        <v>0.94594474799999972</v>
      </c>
      <c r="O48" s="9">
        <f t="shared" si="25"/>
        <v>1.9386046334332305E-7</v>
      </c>
      <c r="P48" s="9">
        <f t="shared" si="26"/>
        <v>3.8772092668664606E-5</v>
      </c>
      <c r="Q48">
        <f t="shared" si="27"/>
        <v>1.292403088955487E-11</v>
      </c>
      <c r="R48">
        <f t="shared" si="28"/>
        <v>1.6155038611943591E-11</v>
      </c>
      <c r="S48">
        <f t="shared" si="29"/>
        <v>2.0678449423287791E-4</v>
      </c>
      <c r="T48">
        <f t="shared" si="30"/>
        <v>7.1082169892551798E-4</v>
      </c>
      <c r="U48">
        <f t="shared" si="31"/>
        <v>0.33333333333333337</v>
      </c>
      <c r="V48">
        <f t="shared" si="32"/>
        <v>0.41666666666666685</v>
      </c>
      <c r="W48" s="17">
        <f t="shared" si="33"/>
        <v>0.15508837067465844</v>
      </c>
      <c r="X48" s="17">
        <f t="shared" si="33"/>
        <v>0.19386046334332308</v>
      </c>
      <c r="Y48">
        <f t="shared" si="34"/>
        <v>0.76770335700000003</v>
      </c>
      <c r="Z48" s="16">
        <f t="shared" si="35"/>
        <v>168.94175981999999</v>
      </c>
    </row>
    <row r="49" spans="1:26" s="1" customFormat="1" x14ac:dyDescent="0.3">
      <c r="A49" s="6">
        <v>42130</v>
      </c>
      <c r="B49" s="6"/>
      <c r="C49" s="2">
        <v>24.2</v>
      </c>
      <c r="D49" s="2">
        <v>30.32</v>
      </c>
      <c r="E49" s="1" t="s">
        <v>277</v>
      </c>
      <c r="F49" t="s">
        <v>267</v>
      </c>
      <c r="G49" s="1">
        <v>5</v>
      </c>
      <c r="H49" s="1">
        <v>0.94</v>
      </c>
      <c r="I49" s="1">
        <v>228</v>
      </c>
      <c r="K49" s="1">
        <v>1</v>
      </c>
      <c r="L49" s="7"/>
      <c r="M49" s="2">
        <f t="shared" si="23"/>
        <v>24.2</v>
      </c>
      <c r="N49" s="8">
        <f t="shared" si="24"/>
        <v>0.94594474799999972</v>
      </c>
      <c r="O49" s="9">
        <f t="shared" si="25"/>
        <v>1.9386046334332305E-7</v>
      </c>
      <c r="P49" s="9">
        <f t="shared" si="26"/>
        <v>3.8772092668664606E-5</v>
      </c>
      <c r="Q49">
        <f t="shared" si="27"/>
        <v>1.292403088955487E-11</v>
      </c>
      <c r="R49">
        <f t="shared" si="28"/>
        <v>1.6155038611943591E-11</v>
      </c>
      <c r="S49">
        <f t="shared" si="29"/>
        <v>2.0678449423287791E-4</v>
      </c>
      <c r="T49">
        <f t="shared" si="30"/>
        <v>7.1082169892551798E-4</v>
      </c>
      <c r="U49">
        <f t="shared" si="31"/>
        <v>0.33333333333333337</v>
      </c>
      <c r="V49">
        <f t="shared" si="32"/>
        <v>0.41666666666666685</v>
      </c>
      <c r="W49" s="17">
        <f t="shared" si="33"/>
        <v>0.15508837067465844</v>
      </c>
      <c r="X49" s="17">
        <f t="shared" si="33"/>
        <v>0.19386046334332308</v>
      </c>
      <c r="Y49">
        <f t="shared" si="34"/>
        <v>0.72764749200000001</v>
      </c>
      <c r="Z49" s="16">
        <f t="shared" si="35"/>
        <v>116.22</v>
      </c>
    </row>
    <row r="51" spans="1:26" x14ac:dyDescent="0.3">
      <c r="G51" t="s">
        <v>40</v>
      </c>
      <c r="H51" s="17">
        <f>AVERAGE(H43:H49)</f>
        <v>1.0771428571428572</v>
      </c>
      <c r="I51" s="17">
        <f t="shared" ref="I51:J51" si="36">AVERAGE(I43:I49)</f>
        <v>1561.2857142857142</v>
      </c>
      <c r="J51" s="17">
        <f t="shared" si="36"/>
        <v>1.3366666666666669</v>
      </c>
      <c r="X51" t="s">
        <v>268</v>
      </c>
      <c r="Y51">
        <v>0.33329999999999999</v>
      </c>
      <c r="Z51" s="12">
        <v>0.41556999999999999</v>
      </c>
    </row>
    <row r="52" spans="1:26" x14ac:dyDescent="0.3">
      <c r="G52" t="s">
        <v>253</v>
      </c>
      <c r="H52">
        <f>STDEV(H43:H49)</f>
        <v>0.19746006226697124</v>
      </c>
      <c r="I52">
        <f t="shared" ref="I52:J52" si="37">STDEV(I43:I49)</f>
        <v>599.03859482944688</v>
      </c>
      <c r="J52">
        <f t="shared" si="37"/>
        <v>0.40153040565649067</v>
      </c>
      <c r="V52" t="s">
        <v>40</v>
      </c>
      <c r="Y52">
        <f>AVERAGE(Y43:Y49)</f>
        <v>0.76426904742857149</v>
      </c>
      <c r="Z52" s="16">
        <f>AVERAGE(Z43:Z49)</f>
        <v>147.48819959428573</v>
      </c>
    </row>
    <row r="53" spans="1:26" x14ac:dyDescent="0.3">
      <c r="G53" t="s">
        <v>92</v>
      </c>
      <c r="H53">
        <f>100*H52/H51</f>
        <v>18.331836019480086</v>
      </c>
      <c r="I53">
        <f t="shared" ref="I53:J53" si="38">100*I52/I51</f>
        <v>38.368287709819093</v>
      </c>
      <c r="J53">
        <f t="shared" si="38"/>
        <v>30.039681221183834</v>
      </c>
      <c r="V53" t="s">
        <v>41</v>
      </c>
      <c r="Y53">
        <f>STDEV(Y43:Y49)</f>
        <v>5.2728257432450444E-2</v>
      </c>
      <c r="Z53">
        <f>STDEV(Z43:Z49)</f>
        <v>17.0498319582086</v>
      </c>
    </row>
    <row r="54" spans="1:26" x14ac:dyDescent="0.3">
      <c r="G54" t="s">
        <v>269</v>
      </c>
      <c r="H54">
        <f>3*H52</f>
        <v>0.59238018680091376</v>
      </c>
      <c r="I54">
        <f t="shared" ref="I54:J54" si="39">3*I52</f>
        <v>1797.1157844883405</v>
      </c>
      <c r="J54">
        <f t="shared" si="39"/>
        <v>1.2045912169694719</v>
      </c>
      <c r="V54" t="s">
        <v>92</v>
      </c>
      <c r="Y54">
        <f>100*Y53/Y52</f>
        <v>6.8991747879699945</v>
      </c>
      <c r="Z54">
        <f>100*Z53/Z52</f>
        <v>11.560132949693404</v>
      </c>
    </row>
    <row r="55" spans="1:26" x14ac:dyDescent="0.3">
      <c r="V55" t="s">
        <v>270</v>
      </c>
      <c r="Y55">
        <f>COUNT(Y43:Y49)</f>
        <v>7</v>
      </c>
      <c r="Z55">
        <f>COUNT(Z43:Z49)</f>
        <v>7</v>
      </c>
    </row>
    <row r="56" spans="1:26" x14ac:dyDescent="0.3">
      <c r="V56" t="s">
        <v>271</v>
      </c>
      <c r="Y56">
        <f>TINV(0.02,(Y55-1))</f>
        <v>3.1426684032909828</v>
      </c>
      <c r="Z56">
        <f>TINV(0.02,(Z55-1))</f>
        <v>3.1426684032909828</v>
      </c>
    </row>
    <row r="57" spans="1:26" x14ac:dyDescent="0.3">
      <c r="V57" s="17" t="s">
        <v>44</v>
      </c>
      <c r="Y57">
        <f>Y53*Y56</f>
        <v>0.16570742859355495</v>
      </c>
      <c r="Z57">
        <f>Z53*Z56</f>
        <v>53.581968176482995</v>
      </c>
    </row>
    <row r="58" spans="1:26" x14ac:dyDescent="0.3">
      <c r="V58" t="s">
        <v>45</v>
      </c>
      <c r="Y58">
        <f>Y53*10</f>
        <v>0.52728257432450443</v>
      </c>
      <c r="Z58">
        <f>Z53*10</f>
        <v>170.498319582086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A006-E55E-48DB-A1FB-9C4014F8A827}">
  <sheetPr>
    <pageSetUpPr fitToPage="1"/>
  </sheetPr>
  <dimension ref="A1:DM34"/>
  <sheetViews>
    <sheetView topLeftCell="P1" zoomScale="85" zoomScaleNormal="85" workbookViewId="0">
      <selection activeCell="Y43" sqref="Y43"/>
    </sheetView>
  </sheetViews>
  <sheetFormatPr defaultRowHeight="15" x14ac:dyDescent="0.25"/>
  <cols>
    <col min="1" max="1" width="14.21875" style="53" customWidth="1"/>
    <col min="2" max="2" width="9.21875" style="88" customWidth="1"/>
    <col min="3" max="3" width="7.77734375" style="53" customWidth="1"/>
    <col min="4" max="4" width="9.21875" style="53"/>
    <col min="5" max="5" width="21.21875" style="53" customWidth="1"/>
    <col min="6" max="6" width="6.44140625" style="53" customWidth="1"/>
    <col min="7" max="7" width="8.21875" style="53" customWidth="1"/>
    <col min="8" max="8" width="6.77734375" style="53" customWidth="1"/>
    <col min="9" max="9" width="4.77734375" style="53" customWidth="1"/>
    <col min="10" max="10" width="5" style="53" customWidth="1"/>
    <col min="11" max="11" width="8.77734375" style="53" customWidth="1"/>
    <col min="12" max="12" width="13.21875" style="58" customWidth="1"/>
    <col min="13" max="13" width="7.21875" style="58" customWidth="1"/>
    <col min="14" max="14" width="6" style="53" customWidth="1"/>
    <col min="15" max="15" width="12" style="36" bestFit="1" customWidth="1"/>
    <col min="16" max="16" width="9.21875" style="36" bestFit="1" customWidth="1"/>
    <col min="17" max="17" width="7.21875" style="36" customWidth="1"/>
    <col min="18" max="20" width="9.21875" style="36" bestFit="1" customWidth="1"/>
    <col min="21" max="21" width="9.77734375" style="36" bestFit="1" customWidth="1"/>
    <col min="22" max="22" width="10.77734375" style="36" bestFit="1" customWidth="1"/>
    <col min="23" max="23" width="9.21875" style="36" bestFit="1" customWidth="1"/>
    <col min="24" max="24" width="11.21875" style="36" bestFit="1" customWidth="1"/>
    <col min="25" max="25" width="9.21875" style="85" bestFit="1" customWidth="1"/>
    <col min="26" max="26" width="9.21875" style="85"/>
    <col min="27" max="27" width="11.5546875" style="36" customWidth="1"/>
    <col min="28" max="28" width="9.21875" style="36" customWidth="1"/>
    <col min="29" max="29" width="11" style="36" customWidth="1"/>
    <col min="30" max="30" width="9.21875" style="36" customWidth="1"/>
    <col min="31" max="31" width="11.77734375" style="36" customWidth="1"/>
    <col min="32" max="36" width="9.21875" style="36" customWidth="1"/>
    <col min="37" max="40" width="9.21875" style="53"/>
    <col min="41" max="41" width="11" style="53" customWidth="1"/>
    <col min="42" max="42" width="9.21875" style="53"/>
    <col min="43" max="43" width="10.21875" style="53" customWidth="1"/>
    <col min="44" max="48" width="9.21875" style="53"/>
    <col min="49" max="258" width="9.21875" style="56"/>
    <col min="259" max="259" width="24.77734375" style="56" customWidth="1"/>
    <col min="260" max="260" width="13.5546875" style="56" customWidth="1"/>
    <col min="261" max="261" width="9.21875" style="56"/>
    <col min="262" max="262" width="6.77734375" style="56" customWidth="1"/>
    <col min="263" max="263" width="6.44140625" style="56" customWidth="1"/>
    <col min="264" max="264" width="8.21875" style="56" customWidth="1"/>
    <col min="265" max="265" width="6.77734375" style="56" customWidth="1"/>
    <col min="266" max="266" width="4.77734375" style="56" customWidth="1"/>
    <col min="267" max="268" width="5" style="56" customWidth="1"/>
    <col min="269" max="269" width="9.21875" style="56"/>
    <col min="270" max="270" width="10.5546875" style="56" customWidth="1"/>
    <col min="271" max="271" width="3.77734375" style="56" customWidth="1"/>
    <col min="272" max="273" width="9.21875" style="56"/>
    <col min="274" max="274" width="3.77734375" style="56" customWidth="1"/>
    <col min="275" max="514" width="9.21875" style="56"/>
    <col min="515" max="515" width="24.77734375" style="56" customWidth="1"/>
    <col min="516" max="516" width="13.5546875" style="56" customWidth="1"/>
    <col min="517" max="517" width="9.21875" style="56"/>
    <col min="518" max="518" width="6.77734375" style="56" customWidth="1"/>
    <col min="519" max="519" width="6.44140625" style="56" customWidth="1"/>
    <col min="520" max="520" width="8.21875" style="56" customWidth="1"/>
    <col min="521" max="521" width="6.77734375" style="56" customWidth="1"/>
    <col min="522" max="522" width="4.77734375" style="56" customWidth="1"/>
    <col min="523" max="524" width="5" style="56" customWidth="1"/>
    <col min="525" max="525" width="9.21875" style="56"/>
    <col min="526" max="526" width="10.5546875" style="56" customWidth="1"/>
    <col min="527" max="527" width="3.77734375" style="56" customWidth="1"/>
    <col min="528" max="529" width="9.21875" style="56"/>
    <col min="530" max="530" width="3.77734375" style="56" customWidth="1"/>
    <col min="531" max="770" width="9.21875" style="56"/>
    <col min="771" max="771" width="24.77734375" style="56" customWidth="1"/>
    <col min="772" max="772" width="13.5546875" style="56" customWidth="1"/>
    <col min="773" max="773" width="9.21875" style="56"/>
    <col min="774" max="774" width="6.77734375" style="56" customWidth="1"/>
    <col min="775" max="775" width="6.44140625" style="56" customWidth="1"/>
    <col min="776" max="776" width="8.21875" style="56" customWidth="1"/>
    <col min="777" max="777" width="6.77734375" style="56" customWidth="1"/>
    <col min="778" max="778" width="4.77734375" style="56" customWidth="1"/>
    <col min="779" max="780" width="5" style="56" customWidth="1"/>
    <col min="781" max="781" width="9.21875" style="56"/>
    <col min="782" max="782" width="10.5546875" style="56" customWidth="1"/>
    <col min="783" max="783" width="3.77734375" style="56" customWidth="1"/>
    <col min="784" max="785" width="9.21875" style="56"/>
    <col min="786" max="786" width="3.77734375" style="56" customWidth="1"/>
    <col min="787" max="1026" width="9.21875" style="56"/>
    <col min="1027" max="1027" width="24.77734375" style="56" customWidth="1"/>
    <col min="1028" max="1028" width="13.5546875" style="56" customWidth="1"/>
    <col min="1029" max="1029" width="9.21875" style="56"/>
    <col min="1030" max="1030" width="6.77734375" style="56" customWidth="1"/>
    <col min="1031" max="1031" width="6.44140625" style="56" customWidth="1"/>
    <col min="1032" max="1032" width="8.21875" style="56" customWidth="1"/>
    <col min="1033" max="1033" width="6.77734375" style="56" customWidth="1"/>
    <col min="1034" max="1034" width="4.77734375" style="56" customWidth="1"/>
    <col min="1035" max="1036" width="5" style="56" customWidth="1"/>
    <col min="1037" max="1037" width="9.21875" style="56"/>
    <col min="1038" max="1038" width="10.5546875" style="56" customWidth="1"/>
    <col min="1039" max="1039" width="3.77734375" style="56" customWidth="1"/>
    <col min="1040" max="1041" width="9.21875" style="56"/>
    <col min="1042" max="1042" width="3.77734375" style="56" customWidth="1"/>
    <col min="1043" max="1282" width="9.21875" style="56"/>
    <col min="1283" max="1283" width="24.77734375" style="56" customWidth="1"/>
    <col min="1284" max="1284" width="13.5546875" style="56" customWidth="1"/>
    <col min="1285" max="1285" width="9.21875" style="56"/>
    <col min="1286" max="1286" width="6.77734375" style="56" customWidth="1"/>
    <col min="1287" max="1287" width="6.44140625" style="56" customWidth="1"/>
    <col min="1288" max="1288" width="8.21875" style="56" customWidth="1"/>
    <col min="1289" max="1289" width="6.77734375" style="56" customWidth="1"/>
    <col min="1290" max="1290" width="4.77734375" style="56" customWidth="1"/>
    <col min="1291" max="1292" width="5" style="56" customWidth="1"/>
    <col min="1293" max="1293" width="9.21875" style="56"/>
    <col min="1294" max="1294" width="10.5546875" style="56" customWidth="1"/>
    <col min="1295" max="1295" width="3.77734375" style="56" customWidth="1"/>
    <col min="1296" max="1297" width="9.21875" style="56"/>
    <col min="1298" max="1298" width="3.77734375" style="56" customWidth="1"/>
    <col min="1299" max="1538" width="9.21875" style="56"/>
    <col min="1539" max="1539" width="24.77734375" style="56" customWidth="1"/>
    <col min="1540" max="1540" width="13.5546875" style="56" customWidth="1"/>
    <col min="1541" max="1541" width="9.21875" style="56"/>
    <col min="1542" max="1542" width="6.77734375" style="56" customWidth="1"/>
    <col min="1543" max="1543" width="6.44140625" style="56" customWidth="1"/>
    <col min="1544" max="1544" width="8.21875" style="56" customWidth="1"/>
    <col min="1545" max="1545" width="6.77734375" style="56" customWidth="1"/>
    <col min="1546" max="1546" width="4.77734375" style="56" customWidth="1"/>
    <col min="1547" max="1548" width="5" style="56" customWidth="1"/>
    <col min="1549" max="1549" width="9.21875" style="56"/>
    <col min="1550" max="1550" width="10.5546875" style="56" customWidth="1"/>
    <col min="1551" max="1551" width="3.77734375" style="56" customWidth="1"/>
    <col min="1552" max="1553" width="9.21875" style="56"/>
    <col min="1554" max="1554" width="3.77734375" style="56" customWidth="1"/>
    <col min="1555" max="1794" width="9.21875" style="56"/>
    <col min="1795" max="1795" width="24.77734375" style="56" customWidth="1"/>
    <col min="1796" max="1796" width="13.5546875" style="56" customWidth="1"/>
    <col min="1797" max="1797" width="9.21875" style="56"/>
    <col min="1798" max="1798" width="6.77734375" style="56" customWidth="1"/>
    <col min="1799" max="1799" width="6.44140625" style="56" customWidth="1"/>
    <col min="1800" max="1800" width="8.21875" style="56" customWidth="1"/>
    <col min="1801" max="1801" width="6.77734375" style="56" customWidth="1"/>
    <col min="1802" max="1802" width="4.77734375" style="56" customWidth="1"/>
    <col min="1803" max="1804" width="5" style="56" customWidth="1"/>
    <col min="1805" max="1805" width="9.21875" style="56"/>
    <col min="1806" max="1806" width="10.5546875" style="56" customWidth="1"/>
    <col min="1807" max="1807" width="3.77734375" style="56" customWidth="1"/>
    <col min="1808" max="1809" width="9.21875" style="56"/>
    <col min="1810" max="1810" width="3.77734375" style="56" customWidth="1"/>
    <col min="1811" max="2050" width="9.21875" style="56"/>
    <col min="2051" max="2051" width="24.77734375" style="56" customWidth="1"/>
    <col min="2052" max="2052" width="13.5546875" style="56" customWidth="1"/>
    <col min="2053" max="2053" width="9.21875" style="56"/>
    <col min="2054" max="2054" width="6.77734375" style="56" customWidth="1"/>
    <col min="2055" max="2055" width="6.44140625" style="56" customWidth="1"/>
    <col min="2056" max="2056" width="8.21875" style="56" customWidth="1"/>
    <col min="2057" max="2057" width="6.77734375" style="56" customWidth="1"/>
    <col min="2058" max="2058" width="4.77734375" style="56" customWidth="1"/>
    <col min="2059" max="2060" width="5" style="56" customWidth="1"/>
    <col min="2061" max="2061" width="9.21875" style="56"/>
    <col min="2062" max="2062" width="10.5546875" style="56" customWidth="1"/>
    <col min="2063" max="2063" width="3.77734375" style="56" customWidth="1"/>
    <col min="2064" max="2065" width="9.21875" style="56"/>
    <col min="2066" max="2066" width="3.77734375" style="56" customWidth="1"/>
    <col min="2067" max="2306" width="9.21875" style="56"/>
    <col min="2307" max="2307" width="24.77734375" style="56" customWidth="1"/>
    <col min="2308" max="2308" width="13.5546875" style="56" customWidth="1"/>
    <col min="2309" max="2309" width="9.21875" style="56"/>
    <col min="2310" max="2310" width="6.77734375" style="56" customWidth="1"/>
    <col min="2311" max="2311" width="6.44140625" style="56" customWidth="1"/>
    <col min="2312" max="2312" width="8.21875" style="56" customWidth="1"/>
    <col min="2313" max="2313" width="6.77734375" style="56" customWidth="1"/>
    <col min="2314" max="2314" width="4.77734375" style="56" customWidth="1"/>
    <col min="2315" max="2316" width="5" style="56" customWidth="1"/>
    <col min="2317" max="2317" width="9.21875" style="56"/>
    <col min="2318" max="2318" width="10.5546875" style="56" customWidth="1"/>
    <col min="2319" max="2319" width="3.77734375" style="56" customWidth="1"/>
    <col min="2320" max="2321" width="9.21875" style="56"/>
    <col min="2322" max="2322" width="3.77734375" style="56" customWidth="1"/>
    <col min="2323" max="2562" width="9.21875" style="56"/>
    <col min="2563" max="2563" width="24.77734375" style="56" customWidth="1"/>
    <col min="2564" max="2564" width="13.5546875" style="56" customWidth="1"/>
    <col min="2565" max="2565" width="9.21875" style="56"/>
    <col min="2566" max="2566" width="6.77734375" style="56" customWidth="1"/>
    <col min="2567" max="2567" width="6.44140625" style="56" customWidth="1"/>
    <col min="2568" max="2568" width="8.21875" style="56" customWidth="1"/>
    <col min="2569" max="2569" width="6.77734375" style="56" customWidth="1"/>
    <col min="2570" max="2570" width="4.77734375" style="56" customWidth="1"/>
    <col min="2571" max="2572" width="5" style="56" customWidth="1"/>
    <col min="2573" max="2573" width="9.21875" style="56"/>
    <col min="2574" max="2574" width="10.5546875" style="56" customWidth="1"/>
    <col min="2575" max="2575" width="3.77734375" style="56" customWidth="1"/>
    <col min="2576" max="2577" width="9.21875" style="56"/>
    <col min="2578" max="2578" width="3.77734375" style="56" customWidth="1"/>
    <col min="2579" max="2818" width="9.21875" style="56"/>
    <col min="2819" max="2819" width="24.77734375" style="56" customWidth="1"/>
    <col min="2820" max="2820" width="13.5546875" style="56" customWidth="1"/>
    <col min="2821" max="2821" width="9.21875" style="56"/>
    <col min="2822" max="2822" width="6.77734375" style="56" customWidth="1"/>
    <col min="2823" max="2823" width="6.44140625" style="56" customWidth="1"/>
    <col min="2824" max="2824" width="8.21875" style="56" customWidth="1"/>
    <col min="2825" max="2825" width="6.77734375" style="56" customWidth="1"/>
    <col min="2826" max="2826" width="4.77734375" style="56" customWidth="1"/>
    <col min="2827" max="2828" width="5" style="56" customWidth="1"/>
    <col min="2829" max="2829" width="9.21875" style="56"/>
    <col min="2830" max="2830" width="10.5546875" style="56" customWidth="1"/>
    <col min="2831" max="2831" width="3.77734375" style="56" customWidth="1"/>
    <col min="2832" max="2833" width="9.21875" style="56"/>
    <col min="2834" max="2834" width="3.77734375" style="56" customWidth="1"/>
    <col min="2835" max="3074" width="9.21875" style="56"/>
    <col min="3075" max="3075" width="24.77734375" style="56" customWidth="1"/>
    <col min="3076" max="3076" width="13.5546875" style="56" customWidth="1"/>
    <col min="3077" max="3077" width="9.21875" style="56"/>
    <col min="3078" max="3078" width="6.77734375" style="56" customWidth="1"/>
    <col min="3079" max="3079" width="6.44140625" style="56" customWidth="1"/>
    <col min="3080" max="3080" width="8.21875" style="56" customWidth="1"/>
    <col min="3081" max="3081" width="6.77734375" style="56" customWidth="1"/>
    <col min="3082" max="3082" width="4.77734375" style="56" customWidth="1"/>
    <col min="3083" max="3084" width="5" style="56" customWidth="1"/>
    <col min="3085" max="3085" width="9.21875" style="56"/>
    <col min="3086" max="3086" width="10.5546875" style="56" customWidth="1"/>
    <col min="3087" max="3087" width="3.77734375" style="56" customWidth="1"/>
    <col min="3088" max="3089" width="9.21875" style="56"/>
    <col min="3090" max="3090" width="3.77734375" style="56" customWidth="1"/>
    <col min="3091" max="3330" width="9.21875" style="56"/>
    <col min="3331" max="3331" width="24.77734375" style="56" customWidth="1"/>
    <col min="3332" max="3332" width="13.5546875" style="56" customWidth="1"/>
    <col min="3333" max="3333" width="9.21875" style="56"/>
    <col min="3334" max="3334" width="6.77734375" style="56" customWidth="1"/>
    <col min="3335" max="3335" width="6.44140625" style="56" customWidth="1"/>
    <col min="3336" max="3336" width="8.21875" style="56" customWidth="1"/>
    <col min="3337" max="3337" width="6.77734375" style="56" customWidth="1"/>
    <col min="3338" max="3338" width="4.77734375" style="56" customWidth="1"/>
    <col min="3339" max="3340" width="5" style="56" customWidth="1"/>
    <col min="3341" max="3341" width="9.21875" style="56"/>
    <col min="3342" max="3342" width="10.5546875" style="56" customWidth="1"/>
    <col min="3343" max="3343" width="3.77734375" style="56" customWidth="1"/>
    <col min="3344" max="3345" width="9.21875" style="56"/>
    <col min="3346" max="3346" width="3.77734375" style="56" customWidth="1"/>
    <col min="3347" max="3586" width="9.21875" style="56"/>
    <col min="3587" max="3587" width="24.77734375" style="56" customWidth="1"/>
    <col min="3588" max="3588" width="13.5546875" style="56" customWidth="1"/>
    <col min="3589" max="3589" width="9.21875" style="56"/>
    <col min="3590" max="3590" width="6.77734375" style="56" customWidth="1"/>
    <col min="3591" max="3591" width="6.44140625" style="56" customWidth="1"/>
    <col min="3592" max="3592" width="8.21875" style="56" customWidth="1"/>
    <col min="3593" max="3593" width="6.77734375" style="56" customWidth="1"/>
    <col min="3594" max="3594" width="4.77734375" style="56" customWidth="1"/>
    <col min="3595" max="3596" width="5" style="56" customWidth="1"/>
    <col min="3597" max="3597" width="9.21875" style="56"/>
    <col min="3598" max="3598" width="10.5546875" style="56" customWidth="1"/>
    <col min="3599" max="3599" width="3.77734375" style="56" customWidth="1"/>
    <col min="3600" max="3601" width="9.21875" style="56"/>
    <col min="3602" max="3602" width="3.77734375" style="56" customWidth="1"/>
    <col min="3603" max="3842" width="9.21875" style="56"/>
    <col min="3843" max="3843" width="24.77734375" style="56" customWidth="1"/>
    <col min="3844" max="3844" width="13.5546875" style="56" customWidth="1"/>
    <col min="3845" max="3845" width="9.21875" style="56"/>
    <col min="3846" max="3846" width="6.77734375" style="56" customWidth="1"/>
    <col min="3847" max="3847" width="6.44140625" style="56" customWidth="1"/>
    <col min="3848" max="3848" width="8.21875" style="56" customWidth="1"/>
    <col min="3849" max="3849" width="6.77734375" style="56" customWidth="1"/>
    <col min="3850" max="3850" width="4.77734375" style="56" customWidth="1"/>
    <col min="3851" max="3852" width="5" style="56" customWidth="1"/>
    <col min="3853" max="3853" width="9.21875" style="56"/>
    <col min="3854" max="3854" width="10.5546875" style="56" customWidth="1"/>
    <col min="3855" max="3855" width="3.77734375" style="56" customWidth="1"/>
    <col min="3856" max="3857" width="9.21875" style="56"/>
    <col min="3858" max="3858" width="3.77734375" style="56" customWidth="1"/>
    <col min="3859" max="4098" width="9.21875" style="56"/>
    <col min="4099" max="4099" width="24.77734375" style="56" customWidth="1"/>
    <col min="4100" max="4100" width="13.5546875" style="56" customWidth="1"/>
    <col min="4101" max="4101" width="9.21875" style="56"/>
    <col min="4102" max="4102" width="6.77734375" style="56" customWidth="1"/>
    <col min="4103" max="4103" width="6.44140625" style="56" customWidth="1"/>
    <col min="4104" max="4104" width="8.21875" style="56" customWidth="1"/>
    <col min="4105" max="4105" width="6.77734375" style="56" customWidth="1"/>
    <col min="4106" max="4106" width="4.77734375" style="56" customWidth="1"/>
    <col min="4107" max="4108" width="5" style="56" customWidth="1"/>
    <col min="4109" max="4109" width="9.21875" style="56"/>
    <col min="4110" max="4110" width="10.5546875" style="56" customWidth="1"/>
    <col min="4111" max="4111" width="3.77734375" style="56" customWidth="1"/>
    <col min="4112" max="4113" width="9.21875" style="56"/>
    <col min="4114" max="4114" width="3.77734375" style="56" customWidth="1"/>
    <col min="4115" max="4354" width="9.21875" style="56"/>
    <col min="4355" max="4355" width="24.77734375" style="56" customWidth="1"/>
    <col min="4356" max="4356" width="13.5546875" style="56" customWidth="1"/>
    <col min="4357" max="4357" width="9.21875" style="56"/>
    <col min="4358" max="4358" width="6.77734375" style="56" customWidth="1"/>
    <col min="4359" max="4359" width="6.44140625" style="56" customWidth="1"/>
    <col min="4360" max="4360" width="8.21875" style="56" customWidth="1"/>
    <col min="4361" max="4361" width="6.77734375" style="56" customWidth="1"/>
    <col min="4362" max="4362" width="4.77734375" style="56" customWidth="1"/>
    <col min="4363" max="4364" width="5" style="56" customWidth="1"/>
    <col min="4365" max="4365" width="9.21875" style="56"/>
    <col min="4366" max="4366" width="10.5546875" style="56" customWidth="1"/>
    <col min="4367" max="4367" width="3.77734375" style="56" customWidth="1"/>
    <col min="4368" max="4369" width="9.21875" style="56"/>
    <col min="4370" max="4370" width="3.77734375" style="56" customWidth="1"/>
    <col min="4371" max="4610" width="9.21875" style="56"/>
    <col min="4611" max="4611" width="24.77734375" style="56" customWidth="1"/>
    <col min="4612" max="4612" width="13.5546875" style="56" customWidth="1"/>
    <col min="4613" max="4613" width="9.21875" style="56"/>
    <col min="4614" max="4614" width="6.77734375" style="56" customWidth="1"/>
    <col min="4615" max="4615" width="6.44140625" style="56" customWidth="1"/>
    <col min="4616" max="4616" width="8.21875" style="56" customWidth="1"/>
    <col min="4617" max="4617" width="6.77734375" style="56" customWidth="1"/>
    <col min="4618" max="4618" width="4.77734375" style="56" customWidth="1"/>
    <col min="4619" max="4620" width="5" style="56" customWidth="1"/>
    <col min="4621" max="4621" width="9.21875" style="56"/>
    <col min="4622" max="4622" width="10.5546875" style="56" customWidth="1"/>
    <col min="4623" max="4623" width="3.77734375" style="56" customWidth="1"/>
    <col min="4624" max="4625" width="9.21875" style="56"/>
    <col min="4626" max="4626" width="3.77734375" style="56" customWidth="1"/>
    <col min="4627" max="4866" width="9.21875" style="56"/>
    <col min="4867" max="4867" width="24.77734375" style="56" customWidth="1"/>
    <col min="4868" max="4868" width="13.5546875" style="56" customWidth="1"/>
    <col min="4869" max="4869" width="9.21875" style="56"/>
    <col min="4870" max="4870" width="6.77734375" style="56" customWidth="1"/>
    <col min="4871" max="4871" width="6.44140625" style="56" customWidth="1"/>
    <col min="4872" max="4872" width="8.21875" style="56" customWidth="1"/>
    <col min="4873" max="4873" width="6.77734375" style="56" customWidth="1"/>
    <col min="4874" max="4874" width="4.77734375" style="56" customWidth="1"/>
    <col min="4875" max="4876" width="5" style="56" customWidth="1"/>
    <col min="4877" max="4877" width="9.21875" style="56"/>
    <col min="4878" max="4878" width="10.5546875" style="56" customWidth="1"/>
    <col min="4879" max="4879" width="3.77734375" style="56" customWidth="1"/>
    <col min="4880" max="4881" width="9.21875" style="56"/>
    <col min="4882" max="4882" width="3.77734375" style="56" customWidth="1"/>
    <col min="4883" max="5122" width="9.21875" style="56"/>
    <col min="5123" max="5123" width="24.77734375" style="56" customWidth="1"/>
    <col min="5124" max="5124" width="13.5546875" style="56" customWidth="1"/>
    <col min="5125" max="5125" width="9.21875" style="56"/>
    <col min="5126" max="5126" width="6.77734375" style="56" customWidth="1"/>
    <col min="5127" max="5127" width="6.44140625" style="56" customWidth="1"/>
    <col min="5128" max="5128" width="8.21875" style="56" customWidth="1"/>
    <col min="5129" max="5129" width="6.77734375" style="56" customWidth="1"/>
    <col min="5130" max="5130" width="4.77734375" style="56" customWidth="1"/>
    <col min="5131" max="5132" width="5" style="56" customWidth="1"/>
    <col min="5133" max="5133" width="9.21875" style="56"/>
    <col min="5134" max="5134" width="10.5546875" style="56" customWidth="1"/>
    <col min="5135" max="5135" width="3.77734375" style="56" customWidth="1"/>
    <col min="5136" max="5137" width="9.21875" style="56"/>
    <col min="5138" max="5138" width="3.77734375" style="56" customWidth="1"/>
    <col min="5139" max="5378" width="9.21875" style="56"/>
    <col min="5379" max="5379" width="24.77734375" style="56" customWidth="1"/>
    <col min="5380" max="5380" width="13.5546875" style="56" customWidth="1"/>
    <col min="5381" max="5381" width="9.21875" style="56"/>
    <col min="5382" max="5382" width="6.77734375" style="56" customWidth="1"/>
    <col min="5383" max="5383" width="6.44140625" style="56" customWidth="1"/>
    <col min="5384" max="5384" width="8.21875" style="56" customWidth="1"/>
    <col min="5385" max="5385" width="6.77734375" style="56" customWidth="1"/>
    <col min="5386" max="5386" width="4.77734375" style="56" customWidth="1"/>
    <col min="5387" max="5388" width="5" style="56" customWidth="1"/>
    <col min="5389" max="5389" width="9.21875" style="56"/>
    <col min="5390" max="5390" width="10.5546875" style="56" customWidth="1"/>
    <col min="5391" max="5391" width="3.77734375" style="56" customWidth="1"/>
    <col min="5392" max="5393" width="9.21875" style="56"/>
    <col min="5394" max="5394" width="3.77734375" style="56" customWidth="1"/>
    <col min="5395" max="5634" width="9.21875" style="56"/>
    <col min="5635" max="5635" width="24.77734375" style="56" customWidth="1"/>
    <col min="5636" max="5636" width="13.5546875" style="56" customWidth="1"/>
    <col min="5637" max="5637" width="9.21875" style="56"/>
    <col min="5638" max="5638" width="6.77734375" style="56" customWidth="1"/>
    <col min="5639" max="5639" width="6.44140625" style="56" customWidth="1"/>
    <col min="5640" max="5640" width="8.21875" style="56" customWidth="1"/>
    <col min="5641" max="5641" width="6.77734375" style="56" customWidth="1"/>
    <col min="5642" max="5642" width="4.77734375" style="56" customWidth="1"/>
    <col min="5643" max="5644" width="5" style="56" customWidth="1"/>
    <col min="5645" max="5645" width="9.21875" style="56"/>
    <col min="5646" max="5646" width="10.5546875" style="56" customWidth="1"/>
    <col min="5647" max="5647" width="3.77734375" style="56" customWidth="1"/>
    <col min="5648" max="5649" width="9.21875" style="56"/>
    <col min="5650" max="5650" width="3.77734375" style="56" customWidth="1"/>
    <col min="5651" max="5890" width="9.21875" style="56"/>
    <col min="5891" max="5891" width="24.77734375" style="56" customWidth="1"/>
    <col min="5892" max="5892" width="13.5546875" style="56" customWidth="1"/>
    <col min="5893" max="5893" width="9.21875" style="56"/>
    <col min="5894" max="5894" width="6.77734375" style="56" customWidth="1"/>
    <col min="5895" max="5895" width="6.44140625" style="56" customWidth="1"/>
    <col min="5896" max="5896" width="8.21875" style="56" customWidth="1"/>
    <col min="5897" max="5897" width="6.77734375" style="56" customWidth="1"/>
    <col min="5898" max="5898" width="4.77734375" style="56" customWidth="1"/>
    <col min="5899" max="5900" width="5" style="56" customWidth="1"/>
    <col min="5901" max="5901" width="9.21875" style="56"/>
    <col min="5902" max="5902" width="10.5546875" style="56" customWidth="1"/>
    <col min="5903" max="5903" width="3.77734375" style="56" customWidth="1"/>
    <col min="5904" max="5905" width="9.21875" style="56"/>
    <col min="5906" max="5906" width="3.77734375" style="56" customWidth="1"/>
    <col min="5907" max="6146" width="9.21875" style="56"/>
    <col min="6147" max="6147" width="24.77734375" style="56" customWidth="1"/>
    <col min="6148" max="6148" width="13.5546875" style="56" customWidth="1"/>
    <col min="6149" max="6149" width="9.21875" style="56"/>
    <col min="6150" max="6150" width="6.77734375" style="56" customWidth="1"/>
    <col min="6151" max="6151" width="6.44140625" style="56" customWidth="1"/>
    <col min="6152" max="6152" width="8.21875" style="56" customWidth="1"/>
    <col min="6153" max="6153" width="6.77734375" style="56" customWidth="1"/>
    <col min="6154" max="6154" width="4.77734375" style="56" customWidth="1"/>
    <col min="6155" max="6156" width="5" style="56" customWidth="1"/>
    <col min="6157" max="6157" width="9.21875" style="56"/>
    <col min="6158" max="6158" width="10.5546875" style="56" customWidth="1"/>
    <col min="6159" max="6159" width="3.77734375" style="56" customWidth="1"/>
    <col min="6160" max="6161" width="9.21875" style="56"/>
    <col min="6162" max="6162" width="3.77734375" style="56" customWidth="1"/>
    <col min="6163" max="6402" width="9.21875" style="56"/>
    <col min="6403" max="6403" width="24.77734375" style="56" customWidth="1"/>
    <col min="6404" max="6404" width="13.5546875" style="56" customWidth="1"/>
    <col min="6405" max="6405" width="9.21875" style="56"/>
    <col min="6406" max="6406" width="6.77734375" style="56" customWidth="1"/>
    <col min="6407" max="6407" width="6.44140625" style="56" customWidth="1"/>
    <col min="6408" max="6408" width="8.21875" style="56" customWidth="1"/>
    <col min="6409" max="6409" width="6.77734375" style="56" customWidth="1"/>
    <col min="6410" max="6410" width="4.77734375" style="56" customWidth="1"/>
    <col min="6411" max="6412" width="5" style="56" customWidth="1"/>
    <col min="6413" max="6413" width="9.21875" style="56"/>
    <col min="6414" max="6414" width="10.5546875" style="56" customWidth="1"/>
    <col min="6415" max="6415" width="3.77734375" style="56" customWidth="1"/>
    <col min="6416" max="6417" width="9.21875" style="56"/>
    <col min="6418" max="6418" width="3.77734375" style="56" customWidth="1"/>
    <col min="6419" max="6658" width="9.21875" style="56"/>
    <col min="6659" max="6659" width="24.77734375" style="56" customWidth="1"/>
    <col min="6660" max="6660" width="13.5546875" style="56" customWidth="1"/>
    <col min="6661" max="6661" width="9.21875" style="56"/>
    <col min="6662" max="6662" width="6.77734375" style="56" customWidth="1"/>
    <col min="6663" max="6663" width="6.44140625" style="56" customWidth="1"/>
    <col min="6664" max="6664" width="8.21875" style="56" customWidth="1"/>
    <col min="6665" max="6665" width="6.77734375" style="56" customWidth="1"/>
    <col min="6666" max="6666" width="4.77734375" style="56" customWidth="1"/>
    <col min="6667" max="6668" width="5" style="56" customWidth="1"/>
    <col min="6669" max="6669" width="9.21875" style="56"/>
    <col min="6670" max="6670" width="10.5546875" style="56" customWidth="1"/>
    <col min="6671" max="6671" width="3.77734375" style="56" customWidth="1"/>
    <col min="6672" max="6673" width="9.21875" style="56"/>
    <col min="6674" max="6674" width="3.77734375" style="56" customWidth="1"/>
    <col min="6675" max="6914" width="9.21875" style="56"/>
    <col min="6915" max="6915" width="24.77734375" style="56" customWidth="1"/>
    <col min="6916" max="6916" width="13.5546875" style="56" customWidth="1"/>
    <col min="6917" max="6917" width="9.21875" style="56"/>
    <col min="6918" max="6918" width="6.77734375" style="56" customWidth="1"/>
    <col min="6919" max="6919" width="6.44140625" style="56" customWidth="1"/>
    <col min="6920" max="6920" width="8.21875" style="56" customWidth="1"/>
    <col min="6921" max="6921" width="6.77734375" style="56" customWidth="1"/>
    <col min="6922" max="6922" width="4.77734375" style="56" customWidth="1"/>
    <col min="6923" max="6924" width="5" style="56" customWidth="1"/>
    <col min="6925" max="6925" width="9.21875" style="56"/>
    <col min="6926" max="6926" width="10.5546875" style="56" customWidth="1"/>
    <col min="6927" max="6927" width="3.77734375" style="56" customWidth="1"/>
    <col min="6928" max="6929" width="9.21875" style="56"/>
    <col min="6930" max="6930" width="3.77734375" style="56" customWidth="1"/>
    <col min="6931" max="7170" width="9.21875" style="56"/>
    <col min="7171" max="7171" width="24.77734375" style="56" customWidth="1"/>
    <col min="7172" max="7172" width="13.5546875" style="56" customWidth="1"/>
    <col min="7173" max="7173" width="9.21875" style="56"/>
    <col min="7174" max="7174" width="6.77734375" style="56" customWidth="1"/>
    <col min="7175" max="7175" width="6.44140625" style="56" customWidth="1"/>
    <col min="7176" max="7176" width="8.21875" style="56" customWidth="1"/>
    <col min="7177" max="7177" width="6.77734375" style="56" customWidth="1"/>
    <col min="7178" max="7178" width="4.77734375" style="56" customWidth="1"/>
    <col min="7179" max="7180" width="5" style="56" customWidth="1"/>
    <col min="7181" max="7181" width="9.21875" style="56"/>
    <col min="7182" max="7182" width="10.5546875" style="56" customWidth="1"/>
    <col min="7183" max="7183" width="3.77734375" style="56" customWidth="1"/>
    <col min="7184" max="7185" width="9.21875" style="56"/>
    <col min="7186" max="7186" width="3.77734375" style="56" customWidth="1"/>
    <col min="7187" max="7426" width="9.21875" style="56"/>
    <col min="7427" max="7427" width="24.77734375" style="56" customWidth="1"/>
    <col min="7428" max="7428" width="13.5546875" style="56" customWidth="1"/>
    <col min="7429" max="7429" width="9.21875" style="56"/>
    <col min="7430" max="7430" width="6.77734375" style="56" customWidth="1"/>
    <col min="7431" max="7431" width="6.44140625" style="56" customWidth="1"/>
    <col min="7432" max="7432" width="8.21875" style="56" customWidth="1"/>
    <col min="7433" max="7433" width="6.77734375" style="56" customWidth="1"/>
    <col min="7434" max="7434" width="4.77734375" style="56" customWidth="1"/>
    <col min="7435" max="7436" width="5" style="56" customWidth="1"/>
    <col min="7437" max="7437" width="9.21875" style="56"/>
    <col min="7438" max="7438" width="10.5546875" style="56" customWidth="1"/>
    <col min="7439" max="7439" width="3.77734375" style="56" customWidth="1"/>
    <col min="7440" max="7441" width="9.21875" style="56"/>
    <col min="7442" max="7442" width="3.77734375" style="56" customWidth="1"/>
    <col min="7443" max="7682" width="9.21875" style="56"/>
    <col min="7683" max="7683" width="24.77734375" style="56" customWidth="1"/>
    <col min="7684" max="7684" width="13.5546875" style="56" customWidth="1"/>
    <col min="7685" max="7685" width="9.21875" style="56"/>
    <col min="7686" max="7686" width="6.77734375" style="56" customWidth="1"/>
    <col min="7687" max="7687" width="6.44140625" style="56" customWidth="1"/>
    <col min="7688" max="7688" width="8.21875" style="56" customWidth="1"/>
    <col min="7689" max="7689" width="6.77734375" style="56" customWidth="1"/>
    <col min="7690" max="7690" width="4.77734375" style="56" customWidth="1"/>
    <col min="7691" max="7692" width="5" style="56" customWidth="1"/>
    <col min="7693" max="7693" width="9.21875" style="56"/>
    <col min="7694" max="7694" width="10.5546875" style="56" customWidth="1"/>
    <col min="7695" max="7695" width="3.77734375" style="56" customWidth="1"/>
    <col min="7696" max="7697" width="9.21875" style="56"/>
    <col min="7698" max="7698" width="3.77734375" style="56" customWidth="1"/>
    <col min="7699" max="7938" width="9.21875" style="56"/>
    <col min="7939" max="7939" width="24.77734375" style="56" customWidth="1"/>
    <col min="7940" max="7940" width="13.5546875" style="56" customWidth="1"/>
    <col min="7941" max="7941" width="9.21875" style="56"/>
    <col min="7942" max="7942" width="6.77734375" style="56" customWidth="1"/>
    <col min="7943" max="7943" width="6.44140625" style="56" customWidth="1"/>
    <col min="7944" max="7944" width="8.21875" style="56" customWidth="1"/>
    <col min="7945" max="7945" width="6.77734375" style="56" customWidth="1"/>
    <col min="7946" max="7946" width="4.77734375" style="56" customWidth="1"/>
    <col min="7947" max="7948" width="5" style="56" customWidth="1"/>
    <col min="7949" max="7949" width="9.21875" style="56"/>
    <col min="7950" max="7950" width="10.5546875" style="56" customWidth="1"/>
    <col min="7951" max="7951" width="3.77734375" style="56" customWidth="1"/>
    <col min="7952" max="7953" width="9.21875" style="56"/>
    <col min="7954" max="7954" width="3.77734375" style="56" customWidth="1"/>
    <col min="7955" max="8194" width="9.21875" style="56"/>
    <col min="8195" max="8195" width="24.77734375" style="56" customWidth="1"/>
    <col min="8196" max="8196" width="13.5546875" style="56" customWidth="1"/>
    <col min="8197" max="8197" width="9.21875" style="56"/>
    <col min="8198" max="8198" width="6.77734375" style="56" customWidth="1"/>
    <col min="8199" max="8199" width="6.44140625" style="56" customWidth="1"/>
    <col min="8200" max="8200" width="8.21875" style="56" customWidth="1"/>
    <col min="8201" max="8201" width="6.77734375" style="56" customWidth="1"/>
    <col min="8202" max="8202" width="4.77734375" style="56" customWidth="1"/>
    <col min="8203" max="8204" width="5" style="56" customWidth="1"/>
    <col min="8205" max="8205" width="9.21875" style="56"/>
    <col min="8206" max="8206" width="10.5546875" style="56" customWidth="1"/>
    <col min="8207" max="8207" width="3.77734375" style="56" customWidth="1"/>
    <col min="8208" max="8209" width="9.21875" style="56"/>
    <col min="8210" max="8210" width="3.77734375" style="56" customWidth="1"/>
    <col min="8211" max="8450" width="9.21875" style="56"/>
    <col min="8451" max="8451" width="24.77734375" style="56" customWidth="1"/>
    <col min="8452" max="8452" width="13.5546875" style="56" customWidth="1"/>
    <col min="8453" max="8453" width="9.21875" style="56"/>
    <col min="8454" max="8454" width="6.77734375" style="56" customWidth="1"/>
    <col min="8455" max="8455" width="6.44140625" style="56" customWidth="1"/>
    <col min="8456" max="8456" width="8.21875" style="56" customWidth="1"/>
    <col min="8457" max="8457" width="6.77734375" style="56" customWidth="1"/>
    <col min="8458" max="8458" width="4.77734375" style="56" customWidth="1"/>
    <col min="8459" max="8460" width="5" style="56" customWidth="1"/>
    <col min="8461" max="8461" width="9.21875" style="56"/>
    <col min="8462" max="8462" width="10.5546875" style="56" customWidth="1"/>
    <col min="8463" max="8463" width="3.77734375" style="56" customWidth="1"/>
    <col min="8464" max="8465" width="9.21875" style="56"/>
    <col min="8466" max="8466" width="3.77734375" style="56" customWidth="1"/>
    <col min="8467" max="8706" width="9.21875" style="56"/>
    <col min="8707" max="8707" width="24.77734375" style="56" customWidth="1"/>
    <col min="8708" max="8708" width="13.5546875" style="56" customWidth="1"/>
    <col min="8709" max="8709" width="9.21875" style="56"/>
    <col min="8710" max="8710" width="6.77734375" style="56" customWidth="1"/>
    <col min="8711" max="8711" width="6.44140625" style="56" customWidth="1"/>
    <col min="8712" max="8712" width="8.21875" style="56" customWidth="1"/>
    <col min="8713" max="8713" width="6.77734375" style="56" customWidth="1"/>
    <col min="8714" max="8714" width="4.77734375" style="56" customWidth="1"/>
    <col min="8715" max="8716" width="5" style="56" customWidth="1"/>
    <col min="8717" max="8717" width="9.21875" style="56"/>
    <col min="8718" max="8718" width="10.5546875" style="56" customWidth="1"/>
    <col min="8719" max="8719" width="3.77734375" style="56" customWidth="1"/>
    <col min="8720" max="8721" width="9.21875" style="56"/>
    <col min="8722" max="8722" width="3.77734375" style="56" customWidth="1"/>
    <col min="8723" max="8962" width="9.21875" style="56"/>
    <col min="8963" max="8963" width="24.77734375" style="56" customWidth="1"/>
    <col min="8964" max="8964" width="13.5546875" style="56" customWidth="1"/>
    <col min="8965" max="8965" width="9.21875" style="56"/>
    <col min="8966" max="8966" width="6.77734375" style="56" customWidth="1"/>
    <col min="8967" max="8967" width="6.44140625" style="56" customWidth="1"/>
    <col min="8968" max="8968" width="8.21875" style="56" customWidth="1"/>
    <col min="8969" max="8969" width="6.77734375" style="56" customWidth="1"/>
    <col min="8970" max="8970" width="4.77734375" style="56" customWidth="1"/>
    <col min="8971" max="8972" width="5" style="56" customWidth="1"/>
    <col min="8973" max="8973" width="9.21875" style="56"/>
    <col min="8974" max="8974" width="10.5546875" style="56" customWidth="1"/>
    <col min="8975" max="8975" width="3.77734375" style="56" customWidth="1"/>
    <col min="8976" max="8977" width="9.21875" style="56"/>
    <col min="8978" max="8978" width="3.77734375" style="56" customWidth="1"/>
    <col min="8979" max="9218" width="9.21875" style="56"/>
    <col min="9219" max="9219" width="24.77734375" style="56" customWidth="1"/>
    <col min="9220" max="9220" width="13.5546875" style="56" customWidth="1"/>
    <col min="9221" max="9221" width="9.21875" style="56"/>
    <col min="9222" max="9222" width="6.77734375" style="56" customWidth="1"/>
    <col min="9223" max="9223" width="6.44140625" style="56" customWidth="1"/>
    <col min="9224" max="9224" width="8.21875" style="56" customWidth="1"/>
    <col min="9225" max="9225" width="6.77734375" style="56" customWidth="1"/>
    <col min="9226" max="9226" width="4.77734375" style="56" customWidth="1"/>
    <col min="9227" max="9228" width="5" style="56" customWidth="1"/>
    <col min="9229" max="9229" width="9.21875" style="56"/>
    <col min="9230" max="9230" width="10.5546875" style="56" customWidth="1"/>
    <col min="9231" max="9231" width="3.77734375" style="56" customWidth="1"/>
    <col min="9232" max="9233" width="9.21875" style="56"/>
    <col min="9234" max="9234" width="3.77734375" style="56" customWidth="1"/>
    <col min="9235" max="9474" width="9.21875" style="56"/>
    <col min="9475" max="9475" width="24.77734375" style="56" customWidth="1"/>
    <col min="9476" max="9476" width="13.5546875" style="56" customWidth="1"/>
    <col min="9477" max="9477" width="9.21875" style="56"/>
    <col min="9478" max="9478" width="6.77734375" style="56" customWidth="1"/>
    <col min="9479" max="9479" width="6.44140625" style="56" customWidth="1"/>
    <col min="9480" max="9480" width="8.21875" style="56" customWidth="1"/>
    <col min="9481" max="9481" width="6.77734375" style="56" customWidth="1"/>
    <col min="9482" max="9482" width="4.77734375" style="56" customWidth="1"/>
    <col min="9483" max="9484" width="5" style="56" customWidth="1"/>
    <col min="9485" max="9485" width="9.21875" style="56"/>
    <col min="9486" max="9486" width="10.5546875" style="56" customWidth="1"/>
    <col min="9487" max="9487" width="3.77734375" style="56" customWidth="1"/>
    <col min="9488" max="9489" width="9.21875" style="56"/>
    <col min="9490" max="9490" width="3.77734375" style="56" customWidth="1"/>
    <col min="9491" max="9730" width="9.21875" style="56"/>
    <col min="9731" max="9731" width="24.77734375" style="56" customWidth="1"/>
    <col min="9732" max="9732" width="13.5546875" style="56" customWidth="1"/>
    <col min="9733" max="9733" width="9.21875" style="56"/>
    <col min="9734" max="9734" width="6.77734375" style="56" customWidth="1"/>
    <col min="9735" max="9735" width="6.44140625" style="56" customWidth="1"/>
    <col min="9736" max="9736" width="8.21875" style="56" customWidth="1"/>
    <col min="9737" max="9737" width="6.77734375" style="56" customWidth="1"/>
    <col min="9738" max="9738" width="4.77734375" style="56" customWidth="1"/>
    <col min="9739" max="9740" width="5" style="56" customWidth="1"/>
    <col min="9741" max="9741" width="9.21875" style="56"/>
    <col min="9742" max="9742" width="10.5546875" style="56" customWidth="1"/>
    <col min="9743" max="9743" width="3.77734375" style="56" customWidth="1"/>
    <col min="9744" max="9745" width="9.21875" style="56"/>
    <col min="9746" max="9746" width="3.77734375" style="56" customWidth="1"/>
    <col min="9747" max="9986" width="9.21875" style="56"/>
    <col min="9987" max="9987" width="24.77734375" style="56" customWidth="1"/>
    <col min="9988" max="9988" width="13.5546875" style="56" customWidth="1"/>
    <col min="9989" max="9989" width="9.21875" style="56"/>
    <col min="9990" max="9990" width="6.77734375" style="56" customWidth="1"/>
    <col min="9991" max="9991" width="6.44140625" style="56" customWidth="1"/>
    <col min="9992" max="9992" width="8.21875" style="56" customWidth="1"/>
    <col min="9993" max="9993" width="6.77734375" style="56" customWidth="1"/>
    <col min="9994" max="9994" width="4.77734375" style="56" customWidth="1"/>
    <col min="9995" max="9996" width="5" style="56" customWidth="1"/>
    <col min="9997" max="9997" width="9.21875" style="56"/>
    <col min="9998" max="9998" width="10.5546875" style="56" customWidth="1"/>
    <col min="9999" max="9999" width="3.77734375" style="56" customWidth="1"/>
    <col min="10000" max="10001" width="9.21875" style="56"/>
    <col min="10002" max="10002" width="3.77734375" style="56" customWidth="1"/>
    <col min="10003" max="10242" width="9.21875" style="56"/>
    <col min="10243" max="10243" width="24.77734375" style="56" customWidth="1"/>
    <col min="10244" max="10244" width="13.5546875" style="56" customWidth="1"/>
    <col min="10245" max="10245" width="9.21875" style="56"/>
    <col min="10246" max="10246" width="6.77734375" style="56" customWidth="1"/>
    <col min="10247" max="10247" width="6.44140625" style="56" customWidth="1"/>
    <col min="10248" max="10248" width="8.21875" style="56" customWidth="1"/>
    <col min="10249" max="10249" width="6.77734375" style="56" customWidth="1"/>
    <col min="10250" max="10250" width="4.77734375" style="56" customWidth="1"/>
    <col min="10251" max="10252" width="5" style="56" customWidth="1"/>
    <col min="10253" max="10253" width="9.21875" style="56"/>
    <col min="10254" max="10254" width="10.5546875" style="56" customWidth="1"/>
    <col min="10255" max="10255" width="3.77734375" style="56" customWidth="1"/>
    <col min="10256" max="10257" width="9.21875" style="56"/>
    <col min="10258" max="10258" width="3.77734375" style="56" customWidth="1"/>
    <col min="10259" max="10498" width="9.21875" style="56"/>
    <col min="10499" max="10499" width="24.77734375" style="56" customWidth="1"/>
    <col min="10500" max="10500" width="13.5546875" style="56" customWidth="1"/>
    <col min="10501" max="10501" width="9.21875" style="56"/>
    <col min="10502" max="10502" width="6.77734375" style="56" customWidth="1"/>
    <col min="10503" max="10503" width="6.44140625" style="56" customWidth="1"/>
    <col min="10504" max="10504" width="8.21875" style="56" customWidth="1"/>
    <col min="10505" max="10505" width="6.77734375" style="56" customWidth="1"/>
    <col min="10506" max="10506" width="4.77734375" style="56" customWidth="1"/>
    <col min="10507" max="10508" width="5" style="56" customWidth="1"/>
    <col min="10509" max="10509" width="9.21875" style="56"/>
    <col min="10510" max="10510" width="10.5546875" style="56" customWidth="1"/>
    <col min="10511" max="10511" width="3.77734375" style="56" customWidth="1"/>
    <col min="10512" max="10513" width="9.21875" style="56"/>
    <col min="10514" max="10514" width="3.77734375" style="56" customWidth="1"/>
    <col min="10515" max="10754" width="9.21875" style="56"/>
    <col min="10755" max="10755" width="24.77734375" style="56" customWidth="1"/>
    <col min="10756" max="10756" width="13.5546875" style="56" customWidth="1"/>
    <col min="10757" max="10757" width="9.21875" style="56"/>
    <col min="10758" max="10758" width="6.77734375" style="56" customWidth="1"/>
    <col min="10759" max="10759" width="6.44140625" style="56" customWidth="1"/>
    <col min="10760" max="10760" width="8.21875" style="56" customWidth="1"/>
    <col min="10761" max="10761" width="6.77734375" style="56" customWidth="1"/>
    <col min="10762" max="10762" width="4.77734375" style="56" customWidth="1"/>
    <col min="10763" max="10764" width="5" style="56" customWidth="1"/>
    <col min="10765" max="10765" width="9.21875" style="56"/>
    <col min="10766" max="10766" width="10.5546875" style="56" customWidth="1"/>
    <col min="10767" max="10767" width="3.77734375" style="56" customWidth="1"/>
    <col min="10768" max="10769" width="9.21875" style="56"/>
    <col min="10770" max="10770" width="3.77734375" style="56" customWidth="1"/>
    <col min="10771" max="11010" width="9.21875" style="56"/>
    <col min="11011" max="11011" width="24.77734375" style="56" customWidth="1"/>
    <col min="11012" max="11012" width="13.5546875" style="56" customWidth="1"/>
    <col min="11013" max="11013" width="9.21875" style="56"/>
    <col min="11014" max="11014" width="6.77734375" style="56" customWidth="1"/>
    <col min="11015" max="11015" width="6.44140625" style="56" customWidth="1"/>
    <col min="11016" max="11016" width="8.21875" style="56" customWidth="1"/>
    <col min="11017" max="11017" width="6.77734375" style="56" customWidth="1"/>
    <col min="11018" max="11018" width="4.77734375" style="56" customWidth="1"/>
    <col min="11019" max="11020" width="5" style="56" customWidth="1"/>
    <col min="11021" max="11021" width="9.21875" style="56"/>
    <col min="11022" max="11022" width="10.5546875" style="56" customWidth="1"/>
    <col min="11023" max="11023" width="3.77734375" style="56" customWidth="1"/>
    <col min="11024" max="11025" width="9.21875" style="56"/>
    <col min="11026" max="11026" width="3.77734375" style="56" customWidth="1"/>
    <col min="11027" max="11266" width="9.21875" style="56"/>
    <col min="11267" max="11267" width="24.77734375" style="56" customWidth="1"/>
    <col min="11268" max="11268" width="13.5546875" style="56" customWidth="1"/>
    <col min="11269" max="11269" width="9.21875" style="56"/>
    <col min="11270" max="11270" width="6.77734375" style="56" customWidth="1"/>
    <col min="11271" max="11271" width="6.44140625" style="56" customWidth="1"/>
    <col min="11272" max="11272" width="8.21875" style="56" customWidth="1"/>
    <col min="11273" max="11273" width="6.77734375" style="56" customWidth="1"/>
    <col min="11274" max="11274" width="4.77734375" style="56" customWidth="1"/>
    <col min="11275" max="11276" width="5" style="56" customWidth="1"/>
    <col min="11277" max="11277" width="9.21875" style="56"/>
    <col min="11278" max="11278" width="10.5546875" style="56" customWidth="1"/>
    <col min="11279" max="11279" width="3.77734375" style="56" customWidth="1"/>
    <col min="11280" max="11281" width="9.21875" style="56"/>
    <col min="11282" max="11282" width="3.77734375" style="56" customWidth="1"/>
    <col min="11283" max="11522" width="9.21875" style="56"/>
    <col min="11523" max="11523" width="24.77734375" style="56" customWidth="1"/>
    <col min="11524" max="11524" width="13.5546875" style="56" customWidth="1"/>
    <col min="11525" max="11525" width="9.21875" style="56"/>
    <col min="11526" max="11526" width="6.77734375" style="56" customWidth="1"/>
    <col min="11527" max="11527" width="6.44140625" style="56" customWidth="1"/>
    <col min="11528" max="11528" width="8.21875" style="56" customWidth="1"/>
    <col min="11529" max="11529" width="6.77734375" style="56" customWidth="1"/>
    <col min="11530" max="11530" width="4.77734375" style="56" customWidth="1"/>
    <col min="11531" max="11532" width="5" style="56" customWidth="1"/>
    <col min="11533" max="11533" width="9.21875" style="56"/>
    <col min="11534" max="11534" width="10.5546875" style="56" customWidth="1"/>
    <col min="11535" max="11535" width="3.77734375" style="56" customWidth="1"/>
    <col min="11536" max="11537" width="9.21875" style="56"/>
    <col min="11538" max="11538" width="3.77734375" style="56" customWidth="1"/>
    <col min="11539" max="11778" width="9.21875" style="56"/>
    <col min="11779" max="11779" width="24.77734375" style="56" customWidth="1"/>
    <col min="11780" max="11780" width="13.5546875" style="56" customWidth="1"/>
    <col min="11781" max="11781" width="9.21875" style="56"/>
    <col min="11782" max="11782" width="6.77734375" style="56" customWidth="1"/>
    <col min="11783" max="11783" width="6.44140625" style="56" customWidth="1"/>
    <col min="11784" max="11784" width="8.21875" style="56" customWidth="1"/>
    <col min="11785" max="11785" width="6.77734375" style="56" customWidth="1"/>
    <col min="11786" max="11786" width="4.77734375" style="56" customWidth="1"/>
    <col min="11787" max="11788" width="5" style="56" customWidth="1"/>
    <col min="11789" max="11789" width="9.21875" style="56"/>
    <col min="11790" max="11790" width="10.5546875" style="56" customWidth="1"/>
    <col min="11791" max="11791" width="3.77734375" style="56" customWidth="1"/>
    <col min="11792" max="11793" width="9.21875" style="56"/>
    <col min="11794" max="11794" width="3.77734375" style="56" customWidth="1"/>
    <col min="11795" max="12034" width="9.21875" style="56"/>
    <col min="12035" max="12035" width="24.77734375" style="56" customWidth="1"/>
    <col min="12036" max="12036" width="13.5546875" style="56" customWidth="1"/>
    <col min="12037" max="12037" width="9.21875" style="56"/>
    <col min="12038" max="12038" width="6.77734375" style="56" customWidth="1"/>
    <col min="12039" max="12039" width="6.44140625" style="56" customWidth="1"/>
    <col min="12040" max="12040" width="8.21875" style="56" customWidth="1"/>
    <col min="12041" max="12041" width="6.77734375" style="56" customWidth="1"/>
    <col min="12042" max="12042" width="4.77734375" style="56" customWidth="1"/>
    <col min="12043" max="12044" width="5" style="56" customWidth="1"/>
    <col min="12045" max="12045" width="9.21875" style="56"/>
    <col min="12046" max="12046" width="10.5546875" style="56" customWidth="1"/>
    <col min="12047" max="12047" width="3.77734375" style="56" customWidth="1"/>
    <col min="12048" max="12049" width="9.21875" style="56"/>
    <col min="12050" max="12050" width="3.77734375" style="56" customWidth="1"/>
    <col min="12051" max="12290" width="9.21875" style="56"/>
    <col min="12291" max="12291" width="24.77734375" style="56" customWidth="1"/>
    <col min="12292" max="12292" width="13.5546875" style="56" customWidth="1"/>
    <col min="12293" max="12293" width="9.21875" style="56"/>
    <col min="12294" max="12294" width="6.77734375" style="56" customWidth="1"/>
    <col min="12295" max="12295" width="6.44140625" style="56" customWidth="1"/>
    <col min="12296" max="12296" width="8.21875" style="56" customWidth="1"/>
    <col min="12297" max="12297" width="6.77734375" style="56" customWidth="1"/>
    <col min="12298" max="12298" width="4.77734375" style="56" customWidth="1"/>
    <col min="12299" max="12300" width="5" style="56" customWidth="1"/>
    <col min="12301" max="12301" width="9.21875" style="56"/>
    <col min="12302" max="12302" width="10.5546875" style="56" customWidth="1"/>
    <col min="12303" max="12303" width="3.77734375" style="56" customWidth="1"/>
    <col min="12304" max="12305" width="9.21875" style="56"/>
    <col min="12306" max="12306" width="3.77734375" style="56" customWidth="1"/>
    <col min="12307" max="12546" width="9.21875" style="56"/>
    <col min="12547" max="12547" width="24.77734375" style="56" customWidth="1"/>
    <col min="12548" max="12548" width="13.5546875" style="56" customWidth="1"/>
    <col min="12549" max="12549" width="9.21875" style="56"/>
    <col min="12550" max="12550" width="6.77734375" style="56" customWidth="1"/>
    <col min="12551" max="12551" width="6.44140625" style="56" customWidth="1"/>
    <col min="12552" max="12552" width="8.21875" style="56" customWidth="1"/>
    <col min="12553" max="12553" width="6.77734375" style="56" customWidth="1"/>
    <col min="12554" max="12554" width="4.77734375" style="56" customWidth="1"/>
    <col min="12555" max="12556" width="5" style="56" customWidth="1"/>
    <col min="12557" max="12557" width="9.21875" style="56"/>
    <col min="12558" max="12558" width="10.5546875" style="56" customWidth="1"/>
    <col min="12559" max="12559" width="3.77734375" style="56" customWidth="1"/>
    <col min="12560" max="12561" width="9.21875" style="56"/>
    <col min="12562" max="12562" width="3.77734375" style="56" customWidth="1"/>
    <col min="12563" max="12802" width="9.21875" style="56"/>
    <col min="12803" max="12803" width="24.77734375" style="56" customWidth="1"/>
    <col min="12804" max="12804" width="13.5546875" style="56" customWidth="1"/>
    <col min="12805" max="12805" width="9.21875" style="56"/>
    <col min="12806" max="12806" width="6.77734375" style="56" customWidth="1"/>
    <col min="12807" max="12807" width="6.44140625" style="56" customWidth="1"/>
    <col min="12808" max="12808" width="8.21875" style="56" customWidth="1"/>
    <col min="12809" max="12809" width="6.77734375" style="56" customWidth="1"/>
    <col min="12810" max="12810" width="4.77734375" style="56" customWidth="1"/>
    <col min="12811" max="12812" width="5" style="56" customWidth="1"/>
    <col min="12813" max="12813" width="9.21875" style="56"/>
    <col min="12814" max="12814" width="10.5546875" style="56" customWidth="1"/>
    <col min="12815" max="12815" width="3.77734375" style="56" customWidth="1"/>
    <col min="12816" max="12817" width="9.21875" style="56"/>
    <col min="12818" max="12818" width="3.77734375" style="56" customWidth="1"/>
    <col min="12819" max="13058" width="9.21875" style="56"/>
    <col min="13059" max="13059" width="24.77734375" style="56" customWidth="1"/>
    <col min="13060" max="13060" width="13.5546875" style="56" customWidth="1"/>
    <col min="13061" max="13061" width="9.21875" style="56"/>
    <col min="13062" max="13062" width="6.77734375" style="56" customWidth="1"/>
    <col min="13063" max="13063" width="6.44140625" style="56" customWidth="1"/>
    <col min="13064" max="13064" width="8.21875" style="56" customWidth="1"/>
    <col min="13065" max="13065" width="6.77734375" style="56" customWidth="1"/>
    <col min="13066" max="13066" width="4.77734375" style="56" customWidth="1"/>
    <col min="13067" max="13068" width="5" style="56" customWidth="1"/>
    <col min="13069" max="13069" width="9.21875" style="56"/>
    <col min="13070" max="13070" width="10.5546875" style="56" customWidth="1"/>
    <col min="13071" max="13071" width="3.77734375" style="56" customWidth="1"/>
    <col min="13072" max="13073" width="9.21875" style="56"/>
    <col min="13074" max="13074" width="3.77734375" style="56" customWidth="1"/>
    <col min="13075" max="13314" width="9.21875" style="56"/>
    <col min="13315" max="13315" width="24.77734375" style="56" customWidth="1"/>
    <col min="13316" max="13316" width="13.5546875" style="56" customWidth="1"/>
    <col min="13317" max="13317" width="9.21875" style="56"/>
    <col min="13318" max="13318" width="6.77734375" style="56" customWidth="1"/>
    <col min="13319" max="13319" width="6.44140625" style="56" customWidth="1"/>
    <col min="13320" max="13320" width="8.21875" style="56" customWidth="1"/>
    <col min="13321" max="13321" width="6.77734375" style="56" customWidth="1"/>
    <col min="13322" max="13322" width="4.77734375" style="56" customWidth="1"/>
    <col min="13323" max="13324" width="5" style="56" customWidth="1"/>
    <col min="13325" max="13325" width="9.21875" style="56"/>
    <col min="13326" max="13326" width="10.5546875" style="56" customWidth="1"/>
    <col min="13327" max="13327" width="3.77734375" style="56" customWidth="1"/>
    <col min="13328" max="13329" width="9.21875" style="56"/>
    <col min="13330" max="13330" width="3.77734375" style="56" customWidth="1"/>
    <col min="13331" max="13570" width="9.21875" style="56"/>
    <col min="13571" max="13571" width="24.77734375" style="56" customWidth="1"/>
    <col min="13572" max="13572" width="13.5546875" style="56" customWidth="1"/>
    <col min="13573" max="13573" width="9.21875" style="56"/>
    <col min="13574" max="13574" width="6.77734375" style="56" customWidth="1"/>
    <col min="13575" max="13575" width="6.44140625" style="56" customWidth="1"/>
    <col min="13576" max="13576" width="8.21875" style="56" customWidth="1"/>
    <col min="13577" max="13577" width="6.77734375" style="56" customWidth="1"/>
    <col min="13578" max="13578" width="4.77734375" style="56" customWidth="1"/>
    <col min="13579" max="13580" width="5" style="56" customWidth="1"/>
    <col min="13581" max="13581" width="9.21875" style="56"/>
    <col min="13582" max="13582" width="10.5546875" style="56" customWidth="1"/>
    <col min="13583" max="13583" width="3.77734375" style="56" customWidth="1"/>
    <col min="13584" max="13585" width="9.21875" style="56"/>
    <col min="13586" max="13586" width="3.77734375" style="56" customWidth="1"/>
    <col min="13587" max="13826" width="9.21875" style="56"/>
    <col min="13827" max="13827" width="24.77734375" style="56" customWidth="1"/>
    <col min="13828" max="13828" width="13.5546875" style="56" customWidth="1"/>
    <col min="13829" max="13829" width="9.21875" style="56"/>
    <col min="13830" max="13830" width="6.77734375" style="56" customWidth="1"/>
    <col min="13831" max="13831" width="6.44140625" style="56" customWidth="1"/>
    <col min="13832" max="13832" width="8.21875" style="56" customWidth="1"/>
    <col min="13833" max="13833" width="6.77734375" style="56" customWidth="1"/>
    <col min="13834" max="13834" width="4.77734375" style="56" customWidth="1"/>
    <col min="13835" max="13836" width="5" style="56" customWidth="1"/>
    <col min="13837" max="13837" width="9.21875" style="56"/>
    <col min="13838" max="13838" width="10.5546875" style="56" customWidth="1"/>
    <col min="13839" max="13839" width="3.77734375" style="56" customWidth="1"/>
    <col min="13840" max="13841" width="9.21875" style="56"/>
    <col min="13842" max="13842" width="3.77734375" style="56" customWidth="1"/>
    <col min="13843" max="14082" width="9.21875" style="56"/>
    <col min="14083" max="14083" width="24.77734375" style="56" customWidth="1"/>
    <col min="14084" max="14084" width="13.5546875" style="56" customWidth="1"/>
    <col min="14085" max="14085" width="9.21875" style="56"/>
    <col min="14086" max="14086" width="6.77734375" style="56" customWidth="1"/>
    <col min="14087" max="14087" width="6.44140625" style="56" customWidth="1"/>
    <col min="14088" max="14088" width="8.21875" style="56" customWidth="1"/>
    <col min="14089" max="14089" width="6.77734375" style="56" customWidth="1"/>
    <col min="14090" max="14090" width="4.77734375" style="56" customWidth="1"/>
    <col min="14091" max="14092" width="5" style="56" customWidth="1"/>
    <col min="14093" max="14093" width="9.21875" style="56"/>
    <col min="14094" max="14094" width="10.5546875" style="56" customWidth="1"/>
    <col min="14095" max="14095" width="3.77734375" style="56" customWidth="1"/>
    <col min="14096" max="14097" width="9.21875" style="56"/>
    <col min="14098" max="14098" width="3.77734375" style="56" customWidth="1"/>
    <col min="14099" max="14338" width="9.21875" style="56"/>
    <col min="14339" max="14339" width="24.77734375" style="56" customWidth="1"/>
    <col min="14340" max="14340" width="13.5546875" style="56" customWidth="1"/>
    <col min="14341" max="14341" width="9.21875" style="56"/>
    <col min="14342" max="14342" width="6.77734375" style="56" customWidth="1"/>
    <col min="14343" max="14343" width="6.44140625" style="56" customWidth="1"/>
    <col min="14344" max="14344" width="8.21875" style="56" customWidth="1"/>
    <col min="14345" max="14345" width="6.77734375" style="56" customWidth="1"/>
    <col min="14346" max="14346" width="4.77734375" style="56" customWidth="1"/>
    <col min="14347" max="14348" width="5" style="56" customWidth="1"/>
    <col min="14349" max="14349" width="9.21875" style="56"/>
    <col min="14350" max="14350" width="10.5546875" style="56" customWidth="1"/>
    <col min="14351" max="14351" width="3.77734375" style="56" customWidth="1"/>
    <col min="14352" max="14353" width="9.21875" style="56"/>
    <col min="14354" max="14354" width="3.77734375" style="56" customWidth="1"/>
    <col min="14355" max="14594" width="9.21875" style="56"/>
    <col min="14595" max="14595" width="24.77734375" style="56" customWidth="1"/>
    <col min="14596" max="14596" width="13.5546875" style="56" customWidth="1"/>
    <col min="14597" max="14597" width="9.21875" style="56"/>
    <col min="14598" max="14598" width="6.77734375" style="56" customWidth="1"/>
    <col min="14599" max="14599" width="6.44140625" style="56" customWidth="1"/>
    <col min="14600" max="14600" width="8.21875" style="56" customWidth="1"/>
    <col min="14601" max="14601" width="6.77734375" style="56" customWidth="1"/>
    <col min="14602" max="14602" width="4.77734375" style="56" customWidth="1"/>
    <col min="14603" max="14604" width="5" style="56" customWidth="1"/>
    <col min="14605" max="14605" width="9.21875" style="56"/>
    <col min="14606" max="14606" width="10.5546875" style="56" customWidth="1"/>
    <col min="14607" max="14607" width="3.77734375" style="56" customWidth="1"/>
    <col min="14608" max="14609" width="9.21875" style="56"/>
    <col min="14610" max="14610" width="3.77734375" style="56" customWidth="1"/>
    <col min="14611" max="14850" width="9.21875" style="56"/>
    <col min="14851" max="14851" width="24.77734375" style="56" customWidth="1"/>
    <col min="14852" max="14852" width="13.5546875" style="56" customWidth="1"/>
    <col min="14853" max="14853" width="9.21875" style="56"/>
    <col min="14854" max="14854" width="6.77734375" style="56" customWidth="1"/>
    <col min="14855" max="14855" width="6.44140625" style="56" customWidth="1"/>
    <col min="14856" max="14856" width="8.21875" style="56" customWidth="1"/>
    <col min="14857" max="14857" width="6.77734375" style="56" customWidth="1"/>
    <col min="14858" max="14858" width="4.77734375" style="56" customWidth="1"/>
    <col min="14859" max="14860" width="5" style="56" customWidth="1"/>
    <col min="14861" max="14861" width="9.21875" style="56"/>
    <col min="14862" max="14862" width="10.5546875" style="56" customWidth="1"/>
    <col min="14863" max="14863" width="3.77734375" style="56" customWidth="1"/>
    <col min="14864" max="14865" width="9.21875" style="56"/>
    <col min="14866" max="14866" width="3.77734375" style="56" customWidth="1"/>
    <col min="14867" max="15106" width="9.21875" style="56"/>
    <col min="15107" max="15107" width="24.77734375" style="56" customWidth="1"/>
    <col min="15108" max="15108" width="13.5546875" style="56" customWidth="1"/>
    <col min="15109" max="15109" width="9.21875" style="56"/>
    <col min="15110" max="15110" width="6.77734375" style="56" customWidth="1"/>
    <col min="15111" max="15111" width="6.44140625" style="56" customWidth="1"/>
    <col min="15112" max="15112" width="8.21875" style="56" customWidth="1"/>
    <col min="15113" max="15113" width="6.77734375" style="56" customWidth="1"/>
    <col min="15114" max="15114" width="4.77734375" style="56" customWidth="1"/>
    <col min="15115" max="15116" width="5" style="56" customWidth="1"/>
    <col min="15117" max="15117" width="9.21875" style="56"/>
    <col min="15118" max="15118" width="10.5546875" style="56" customWidth="1"/>
    <col min="15119" max="15119" width="3.77734375" style="56" customWidth="1"/>
    <col min="15120" max="15121" width="9.21875" style="56"/>
    <col min="15122" max="15122" width="3.77734375" style="56" customWidth="1"/>
    <col min="15123" max="15362" width="9.21875" style="56"/>
    <col min="15363" max="15363" width="24.77734375" style="56" customWidth="1"/>
    <col min="15364" max="15364" width="13.5546875" style="56" customWidth="1"/>
    <col min="15365" max="15365" width="9.21875" style="56"/>
    <col min="15366" max="15366" width="6.77734375" style="56" customWidth="1"/>
    <col min="15367" max="15367" width="6.44140625" style="56" customWidth="1"/>
    <col min="15368" max="15368" width="8.21875" style="56" customWidth="1"/>
    <col min="15369" max="15369" width="6.77734375" style="56" customWidth="1"/>
    <col min="15370" max="15370" width="4.77734375" style="56" customWidth="1"/>
    <col min="15371" max="15372" width="5" style="56" customWidth="1"/>
    <col min="15373" max="15373" width="9.21875" style="56"/>
    <col min="15374" max="15374" width="10.5546875" style="56" customWidth="1"/>
    <col min="15375" max="15375" width="3.77734375" style="56" customWidth="1"/>
    <col min="15376" max="15377" width="9.21875" style="56"/>
    <col min="15378" max="15378" width="3.77734375" style="56" customWidth="1"/>
    <col min="15379" max="15618" width="9.21875" style="56"/>
    <col min="15619" max="15619" width="24.77734375" style="56" customWidth="1"/>
    <col min="15620" max="15620" width="13.5546875" style="56" customWidth="1"/>
    <col min="15621" max="15621" width="9.21875" style="56"/>
    <col min="15622" max="15622" width="6.77734375" style="56" customWidth="1"/>
    <col min="15623" max="15623" width="6.44140625" style="56" customWidth="1"/>
    <col min="15624" max="15624" width="8.21875" style="56" customWidth="1"/>
    <col min="15625" max="15625" width="6.77734375" style="56" customWidth="1"/>
    <col min="15626" max="15626" width="4.77734375" style="56" customWidth="1"/>
    <col min="15627" max="15628" width="5" style="56" customWidth="1"/>
    <col min="15629" max="15629" width="9.21875" style="56"/>
    <col min="15630" max="15630" width="10.5546875" style="56" customWidth="1"/>
    <col min="15631" max="15631" width="3.77734375" style="56" customWidth="1"/>
    <col min="15632" max="15633" width="9.21875" style="56"/>
    <col min="15634" max="15634" width="3.77734375" style="56" customWidth="1"/>
    <col min="15635" max="15874" width="9.21875" style="56"/>
    <col min="15875" max="15875" width="24.77734375" style="56" customWidth="1"/>
    <col min="15876" max="15876" width="13.5546875" style="56" customWidth="1"/>
    <col min="15877" max="15877" width="9.21875" style="56"/>
    <col min="15878" max="15878" width="6.77734375" style="56" customWidth="1"/>
    <col min="15879" max="15879" width="6.44140625" style="56" customWidth="1"/>
    <col min="15880" max="15880" width="8.21875" style="56" customWidth="1"/>
    <col min="15881" max="15881" width="6.77734375" style="56" customWidth="1"/>
    <col min="15882" max="15882" width="4.77734375" style="56" customWidth="1"/>
    <col min="15883" max="15884" width="5" style="56" customWidth="1"/>
    <col min="15885" max="15885" width="9.21875" style="56"/>
    <col min="15886" max="15886" width="10.5546875" style="56" customWidth="1"/>
    <col min="15887" max="15887" width="3.77734375" style="56" customWidth="1"/>
    <col min="15888" max="15889" width="9.21875" style="56"/>
    <col min="15890" max="15890" width="3.77734375" style="56" customWidth="1"/>
    <col min="15891" max="16130" width="9.21875" style="56"/>
    <col min="16131" max="16131" width="24.77734375" style="56" customWidth="1"/>
    <col min="16132" max="16132" width="13.5546875" style="56" customWidth="1"/>
    <col min="16133" max="16133" width="9.21875" style="56"/>
    <col min="16134" max="16134" width="6.77734375" style="56" customWidth="1"/>
    <col min="16135" max="16135" width="6.44140625" style="56" customWidth="1"/>
    <col min="16136" max="16136" width="8.21875" style="56" customWidth="1"/>
    <col min="16137" max="16137" width="6.77734375" style="56" customWidth="1"/>
    <col min="16138" max="16138" width="4.77734375" style="56" customWidth="1"/>
    <col min="16139" max="16140" width="5" style="56" customWidth="1"/>
    <col min="16141" max="16141" width="9.21875" style="56"/>
    <col min="16142" max="16142" width="10.5546875" style="56" customWidth="1"/>
    <col min="16143" max="16143" width="3.77734375" style="56" customWidth="1"/>
    <col min="16144" max="16145" width="9.21875" style="56"/>
    <col min="16146" max="16146" width="3.77734375" style="56" customWidth="1"/>
    <col min="16147" max="16384" width="9.21875" style="56"/>
  </cols>
  <sheetData>
    <row r="1" spans="1:117" s="1" customFormat="1" ht="129.6" x14ac:dyDescent="0.3">
      <c r="A1" s="1" t="s">
        <v>0</v>
      </c>
      <c r="B1" s="73" t="s">
        <v>62</v>
      </c>
      <c r="C1" s="2" t="s">
        <v>1</v>
      </c>
      <c r="D1" s="2" t="s">
        <v>63</v>
      </c>
      <c r="E1" s="7" t="s">
        <v>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7" t="s">
        <v>71</v>
      </c>
      <c r="N1" s="1" t="s">
        <v>3</v>
      </c>
      <c r="O1" s="1" t="s">
        <v>241</v>
      </c>
      <c r="P1" s="3" t="s">
        <v>4</v>
      </c>
      <c r="Q1" s="3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242</v>
      </c>
      <c r="W1" s="1" t="s">
        <v>243</v>
      </c>
      <c r="X1" s="4" t="s">
        <v>80</v>
      </c>
      <c r="Y1" s="74" t="s">
        <v>81</v>
      </c>
      <c r="Z1" s="74" t="s">
        <v>82</v>
      </c>
      <c r="AA1" s="5" t="s">
        <v>83</v>
      </c>
      <c r="AB1" s="1" t="s">
        <v>84</v>
      </c>
      <c r="AC1" s="1" t="s">
        <v>85</v>
      </c>
      <c r="AD1" s="1" t="s">
        <v>244</v>
      </c>
      <c r="AE1" s="2" t="s">
        <v>245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246</v>
      </c>
      <c r="AQ1" s="73"/>
    </row>
    <row r="2" spans="1:117" s="1" customFormat="1" ht="14.4" x14ac:dyDescent="0.3">
      <c r="A2" s="6">
        <v>42592</v>
      </c>
      <c r="B2" s="73"/>
      <c r="C2" s="2">
        <v>18.8</v>
      </c>
      <c r="D2" s="2">
        <v>30.31</v>
      </c>
      <c r="E2" s="7" t="s">
        <v>248</v>
      </c>
      <c r="F2" t="s">
        <v>249</v>
      </c>
      <c r="G2">
        <v>1000</v>
      </c>
      <c r="H2" s="1">
        <v>14.56</v>
      </c>
      <c r="I2" s="1">
        <v>7848</v>
      </c>
      <c r="K2" s="1">
        <v>3.64</v>
      </c>
      <c r="L2" s="1">
        <v>1</v>
      </c>
      <c r="M2" s="7"/>
      <c r="N2" s="2">
        <f t="shared" ref="N2:N4" si="0">C2</f>
        <v>18.8</v>
      </c>
      <c r="O2" s="8">
        <f t="shared" ref="O2:O4" si="1">0.001316*((D2*25.4)-(2.5*2053/100))</f>
        <v>0.9456104839999997</v>
      </c>
      <c r="P2" s="9">
        <f t="shared" ref="P2:P8" si="2">(O2*(G2/1000000))/(0.08205*(N2+273.15))</f>
        <v>3.9475279496052872E-5</v>
      </c>
      <c r="Q2" s="9"/>
      <c r="R2"/>
      <c r="S2"/>
      <c r="T2"/>
      <c r="U2"/>
      <c r="V2"/>
      <c r="W2"/>
      <c r="X2">
        <f t="shared" ref="X2:X8" si="3">IF(H2&lt;100,(0.000099*H2)-0.000104,(IF(H2&lt;15000,((0.000101*H2)+0.010653),((0.000118*H2)-0.170562))))</f>
        <v>1.3374400000000001E-3</v>
      </c>
      <c r="Y2" s="75">
        <f t="shared" ref="Y2:Y8" si="4">IF(K2&lt;0.7,"BD",(IF(K2&lt;10,(-0.009*K2^2)+(0.0957*K2)-0.0237,(0.071971*K2)+0.591237)))</f>
        <v>0.20540159999999999</v>
      </c>
      <c r="Z2" s="25">
        <f t="shared" ref="Z2:Z8" si="5">X2*1000000/G2</f>
        <v>1.33744</v>
      </c>
      <c r="AA2" s="25">
        <f t="shared" ref="AA2:AA8" si="6">Y2*1000000/G2</f>
        <v>205.40159999999997</v>
      </c>
      <c r="AB2" s="13">
        <f t="shared" ref="AB2:AB8" si="7">(X2/12.011)/P2</f>
        <v>2.8207846218011507</v>
      </c>
      <c r="AC2" s="27">
        <f t="shared" ref="AC2:AC8" si="8">(Y2/12.011)/P2</f>
        <v>433.21096615425824</v>
      </c>
      <c r="AD2" s="13"/>
      <c r="AE2" s="13"/>
      <c r="AN2" s="1">
        <v>40</v>
      </c>
      <c r="AP2"/>
      <c r="AQ2"/>
      <c r="AR2"/>
      <c r="AS2"/>
    </row>
    <row r="3" spans="1:117" s="1" customFormat="1" ht="14.4" x14ac:dyDescent="0.3">
      <c r="A3" s="6">
        <v>42592</v>
      </c>
      <c r="B3" s="73"/>
      <c r="C3" s="2">
        <v>18.8</v>
      </c>
      <c r="D3" s="2">
        <v>30.31</v>
      </c>
      <c r="E3" s="7" t="s">
        <v>248</v>
      </c>
      <c r="F3" t="s">
        <v>249</v>
      </c>
      <c r="G3">
        <v>1000</v>
      </c>
      <c r="H3" s="1">
        <v>14.37</v>
      </c>
      <c r="I3" s="1">
        <v>7799</v>
      </c>
      <c r="K3" s="1">
        <v>8.01</v>
      </c>
      <c r="L3" s="1">
        <v>1</v>
      </c>
      <c r="M3" s="7"/>
      <c r="N3" s="2">
        <f t="shared" si="0"/>
        <v>18.8</v>
      </c>
      <c r="O3" s="8">
        <f t="shared" si="1"/>
        <v>0.9456104839999997</v>
      </c>
      <c r="P3" s="9">
        <f t="shared" si="2"/>
        <v>3.9475279496052872E-5</v>
      </c>
      <c r="Q3" s="9"/>
      <c r="R3"/>
      <c r="S3"/>
      <c r="T3"/>
      <c r="U3"/>
      <c r="V3"/>
      <c r="W3"/>
      <c r="X3">
        <f t="shared" si="3"/>
        <v>1.3186299999999999E-3</v>
      </c>
      <c r="Y3" s="75">
        <f t="shared" si="4"/>
        <v>0.16541610000000001</v>
      </c>
      <c r="Z3" s="25">
        <f t="shared" si="5"/>
        <v>1.31863</v>
      </c>
      <c r="AA3" s="25">
        <f t="shared" si="6"/>
        <v>165.4161</v>
      </c>
      <c r="AB3" s="13">
        <f t="shared" si="7"/>
        <v>2.7811125925990332</v>
      </c>
      <c r="AC3" s="27">
        <f t="shared" si="8"/>
        <v>348.87784953218187</v>
      </c>
      <c r="AD3" s="13"/>
      <c r="AE3" s="13"/>
      <c r="AN3" s="1">
        <v>41</v>
      </c>
      <c r="AP3"/>
      <c r="AQ3"/>
      <c r="AR3"/>
      <c r="AS3"/>
    </row>
    <row r="4" spans="1:117" s="1" customFormat="1" ht="14.4" x14ac:dyDescent="0.3">
      <c r="A4" s="6">
        <v>42592</v>
      </c>
      <c r="B4" s="73"/>
      <c r="C4" s="2">
        <v>18.8</v>
      </c>
      <c r="D4" s="2">
        <v>30.31</v>
      </c>
      <c r="E4" s="7" t="s">
        <v>248</v>
      </c>
      <c r="F4" t="s">
        <v>249</v>
      </c>
      <c r="G4">
        <v>1000</v>
      </c>
      <c r="H4" s="1">
        <v>14.45</v>
      </c>
      <c r="I4" s="1">
        <v>7706</v>
      </c>
      <c r="K4" s="1">
        <v>2.97</v>
      </c>
      <c r="L4" s="1">
        <v>1</v>
      </c>
      <c r="M4" s="7"/>
      <c r="N4" s="2">
        <f t="shared" si="0"/>
        <v>18.8</v>
      </c>
      <c r="O4" s="8">
        <f t="shared" si="1"/>
        <v>0.9456104839999997</v>
      </c>
      <c r="P4" s="9">
        <f t="shared" si="2"/>
        <v>3.9475279496052872E-5</v>
      </c>
      <c r="Q4" s="9"/>
      <c r="R4"/>
      <c r="S4"/>
      <c r="T4"/>
      <c r="U4"/>
      <c r="V4"/>
      <c r="W4"/>
      <c r="X4">
        <f t="shared" si="3"/>
        <v>1.3265499999999999E-3</v>
      </c>
      <c r="Y4" s="75">
        <f t="shared" si="4"/>
        <v>0.18114089999999999</v>
      </c>
      <c r="Z4" s="25">
        <f t="shared" si="5"/>
        <v>1.3265499999999999</v>
      </c>
      <c r="AA4" s="25">
        <f t="shared" si="6"/>
        <v>181.14089999999999</v>
      </c>
      <c r="AB4" s="13">
        <f t="shared" si="7"/>
        <v>2.7978166048946616</v>
      </c>
      <c r="AC4" s="27">
        <f t="shared" si="8"/>
        <v>382.04290667186569</v>
      </c>
      <c r="AD4" s="13"/>
      <c r="AE4" s="13"/>
      <c r="AN4" s="1">
        <v>42</v>
      </c>
      <c r="AP4"/>
      <c r="AQ4"/>
      <c r="AR4"/>
      <c r="AS4"/>
    </row>
    <row r="5" spans="1:117" s="1" customFormat="1" ht="14.4" x14ac:dyDescent="0.3">
      <c r="A5" s="6">
        <v>42593</v>
      </c>
      <c r="B5" s="73"/>
      <c r="C5" s="2">
        <v>19</v>
      </c>
      <c r="D5" s="2">
        <v>30.29</v>
      </c>
      <c r="E5" s="7" t="s">
        <v>248</v>
      </c>
      <c r="F5" t="s">
        <v>249</v>
      </c>
      <c r="G5">
        <v>1000</v>
      </c>
      <c r="H5" s="1">
        <v>13.74</v>
      </c>
      <c r="I5" s="1">
        <v>7553</v>
      </c>
      <c r="K5" s="1">
        <v>3.52</v>
      </c>
      <c r="L5" s="1">
        <v>1</v>
      </c>
      <c r="M5" s="7"/>
      <c r="N5" s="2">
        <f>C5</f>
        <v>19</v>
      </c>
      <c r="O5" s="8">
        <f>0.001316*((D5*25.4)-(2.5*2053/100))</f>
        <v>0.94494195599999986</v>
      </c>
      <c r="P5" s="9">
        <f t="shared" si="2"/>
        <v>3.9420366375365639E-5</v>
      </c>
      <c r="Q5" s="9"/>
      <c r="R5"/>
      <c r="S5"/>
      <c r="T5"/>
      <c r="U5"/>
      <c r="V5"/>
      <c r="W5"/>
      <c r="X5">
        <f t="shared" si="3"/>
        <v>1.2562599999999999E-3</v>
      </c>
      <c r="Y5" s="75">
        <f t="shared" si="4"/>
        <v>0.20165040000000001</v>
      </c>
      <c r="Z5" s="25">
        <f t="shared" si="5"/>
        <v>1.2562599999999999</v>
      </c>
      <c r="AA5" s="25">
        <f t="shared" si="6"/>
        <v>201.65039999999999</v>
      </c>
      <c r="AB5" s="13">
        <f t="shared" si="7"/>
        <v>2.6532593816747574</v>
      </c>
      <c r="AC5" s="27">
        <f t="shared" si="8"/>
        <v>425.89178642834099</v>
      </c>
      <c r="AD5" s="13"/>
      <c r="AE5" s="13"/>
      <c r="AN5" s="1">
        <v>43</v>
      </c>
      <c r="AP5"/>
      <c r="AQ5"/>
      <c r="AR5"/>
      <c r="AS5"/>
    </row>
    <row r="6" spans="1:117" s="1" customFormat="1" ht="14.4" x14ac:dyDescent="0.3">
      <c r="A6" s="6">
        <v>42593</v>
      </c>
      <c r="B6" s="73"/>
      <c r="C6" s="2">
        <v>19</v>
      </c>
      <c r="D6" s="2">
        <v>30.29</v>
      </c>
      <c r="E6" s="7" t="s">
        <v>248</v>
      </c>
      <c r="F6" t="s">
        <v>249</v>
      </c>
      <c r="G6">
        <v>1000</v>
      </c>
      <c r="H6" s="1">
        <v>15.9</v>
      </c>
      <c r="I6" s="1">
        <v>7985</v>
      </c>
      <c r="K6" s="1">
        <v>6.14</v>
      </c>
      <c r="L6" s="1">
        <v>1</v>
      </c>
      <c r="M6" s="7"/>
      <c r="N6" s="2">
        <f t="shared" ref="N6:N8" si="9">C6</f>
        <v>19</v>
      </c>
      <c r="O6" s="8">
        <f t="shared" ref="O6:O8" si="10">0.001316*((D6*25.4)-(2.5*2053/100))</f>
        <v>0.94494195599999986</v>
      </c>
      <c r="P6" s="9">
        <f t="shared" si="2"/>
        <v>3.9420366375365639E-5</v>
      </c>
      <c r="Q6" s="9"/>
      <c r="R6"/>
      <c r="S6"/>
      <c r="T6"/>
      <c r="U6"/>
      <c r="V6"/>
      <c r="W6"/>
      <c r="X6">
        <f t="shared" si="3"/>
        <v>1.4701E-3</v>
      </c>
      <c r="Y6" s="75">
        <f t="shared" si="4"/>
        <v>0.22460160000000001</v>
      </c>
      <c r="Z6" s="25">
        <f t="shared" si="5"/>
        <v>1.4701</v>
      </c>
      <c r="AA6" s="25">
        <f t="shared" si="6"/>
        <v>224.60160000000002</v>
      </c>
      <c r="AB6" s="13">
        <f t="shared" si="7"/>
        <v>3.1048959745594553</v>
      </c>
      <c r="AC6" s="27">
        <f t="shared" si="8"/>
        <v>474.36541984872662</v>
      </c>
      <c r="AD6" s="13"/>
      <c r="AE6" s="13"/>
      <c r="AN6" s="1">
        <v>44</v>
      </c>
      <c r="AP6"/>
      <c r="AQ6"/>
      <c r="AR6"/>
      <c r="AS6"/>
    </row>
    <row r="7" spans="1:117" s="1" customFormat="1" ht="14.4" x14ac:dyDescent="0.3">
      <c r="A7" s="6">
        <v>42593</v>
      </c>
      <c r="B7" s="73"/>
      <c r="C7" s="2">
        <v>19</v>
      </c>
      <c r="D7" s="2">
        <v>30.29</v>
      </c>
      <c r="E7" s="7" t="s">
        <v>248</v>
      </c>
      <c r="F7" t="s">
        <v>249</v>
      </c>
      <c r="G7">
        <v>1000</v>
      </c>
      <c r="H7" s="1">
        <v>14.11</v>
      </c>
      <c r="I7" s="1">
        <v>8154</v>
      </c>
      <c r="K7" s="1">
        <v>4.74</v>
      </c>
      <c r="L7" s="1">
        <v>1</v>
      </c>
      <c r="M7" s="7"/>
      <c r="N7" s="2">
        <f t="shared" si="9"/>
        <v>19</v>
      </c>
      <c r="O7" s="8">
        <f t="shared" si="10"/>
        <v>0.94494195599999986</v>
      </c>
      <c r="P7" s="9">
        <f t="shared" si="2"/>
        <v>3.9420366375365639E-5</v>
      </c>
      <c r="Q7" s="9"/>
      <c r="R7"/>
      <c r="S7"/>
      <c r="T7"/>
      <c r="U7"/>
      <c r="V7"/>
      <c r="W7"/>
      <c r="X7">
        <f t="shared" si="3"/>
        <v>1.2928899999999999E-3</v>
      </c>
      <c r="Y7" s="75">
        <f t="shared" si="4"/>
        <v>0.22770960000000001</v>
      </c>
      <c r="Z7" s="25">
        <f t="shared" si="5"/>
        <v>1.2928899999999999</v>
      </c>
      <c r="AA7" s="25">
        <f t="shared" si="6"/>
        <v>227.70959999999999</v>
      </c>
      <c r="AB7" s="13">
        <f t="shared" si="7"/>
        <v>2.7306230573077848</v>
      </c>
      <c r="AC7" s="27">
        <f t="shared" si="8"/>
        <v>480.92961050849868</v>
      </c>
      <c r="AD7" s="13"/>
      <c r="AE7" s="13"/>
      <c r="AN7" s="1">
        <v>45</v>
      </c>
      <c r="AP7"/>
      <c r="AQ7"/>
      <c r="AR7"/>
      <c r="AS7"/>
    </row>
    <row r="8" spans="1:117" s="1" customFormat="1" ht="14.4" x14ac:dyDescent="0.3">
      <c r="A8" s="6">
        <v>42593</v>
      </c>
      <c r="B8" s="73"/>
      <c r="C8" s="2">
        <v>19</v>
      </c>
      <c r="D8" s="2">
        <v>30.29</v>
      </c>
      <c r="E8" s="7" t="s">
        <v>248</v>
      </c>
      <c r="F8" t="s">
        <v>249</v>
      </c>
      <c r="G8">
        <v>1000</v>
      </c>
      <c r="H8" s="1">
        <v>16.21</v>
      </c>
      <c r="I8" s="1">
        <v>7934</v>
      </c>
      <c r="K8" s="1">
        <v>4.53</v>
      </c>
      <c r="L8" s="1">
        <v>1</v>
      </c>
      <c r="M8" s="7"/>
      <c r="N8" s="2">
        <f t="shared" si="9"/>
        <v>19</v>
      </c>
      <c r="O8" s="8">
        <f t="shared" si="10"/>
        <v>0.94494195599999986</v>
      </c>
      <c r="P8" s="9">
        <f t="shared" si="2"/>
        <v>3.9420366375365639E-5</v>
      </c>
      <c r="Q8" s="9"/>
      <c r="R8"/>
      <c r="S8"/>
      <c r="T8"/>
      <c r="U8"/>
      <c r="V8"/>
      <c r="W8"/>
      <c r="X8">
        <f t="shared" si="3"/>
        <v>1.5007900000000001E-3</v>
      </c>
      <c r="Y8" s="75">
        <f t="shared" si="4"/>
        <v>0.2251329</v>
      </c>
      <c r="Z8" s="25">
        <f t="shared" si="5"/>
        <v>1.5007900000000003</v>
      </c>
      <c r="AA8" s="25">
        <f t="shared" si="6"/>
        <v>225.13290000000001</v>
      </c>
      <c r="AB8" s="13">
        <f t="shared" si="7"/>
        <v>3.169714189279019</v>
      </c>
      <c r="AC8" s="27">
        <f t="shared" si="8"/>
        <v>475.48754163043088</v>
      </c>
      <c r="AD8" s="13"/>
      <c r="AE8" s="13"/>
      <c r="AN8" s="1">
        <v>46</v>
      </c>
      <c r="AP8"/>
      <c r="AQ8"/>
      <c r="AR8"/>
      <c r="AS8"/>
    </row>
    <row r="9" spans="1:117" s="1" customFormat="1" ht="14.4" x14ac:dyDescent="0.3">
      <c r="A9" s="41"/>
      <c r="B9" s="79"/>
      <c r="C9" s="43"/>
      <c r="D9" s="43"/>
      <c r="E9" s="7"/>
      <c r="F9"/>
      <c r="G9"/>
      <c r="H9" s="7"/>
      <c r="I9" s="7"/>
      <c r="J9" s="7"/>
      <c r="K9" s="7"/>
      <c r="L9" s="7"/>
      <c r="M9" s="7"/>
      <c r="N9" s="2"/>
      <c r="O9" s="8"/>
      <c r="P9" s="9"/>
      <c r="Q9" s="9"/>
      <c r="R9"/>
      <c r="S9"/>
      <c r="T9"/>
      <c r="U9"/>
      <c r="V9"/>
      <c r="W9"/>
      <c r="X9"/>
      <c r="Y9" s="75"/>
      <c r="Z9" s="25"/>
      <c r="AA9" s="25"/>
      <c r="AB9" s="13"/>
      <c r="AC9" s="27"/>
      <c r="AD9" s="13"/>
      <c r="AE9" s="13"/>
    </row>
    <row r="10" spans="1:117" s="1" customFormat="1" ht="14.4" x14ac:dyDescent="0.3">
      <c r="A10" s="41"/>
      <c r="B10" s="79"/>
      <c r="C10" s="43"/>
      <c r="D10" s="43"/>
      <c r="E10" s="7"/>
      <c r="F10"/>
      <c r="G10"/>
      <c r="H10" s="7"/>
      <c r="I10" s="7"/>
      <c r="J10" s="7"/>
      <c r="K10" s="7"/>
      <c r="L10" s="7"/>
      <c r="M10" s="7"/>
      <c r="N10" s="2"/>
      <c r="O10" s="8"/>
      <c r="P10" s="9"/>
      <c r="Q10" s="9"/>
      <c r="R10"/>
      <c r="S10"/>
      <c r="T10"/>
      <c r="U10"/>
      <c r="V10"/>
      <c r="W10"/>
      <c r="X10"/>
      <c r="Y10" s="75"/>
      <c r="Z10" s="25"/>
      <c r="AA10" s="25"/>
      <c r="AB10" s="13"/>
      <c r="AC10" s="27"/>
      <c r="AD10" s="13"/>
      <c r="AE10" s="13"/>
    </row>
    <row r="11" spans="1:117" s="1" customFormat="1" ht="14.4" x14ac:dyDescent="0.3">
      <c r="A11" s="6"/>
      <c r="B11" s="73"/>
      <c r="C11" s="2"/>
      <c r="D11" s="2"/>
      <c r="E11" s="7"/>
      <c r="F11"/>
      <c r="M11" s="7"/>
      <c r="N11" s="2"/>
      <c r="O11" s="8"/>
      <c r="P11" s="9"/>
      <c r="Q11" s="9"/>
      <c r="R11"/>
      <c r="S11"/>
      <c r="T11"/>
      <c r="U11"/>
      <c r="V11"/>
      <c r="W11"/>
      <c r="X11" s="82"/>
      <c r="Y11" s="31"/>
      <c r="Z11" s="24"/>
      <c r="AA11" s="83"/>
      <c r="AB11" s="13"/>
      <c r="AC11" s="13"/>
      <c r="AD11" s="13"/>
      <c r="AE11" s="13"/>
      <c r="AQ11" s="73"/>
    </row>
    <row r="12" spans="1:117" s="36" customFormat="1" x14ac:dyDescent="0.25">
      <c r="A12" s="40"/>
      <c r="B12" s="84"/>
      <c r="C12" s="40"/>
      <c r="D12" s="39"/>
      <c r="E12" s="39"/>
      <c r="F12" s="40"/>
      <c r="G12" s="40"/>
      <c r="H12" s="40"/>
      <c r="I12" s="40"/>
      <c r="J12" s="40"/>
      <c r="K12" s="40"/>
      <c r="L12" s="40"/>
      <c r="M12" s="39"/>
      <c r="N12" s="39"/>
      <c r="O12" s="53"/>
      <c r="P12" s="34"/>
      <c r="Q12" s="34"/>
      <c r="S12" s="38"/>
      <c r="T12" s="38"/>
      <c r="U12" s="38"/>
      <c r="V12" s="54"/>
      <c r="W12" s="54"/>
      <c r="Y12" s="85"/>
      <c r="Z12" s="86"/>
      <c r="AA12" s="87"/>
      <c r="AN12" s="55"/>
      <c r="AO12" s="53"/>
      <c r="AP12" s="53"/>
      <c r="AQ12" s="88"/>
      <c r="AR12" s="53"/>
      <c r="AS12" s="53"/>
      <c r="AT12" s="53"/>
      <c r="AU12" s="53"/>
      <c r="AV12" s="53"/>
      <c r="AW12" s="53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</row>
    <row r="13" spans="1:117" s="36" customFormat="1" ht="15.6" x14ac:dyDescent="0.3">
      <c r="A13" s="40"/>
      <c r="B13" s="84"/>
      <c r="C13" s="40"/>
      <c r="D13" s="39"/>
      <c r="E13" s="34"/>
      <c r="F13" s="35"/>
      <c r="H13" s="38"/>
      <c r="I13" s="38"/>
      <c r="J13" s="38"/>
      <c r="K13" s="38"/>
      <c r="L13" s="54"/>
      <c r="M13" s="39"/>
      <c r="N13" s="39"/>
      <c r="O13" s="53"/>
      <c r="P13" s="34"/>
      <c r="Q13" s="35"/>
      <c r="S13" s="38"/>
      <c r="T13" s="38"/>
      <c r="U13" s="38"/>
      <c r="V13" s="54"/>
      <c r="W13" s="54"/>
      <c r="X13" s="57"/>
      <c r="Y13" s="70"/>
      <c r="Z13" s="20" t="s">
        <v>39</v>
      </c>
      <c r="AA13"/>
      <c r="AB13">
        <v>1.85</v>
      </c>
      <c r="AC13" s="86">
        <v>400</v>
      </c>
      <c r="AD13" s="57"/>
      <c r="AE13" s="57"/>
      <c r="AF13" s="55"/>
      <c r="AN13" s="55">
        <f>MIN(AN2:AN11)</f>
        <v>40</v>
      </c>
      <c r="AO13" s="53"/>
      <c r="AP13" s="70"/>
      <c r="AQ13" s="70"/>
      <c r="AR13" s="70"/>
      <c r="AS13" s="70"/>
      <c r="AT13" s="53"/>
      <c r="AU13" s="53"/>
      <c r="AV13" s="53"/>
      <c r="AW13" s="53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</row>
    <row r="14" spans="1:117" s="36" customFormat="1" ht="15.6" x14ac:dyDescent="0.3">
      <c r="A14" s="40"/>
      <c r="B14" s="84"/>
      <c r="C14" s="40"/>
      <c r="D14" s="39"/>
      <c r="E14" s="34"/>
      <c r="F14" s="35"/>
      <c r="H14" s="38"/>
      <c r="I14" s="38"/>
      <c r="J14" s="38"/>
      <c r="K14" s="38"/>
      <c r="L14" s="54"/>
      <c r="M14" s="39"/>
      <c r="N14" s="39"/>
      <c r="O14" s="53"/>
      <c r="P14" s="34"/>
      <c r="Q14" s="35"/>
      <c r="S14" s="38"/>
      <c r="T14" s="38"/>
      <c r="U14" s="38"/>
      <c r="V14" s="54"/>
      <c r="W14" s="54"/>
      <c r="X14" s="57"/>
      <c r="Y14" s="70"/>
      <c r="Z14" t="s">
        <v>40</v>
      </c>
      <c r="AA14"/>
      <c r="AB14" s="13">
        <f>AVERAGE(AB2:AB8)</f>
        <v>2.8654580603022661</v>
      </c>
      <c r="AC14" s="13">
        <f>AVERAGE(AC2:AC8)</f>
        <v>431.54372582490038</v>
      </c>
      <c r="AD14" s="57"/>
      <c r="AE14" s="57"/>
      <c r="AF14" s="55"/>
      <c r="AN14" s="55">
        <f>MAX(AN2:AN11)</f>
        <v>46</v>
      </c>
      <c r="AO14" s="53"/>
      <c r="AP14" s="70"/>
      <c r="AQ14" s="70"/>
      <c r="AR14" s="70"/>
      <c r="AS14" s="70"/>
      <c r="AT14" s="53"/>
      <c r="AU14" s="53"/>
      <c r="AV14" s="53"/>
      <c r="AW14" s="53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</row>
    <row r="15" spans="1:117" s="36" customFormat="1" ht="15.6" x14ac:dyDescent="0.3">
      <c r="A15" s="40"/>
      <c r="B15" s="84"/>
      <c r="C15" s="40"/>
      <c r="D15" s="39"/>
      <c r="E15" s="34"/>
      <c r="F15" s="35"/>
      <c r="H15" s="38"/>
      <c r="I15" s="38"/>
      <c r="J15" s="38"/>
      <c r="K15" s="38"/>
      <c r="L15" s="38"/>
      <c r="M15" s="38"/>
      <c r="N15" s="39"/>
      <c r="O15" s="53"/>
      <c r="P15" s="34"/>
      <c r="Q15" s="35"/>
      <c r="S15" s="38"/>
      <c r="T15" s="38"/>
      <c r="U15" s="38"/>
      <c r="V15" s="38"/>
      <c r="X15" s="57"/>
      <c r="Y15" s="70"/>
      <c r="Z15" t="s">
        <v>41</v>
      </c>
      <c r="AA15"/>
      <c r="AB15">
        <f>STDEV(AB2:AB8)</f>
        <v>0.19442063700765885</v>
      </c>
      <c r="AC15">
        <f>STDEV(AC2:AC8)</f>
        <v>50.86325514213771</v>
      </c>
      <c r="AD15" s="57"/>
      <c r="AE15" s="57"/>
      <c r="AN15" s="53"/>
      <c r="AO15" s="53"/>
      <c r="AP15" s="89"/>
      <c r="AQ15" s="89"/>
      <c r="AR15" s="89"/>
      <c r="AS15" s="89"/>
      <c r="AT15" s="53"/>
      <c r="AU15" s="53"/>
      <c r="AV15" s="53"/>
      <c r="AW15" s="53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</row>
    <row r="16" spans="1:117" s="36" customFormat="1" ht="15.6" x14ac:dyDescent="0.3">
      <c r="A16" s="40"/>
      <c r="B16" s="84"/>
      <c r="C16" s="40"/>
      <c r="D16" s="39"/>
      <c r="E16" s="34"/>
      <c r="F16" s="35"/>
      <c r="H16" s="38"/>
      <c r="I16" s="38"/>
      <c r="J16" s="38"/>
      <c r="K16" s="38"/>
      <c r="L16" s="38"/>
      <c r="M16" s="38"/>
      <c r="N16" s="39"/>
      <c r="O16" s="53"/>
      <c r="P16" s="34"/>
      <c r="Q16" s="35"/>
      <c r="S16" s="38"/>
      <c r="T16" s="38"/>
      <c r="U16" s="38"/>
      <c r="V16" s="38"/>
      <c r="X16" s="57"/>
      <c r="Y16" s="70"/>
      <c r="Z16" t="s">
        <v>42</v>
      </c>
      <c r="AA16"/>
      <c r="AB16">
        <f>100*AB15/AB14</f>
        <v>6.7849758368876696</v>
      </c>
      <c r="AC16">
        <f>100*AC15/AC14</f>
        <v>11.786350281170712</v>
      </c>
      <c r="AD16" s="57"/>
      <c r="AE16" s="57"/>
      <c r="AN16" s="53"/>
      <c r="AO16" s="53"/>
      <c r="AP16" s="70"/>
      <c r="AQ16" s="70"/>
      <c r="AR16" s="70"/>
      <c r="AS16" s="70"/>
      <c r="AT16" s="53"/>
      <c r="AU16" s="53"/>
      <c r="AV16" s="53"/>
      <c r="AW16" s="53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</row>
    <row r="17" spans="1:116" s="36" customFormat="1" ht="15.6" x14ac:dyDescent="0.3">
      <c r="A17" s="40"/>
      <c r="B17" s="84"/>
      <c r="C17" s="40"/>
      <c r="D17" s="39"/>
      <c r="E17" s="39"/>
      <c r="F17" s="40"/>
      <c r="G17" s="40"/>
      <c r="H17" s="40"/>
      <c r="I17" s="40"/>
      <c r="J17" s="40"/>
      <c r="K17" s="40"/>
      <c r="L17" s="39"/>
      <c r="M17" s="39"/>
      <c r="N17" s="53"/>
      <c r="O17" s="34"/>
      <c r="P17" s="35"/>
      <c r="R17" s="38"/>
      <c r="S17" s="38"/>
      <c r="T17" s="38"/>
      <c r="U17" s="54"/>
      <c r="V17" s="54"/>
      <c r="W17" s="38"/>
      <c r="Z17" t="s">
        <v>43</v>
      </c>
      <c r="AA17" s="28"/>
      <c r="AB17" s="28">
        <f t="shared" ref="AB17:AC17" si="11">TINV(0.02,6)</f>
        <v>3.1426684032909828</v>
      </c>
      <c r="AC17" s="28">
        <f t="shared" si="11"/>
        <v>3.1426684032909828</v>
      </c>
      <c r="AG17" s="55"/>
      <c r="AH17" s="55"/>
      <c r="AI17" s="55"/>
      <c r="AJ17" s="55"/>
      <c r="AL17" s="55"/>
      <c r="AM17" s="55"/>
      <c r="AN17" s="53"/>
      <c r="AO17" s="53"/>
      <c r="AP17" s="53"/>
      <c r="AQ17" s="55"/>
      <c r="AR17" s="55"/>
      <c r="AS17" s="53"/>
      <c r="AT17" s="53"/>
      <c r="AU17" s="53"/>
      <c r="AV17" s="53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</row>
    <row r="18" spans="1:116" s="36" customFormat="1" ht="15.6" x14ac:dyDescent="0.3">
      <c r="A18" s="40"/>
      <c r="B18" s="87"/>
      <c r="C18" s="40"/>
      <c r="D18" s="39"/>
      <c r="E18" s="39"/>
      <c r="F18" s="40"/>
      <c r="G18" s="40"/>
      <c r="H18" s="40"/>
      <c r="I18" s="40"/>
      <c r="J18" s="40"/>
      <c r="K18" s="40"/>
      <c r="L18" s="39"/>
      <c r="M18" s="39"/>
      <c r="N18" s="53"/>
      <c r="O18" s="34"/>
      <c r="P18" s="35"/>
      <c r="R18" s="38"/>
      <c r="S18" s="38"/>
      <c r="T18" s="38"/>
      <c r="U18" s="54"/>
      <c r="V18" s="54"/>
      <c r="Y18" s="70"/>
      <c r="Z18" s="29" t="s">
        <v>44</v>
      </c>
      <c r="AA18" s="30"/>
      <c r="AB18" s="30">
        <f>AB15*AB17</f>
        <v>0.61099959287167505</v>
      </c>
      <c r="AC18" s="30">
        <f>AC15*AC17</f>
        <v>159.8463448237238</v>
      </c>
      <c r="AG18" s="55"/>
      <c r="AH18" s="55"/>
      <c r="AI18" s="55"/>
      <c r="AJ18" s="55"/>
      <c r="AL18" s="55"/>
      <c r="AM18" s="55"/>
      <c r="AN18" s="53"/>
      <c r="AO18" s="53"/>
      <c r="AP18" s="53"/>
      <c r="AQ18" s="55"/>
      <c r="AR18" s="55"/>
      <c r="AS18" s="53"/>
      <c r="AT18" s="53"/>
      <c r="AU18" s="53"/>
      <c r="AV18" s="53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</row>
    <row r="19" spans="1:116" s="36" customFormat="1" ht="15.6" x14ac:dyDescent="0.3">
      <c r="A19" s="40"/>
      <c r="B19" s="88"/>
      <c r="C19" s="40"/>
      <c r="D19" s="39"/>
      <c r="E19" s="39"/>
      <c r="F19" s="40"/>
      <c r="G19" s="40"/>
      <c r="H19" s="40"/>
      <c r="I19" s="40"/>
      <c r="J19" s="40"/>
      <c r="K19" s="40"/>
      <c r="L19" s="39"/>
      <c r="M19" s="39"/>
      <c r="N19" s="53"/>
      <c r="O19" s="34"/>
      <c r="P19" s="34"/>
      <c r="R19" s="38"/>
      <c r="S19" s="38"/>
      <c r="T19" s="38"/>
      <c r="U19" s="54"/>
      <c r="V19" s="54"/>
      <c r="W19" s="38"/>
      <c r="Y19" s="70"/>
      <c r="Z19" s="29" t="s">
        <v>45</v>
      </c>
      <c r="AA19" s="30"/>
      <c r="AB19" s="30">
        <f>10*AB15</f>
        <v>1.9442063700765886</v>
      </c>
      <c r="AC19" s="30">
        <f>10*AC15</f>
        <v>508.63255142137712</v>
      </c>
      <c r="AK19" s="55"/>
      <c r="AL19" s="55"/>
      <c r="AM19" s="55"/>
      <c r="AN19" s="53"/>
      <c r="AO19" s="53"/>
      <c r="AP19" s="53"/>
      <c r="AQ19" s="53"/>
      <c r="AR19" s="53"/>
      <c r="AS19" s="53"/>
      <c r="AT19" s="53"/>
      <c r="AU19" s="53"/>
      <c r="AV19" s="53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</row>
    <row r="20" spans="1:116" s="36" customFormat="1" ht="15.6" x14ac:dyDescent="0.3">
      <c r="A20" s="40"/>
      <c r="B20" s="84"/>
      <c r="C20" s="40"/>
      <c r="D20" s="39"/>
      <c r="E20" s="39"/>
      <c r="F20" s="40"/>
      <c r="G20" s="40"/>
      <c r="H20" s="40"/>
      <c r="I20" s="40"/>
      <c r="J20" s="40"/>
      <c r="K20" s="40"/>
      <c r="L20" s="39"/>
      <c r="M20" s="39"/>
      <c r="N20" s="53"/>
      <c r="O20" s="34"/>
      <c r="P20" s="34"/>
      <c r="R20" s="38"/>
      <c r="S20" s="38"/>
      <c r="T20" s="38"/>
      <c r="U20" s="54"/>
      <c r="V20" s="54"/>
      <c r="Y20" s="70"/>
      <c r="Z20" t="s">
        <v>46</v>
      </c>
      <c r="AA20" s="31"/>
      <c r="AB20" s="31">
        <f>100*(AB14-AB13)/AB13</f>
        <v>54.889624881203567</v>
      </c>
      <c r="AC20" s="31">
        <f>100*(AC14-AC13)/AC13</f>
        <v>7.8859314562250935</v>
      </c>
      <c r="AK20" s="55"/>
      <c r="AL20" s="55"/>
      <c r="AM20" s="55"/>
      <c r="AN20" s="53"/>
      <c r="AO20" s="53"/>
      <c r="AP20" s="53"/>
      <c r="AQ20" s="53"/>
      <c r="AR20" s="53"/>
      <c r="AS20" s="53"/>
      <c r="AT20" s="53"/>
      <c r="AU20" s="53"/>
      <c r="AV20" s="53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</row>
    <row r="21" spans="1:116" s="36" customFormat="1" ht="15.6" x14ac:dyDescent="0.3">
      <c r="A21" s="40"/>
      <c r="B21" s="84"/>
      <c r="C21" s="40"/>
      <c r="D21" s="39"/>
      <c r="E21" s="39"/>
      <c r="F21" s="40"/>
      <c r="G21" s="40"/>
      <c r="H21" s="40"/>
      <c r="I21" s="40"/>
      <c r="J21" s="40"/>
      <c r="K21" s="40"/>
      <c r="L21" s="39"/>
      <c r="M21" s="39"/>
      <c r="N21" s="53"/>
      <c r="O21" s="34"/>
      <c r="P21" s="34"/>
      <c r="R21" s="38"/>
      <c r="S21" s="38"/>
      <c r="T21" s="38"/>
      <c r="U21" s="54"/>
      <c r="V21" s="54"/>
      <c r="Y21" s="70"/>
      <c r="Z21" t="s">
        <v>47</v>
      </c>
      <c r="AA21" s="31"/>
      <c r="AB21" s="31">
        <f>AB13/AB18</f>
        <v>3.0278252581234462</v>
      </c>
      <c r="AC21" s="31">
        <f>AC13/AC18</f>
        <v>2.5024031700012541</v>
      </c>
      <c r="AK21" s="55"/>
      <c r="AL21" s="55"/>
      <c r="AM21" s="55"/>
      <c r="AN21" s="53"/>
      <c r="AO21" s="53"/>
      <c r="AP21" s="53"/>
      <c r="AQ21" s="53"/>
      <c r="AR21" s="53"/>
      <c r="AS21" s="53"/>
      <c r="AT21" s="53"/>
      <c r="AU21" s="53"/>
      <c r="AV21" s="53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</row>
    <row r="22" spans="1:116" s="36" customFormat="1" ht="15.6" x14ac:dyDescent="0.3">
      <c r="A22" s="40"/>
      <c r="B22" s="84"/>
      <c r="C22" s="40"/>
      <c r="D22" s="39"/>
      <c r="E22" s="39"/>
      <c r="F22" s="40"/>
      <c r="G22" s="40"/>
      <c r="H22" s="40"/>
      <c r="I22" s="40"/>
      <c r="J22" s="40"/>
      <c r="K22" s="40"/>
      <c r="L22" s="39"/>
      <c r="M22" s="39"/>
      <c r="N22" s="53"/>
      <c r="O22" s="34"/>
      <c r="P22" s="34"/>
      <c r="R22" s="38"/>
      <c r="S22" s="38"/>
      <c r="T22" s="38"/>
      <c r="U22" s="54"/>
      <c r="V22" s="54"/>
      <c r="Y22" s="70"/>
      <c r="Z22" t="s">
        <v>48</v>
      </c>
      <c r="AA22" s="31"/>
      <c r="AB22" s="31">
        <f>100*AB14/AB13</f>
        <v>154.88962488120359</v>
      </c>
      <c r="AC22" s="31">
        <f>100*AC14/AC13</f>
        <v>107.88593145622509</v>
      </c>
      <c r="AK22" s="55"/>
      <c r="AL22" s="55"/>
      <c r="AM22" s="55"/>
      <c r="AN22" s="53"/>
      <c r="AO22" s="53"/>
      <c r="AP22" s="53"/>
      <c r="AQ22" s="53"/>
      <c r="AR22" s="53"/>
      <c r="AS22" s="53"/>
      <c r="AT22" s="53"/>
      <c r="AU22" s="53"/>
      <c r="AV22" s="53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</row>
    <row r="23" spans="1:116" s="36" customFormat="1" ht="15.6" x14ac:dyDescent="0.3">
      <c r="A23" s="40"/>
      <c r="B23" s="84"/>
      <c r="C23" s="40"/>
      <c r="D23" s="39"/>
      <c r="E23" s="39"/>
      <c r="F23" s="40"/>
      <c r="G23" s="40"/>
      <c r="H23" s="40"/>
      <c r="I23" s="40"/>
      <c r="J23" s="40"/>
      <c r="K23" s="40"/>
      <c r="L23" s="39"/>
      <c r="M23" s="39"/>
      <c r="N23" s="53"/>
      <c r="O23" s="34"/>
      <c r="P23" s="34"/>
      <c r="R23" s="38"/>
      <c r="S23" s="38"/>
      <c r="T23" s="38"/>
      <c r="U23" s="54"/>
      <c r="V23" s="54"/>
      <c r="Y23" s="70"/>
      <c r="Z23" t="s">
        <v>49</v>
      </c>
      <c r="AA23" s="31"/>
      <c r="AB23" s="31">
        <f>AB14/AB15</f>
        <v>14.738446002465194</v>
      </c>
      <c r="AC23" s="31">
        <f>AC14/AC15</f>
        <v>8.4843906395481081</v>
      </c>
      <c r="AK23" s="55"/>
      <c r="AL23" s="55"/>
      <c r="AM23" s="55"/>
      <c r="AN23" s="53"/>
      <c r="AO23" s="53"/>
      <c r="AP23" s="53"/>
      <c r="AQ23" s="53"/>
      <c r="AR23" s="53"/>
      <c r="AS23" s="53"/>
      <c r="AT23" s="53"/>
      <c r="AU23" s="53"/>
      <c r="AV23" s="53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</row>
    <row r="24" spans="1:116" s="36" customFormat="1" x14ac:dyDescent="0.25">
      <c r="A24" s="40"/>
      <c r="B24" s="84"/>
      <c r="C24" s="40"/>
      <c r="D24" s="39"/>
      <c r="E24" s="39"/>
      <c r="F24" s="40"/>
      <c r="G24" s="40"/>
      <c r="H24" s="40"/>
      <c r="I24" s="40"/>
      <c r="J24" s="40"/>
      <c r="K24" s="40"/>
      <c r="L24" s="39"/>
      <c r="M24" s="39"/>
      <c r="N24" s="53"/>
      <c r="O24" s="34"/>
      <c r="P24" s="34"/>
      <c r="R24" s="38"/>
      <c r="S24" s="38"/>
      <c r="T24" s="38"/>
      <c r="U24" s="54"/>
      <c r="V24" s="54"/>
      <c r="Y24" s="70"/>
      <c r="Z24" s="85"/>
      <c r="AK24" s="55"/>
      <c r="AL24" s="55"/>
      <c r="AM24" s="55"/>
      <c r="AN24" s="53"/>
      <c r="AO24" s="53"/>
      <c r="AP24" s="53"/>
      <c r="AQ24" s="53"/>
      <c r="AR24" s="53"/>
      <c r="AS24" s="53"/>
      <c r="AT24" s="53"/>
      <c r="AU24" s="53"/>
      <c r="AV24" s="53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</row>
    <row r="25" spans="1:116" s="36" customFormat="1" x14ac:dyDescent="0.25">
      <c r="A25" s="40"/>
      <c r="B25" s="84"/>
      <c r="C25" s="40"/>
      <c r="D25" s="39"/>
      <c r="E25" s="39"/>
      <c r="F25" s="40"/>
      <c r="G25" s="40"/>
      <c r="H25" s="40"/>
      <c r="I25" s="40"/>
      <c r="J25" s="40"/>
      <c r="K25" s="40"/>
      <c r="L25" s="39"/>
      <c r="M25" s="39"/>
      <c r="N25" s="53"/>
      <c r="O25" s="34"/>
      <c r="P25" s="34"/>
      <c r="R25" s="38"/>
      <c r="S25" s="38"/>
      <c r="T25" s="38"/>
      <c r="U25" s="54"/>
      <c r="V25" s="54"/>
      <c r="Y25" s="70"/>
      <c r="Z25" s="85"/>
      <c r="AK25" s="55"/>
      <c r="AL25" s="55"/>
      <c r="AM25" s="55"/>
      <c r="AN25" s="53"/>
      <c r="AO25" s="53"/>
      <c r="AP25" s="53"/>
      <c r="AQ25" s="53"/>
      <c r="AR25" s="53"/>
      <c r="AS25" s="53"/>
      <c r="AT25" s="53"/>
      <c r="AU25" s="53"/>
      <c r="AV25" s="53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</row>
    <row r="26" spans="1:116" s="36" customFormat="1" x14ac:dyDescent="0.25">
      <c r="A26" s="40"/>
      <c r="B26" s="84"/>
      <c r="C26" s="40"/>
      <c r="D26" s="39"/>
      <c r="E26" s="39"/>
      <c r="F26" s="40"/>
      <c r="G26" s="40"/>
      <c r="H26" s="40"/>
      <c r="I26" s="40"/>
      <c r="J26" s="40"/>
      <c r="K26" s="40"/>
      <c r="L26" s="39"/>
      <c r="M26" s="39"/>
      <c r="N26" s="53"/>
      <c r="O26" s="34"/>
      <c r="P26" s="34"/>
      <c r="R26" s="38"/>
      <c r="S26" s="38"/>
      <c r="T26" s="38"/>
      <c r="U26" s="54"/>
      <c r="V26" s="54"/>
      <c r="Y26" s="70"/>
      <c r="Z26" s="85"/>
      <c r="AK26" s="55"/>
      <c r="AL26" s="55"/>
      <c r="AM26" s="55"/>
      <c r="AN26" s="53"/>
      <c r="AO26" s="53"/>
      <c r="AP26" s="53"/>
      <c r="AQ26" s="53"/>
      <c r="AR26" s="53"/>
      <c r="AS26" s="53"/>
      <c r="AT26" s="53"/>
      <c r="AU26" s="53"/>
      <c r="AV26" s="53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</row>
    <row r="27" spans="1:116" s="36" customFormat="1" x14ac:dyDescent="0.25">
      <c r="A27" s="40"/>
      <c r="B27" s="84"/>
      <c r="C27" s="40"/>
      <c r="D27" s="39"/>
      <c r="E27" s="39"/>
      <c r="F27" s="40"/>
      <c r="G27" s="40"/>
      <c r="H27" s="40"/>
      <c r="I27" s="40"/>
      <c r="J27" s="40"/>
      <c r="K27" s="40"/>
      <c r="L27" s="39"/>
      <c r="M27" s="39"/>
      <c r="N27" s="53"/>
      <c r="O27" s="34"/>
      <c r="P27" s="34"/>
      <c r="R27" s="38"/>
      <c r="S27" s="38"/>
      <c r="T27" s="38"/>
      <c r="U27" s="54"/>
      <c r="V27" s="54"/>
      <c r="Y27" s="70"/>
      <c r="Z27" s="85"/>
      <c r="AK27" s="55"/>
      <c r="AL27" s="55"/>
      <c r="AM27" s="55"/>
      <c r="AN27" s="53"/>
      <c r="AO27" s="53"/>
      <c r="AP27" s="53"/>
      <c r="AQ27" s="53"/>
      <c r="AR27" s="53"/>
      <c r="AS27" s="53"/>
      <c r="AT27" s="53"/>
      <c r="AU27" s="53"/>
      <c r="AV27" s="53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</row>
    <row r="28" spans="1:116" s="36" customFormat="1" x14ac:dyDescent="0.25">
      <c r="A28" s="40"/>
      <c r="B28" s="84"/>
      <c r="C28" s="40"/>
      <c r="D28" s="39"/>
      <c r="E28" s="39"/>
      <c r="F28" s="40"/>
      <c r="G28" s="40"/>
      <c r="H28" s="40"/>
      <c r="I28" s="40"/>
      <c r="J28" s="40"/>
      <c r="K28" s="40"/>
      <c r="L28" s="39"/>
      <c r="M28" s="39"/>
      <c r="N28" s="53"/>
      <c r="O28" s="34"/>
      <c r="P28" s="34"/>
      <c r="R28" s="38"/>
      <c r="S28" s="38"/>
      <c r="T28" s="38"/>
      <c r="U28" s="54"/>
      <c r="V28" s="54"/>
      <c r="Y28" s="70"/>
      <c r="Z28" s="85"/>
      <c r="AK28" s="55"/>
      <c r="AL28" s="55"/>
      <c r="AM28" s="55"/>
      <c r="AN28" s="53"/>
      <c r="AO28" s="53"/>
      <c r="AP28" s="53"/>
      <c r="AQ28" s="53"/>
      <c r="AR28" s="53"/>
      <c r="AS28" s="53"/>
      <c r="AT28" s="53"/>
      <c r="AU28" s="53"/>
      <c r="AV28" s="53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</row>
    <row r="29" spans="1:116" s="36" customFormat="1" x14ac:dyDescent="0.25">
      <c r="A29" s="40"/>
      <c r="B29" s="84"/>
      <c r="C29" s="40"/>
      <c r="D29" s="39"/>
      <c r="E29" s="39"/>
      <c r="F29" s="40"/>
      <c r="G29" s="40"/>
      <c r="H29" s="40"/>
      <c r="I29" s="40"/>
      <c r="J29" s="40"/>
      <c r="K29" s="40"/>
      <c r="L29" s="39"/>
      <c r="M29" s="39"/>
      <c r="N29" s="53"/>
      <c r="O29" s="34"/>
      <c r="P29" s="34"/>
      <c r="R29" s="38"/>
      <c r="S29" s="38"/>
      <c r="T29" s="38"/>
      <c r="U29" s="54"/>
      <c r="V29" s="54"/>
      <c r="Y29" s="70"/>
      <c r="Z29" s="85"/>
      <c r="AK29" s="55"/>
      <c r="AL29" s="55"/>
      <c r="AM29" s="55"/>
      <c r="AN29" s="53"/>
      <c r="AO29" s="53"/>
      <c r="AP29" s="53"/>
      <c r="AQ29" s="53"/>
      <c r="AR29" s="53"/>
      <c r="AS29" s="53"/>
      <c r="AT29" s="53"/>
      <c r="AU29" s="53"/>
      <c r="AV29" s="53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</row>
    <row r="30" spans="1:116" s="36" customFormat="1" x14ac:dyDescent="0.25">
      <c r="A30" s="40"/>
      <c r="B30" s="84"/>
      <c r="C30" s="40"/>
      <c r="D30" s="39"/>
      <c r="E30" s="39"/>
      <c r="F30" s="40"/>
      <c r="G30" s="40"/>
      <c r="H30" s="40"/>
      <c r="I30" s="40"/>
      <c r="J30" s="40"/>
      <c r="K30" s="40"/>
      <c r="L30" s="39"/>
      <c r="M30" s="39"/>
      <c r="N30" s="53"/>
      <c r="O30" s="34"/>
      <c r="P30" s="34"/>
      <c r="R30" s="38"/>
      <c r="S30" s="38"/>
      <c r="T30" s="38"/>
      <c r="U30" s="54"/>
      <c r="V30" s="54"/>
      <c r="Y30" s="70"/>
      <c r="Z30" s="85"/>
      <c r="AK30" s="55"/>
      <c r="AL30" s="55"/>
      <c r="AM30" s="55"/>
      <c r="AN30" s="53"/>
      <c r="AO30" s="53"/>
      <c r="AP30" s="53"/>
      <c r="AQ30" s="53"/>
      <c r="AR30" s="53"/>
      <c r="AS30" s="53"/>
      <c r="AT30" s="53"/>
      <c r="AU30" s="53"/>
      <c r="AV30" s="53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</row>
    <row r="31" spans="1:116" s="36" customFormat="1" x14ac:dyDescent="0.25">
      <c r="A31" s="40"/>
      <c r="B31" s="84"/>
      <c r="C31" s="40"/>
      <c r="D31" s="39"/>
      <c r="E31" s="39"/>
      <c r="F31" s="40"/>
      <c r="G31" s="40"/>
      <c r="H31" s="40"/>
      <c r="I31" s="40"/>
      <c r="J31" s="40"/>
      <c r="K31" s="40"/>
      <c r="L31" s="39"/>
      <c r="M31" s="39"/>
      <c r="N31" s="53"/>
      <c r="O31" s="34"/>
      <c r="P31" s="34"/>
      <c r="R31" s="38"/>
      <c r="S31" s="38"/>
      <c r="T31" s="38"/>
      <c r="U31" s="54"/>
      <c r="V31" s="54"/>
      <c r="Y31" s="85"/>
      <c r="Z31" s="85"/>
      <c r="AK31" s="55"/>
      <c r="AL31" s="55"/>
      <c r="AM31" s="55"/>
      <c r="AN31" s="53"/>
      <c r="AO31" s="53"/>
      <c r="AP31" s="53"/>
      <c r="AQ31" s="53"/>
      <c r="AR31" s="53"/>
      <c r="AS31" s="53"/>
      <c r="AT31" s="53"/>
      <c r="AU31" s="53"/>
      <c r="AV31" s="53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</row>
    <row r="32" spans="1:116" s="36" customFormat="1" x14ac:dyDescent="0.25">
      <c r="A32" s="40"/>
      <c r="B32" s="84"/>
      <c r="C32" s="40"/>
      <c r="D32" s="39"/>
      <c r="E32" s="39"/>
      <c r="F32" s="40"/>
      <c r="G32" s="40"/>
      <c r="H32" s="40"/>
      <c r="I32" s="40"/>
      <c r="J32" s="40"/>
      <c r="K32" s="40"/>
      <c r="L32" s="39"/>
      <c r="M32" s="39"/>
      <c r="N32" s="53"/>
      <c r="O32" s="34"/>
      <c r="P32" s="34"/>
      <c r="R32" s="38"/>
      <c r="S32" s="38"/>
      <c r="T32" s="38"/>
      <c r="U32" s="54"/>
      <c r="V32" s="54"/>
      <c r="Y32" s="85"/>
      <c r="Z32" s="85"/>
      <c r="AK32" s="55"/>
      <c r="AL32" s="55"/>
      <c r="AM32" s="55"/>
      <c r="AN32" s="53"/>
      <c r="AO32" s="53"/>
      <c r="AP32" s="53"/>
      <c r="AQ32" s="53"/>
      <c r="AR32" s="53"/>
      <c r="AS32" s="53"/>
      <c r="AT32" s="53"/>
      <c r="AU32" s="53"/>
      <c r="AV32" s="53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</row>
    <row r="33" spans="1:116" s="36" customFormat="1" x14ac:dyDescent="0.25">
      <c r="A33" s="40"/>
      <c r="B33" s="84"/>
      <c r="C33" s="40"/>
      <c r="D33" s="39"/>
      <c r="E33" s="39"/>
      <c r="F33" s="40"/>
      <c r="G33" s="40"/>
      <c r="H33" s="40"/>
      <c r="I33" s="40"/>
      <c r="J33" s="40"/>
      <c r="K33" s="40"/>
      <c r="L33" s="39"/>
      <c r="M33" s="39"/>
      <c r="N33" s="53"/>
      <c r="O33" s="34"/>
      <c r="P33" s="34"/>
      <c r="R33" s="38"/>
      <c r="S33" s="38"/>
      <c r="T33" s="38"/>
      <c r="U33" s="54"/>
      <c r="V33" s="54"/>
      <c r="Y33" s="85"/>
      <c r="Z33" s="85"/>
      <c r="AK33" s="55"/>
      <c r="AL33" s="55"/>
      <c r="AM33" s="55"/>
      <c r="AN33" s="53"/>
      <c r="AO33" s="53"/>
      <c r="AP33" s="53"/>
      <c r="AQ33" s="53"/>
      <c r="AR33" s="53"/>
      <c r="AS33" s="53"/>
      <c r="AT33" s="53"/>
      <c r="AU33" s="53"/>
      <c r="AV33" s="53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</row>
    <row r="34" spans="1:116" s="36" customFormat="1" x14ac:dyDescent="0.25">
      <c r="A34" s="40"/>
      <c r="B34" s="84"/>
      <c r="C34" s="40"/>
      <c r="D34" s="39"/>
      <c r="E34" s="39"/>
      <c r="F34" s="40"/>
      <c r="G34" s="40"/>
      <c r="H34" s="40"/>
      <c r="I34" s="40"/>
      <c r="J34" s="40"/>
      <c r="K34" s="40"/>
      <c r="L34" s="39"/>
      <c r="M34" s="39"/>
      <c r="N34" s="53"/>
      <c r="O34" s="34"/>
      <c r="P34" s="34"/>
      <c r="R34" s="38"/>
      <c r="S34" s="38"/>
      <c r="T34" s="38"/>
      <c r="U34" s="54"/>
      <c r="V34" s="54"/>
      <c r="Y34" s="85"/>
      <c r="Z34" s="85"/>
      <c r="AK34" s="55"/>
      <c r="AL34" s="55"/>
      <c r="AM34" s="55"/>
      <c r="AN34" s="53"/>
      <c r="AO34" s="53"/>
      <c r="AP34" s="53"/>
      <c r="AQ34" s="53"/>
      <c r="AR34" s="53"/>
      <c r="AS34" s="53"/>
      <c r="AT34" s="53"/>
      <c r="AU34" s="53"/>
      <c r="AV34" s="53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</row>
  </sheetData>
  <printOptions gridLines="1"/>
  <pageMargins left="0.7" right="0.7" top="0.75" bottom="0.75" header="0.3" footer="0.3"/>
  <pageSetup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6:AG59"/>
  <sheetViews>
    <sheetView topLeftCell="T36" workbookViewId="0">
      <selection activeCell="X62" sqref="X62"/>
    </sheetView>
  </sheetViews>
  <sheetFormatPr defaultColWidth="11.44140625" defaultRowHeight="14.4" x14ac:dyDescent="0.3"/>
  <cols>
    <col min="5" max="5" width="23.5546875" style="7" customWidth="1"/>
    <col min="13" max="13" width="14.21875" style="7" bestFit="1" customWidth="1"/>
  </cols>
  <sheetData>
    <row r="36" spans="1:33" s="1" customFormat="1" ht="115.2" x14ac:dyDescent="0.3">
      <c r="A36" s="1" t="s">
        <v>0</v>
      </c>
      <c r="B36" s="1" t="s">
        <v>62</v>
      </c>
      <c r="C36" s="2" t="s">
        <v>1</v>
      </c>
      <c r="D36" s="2" t="s">
        <v>63</v>
      </c>
      <c r="E36" s="7" t="s">
        <v>2</v>
      </c>
      <c r="F36" s="1" t="s">
        <v>64</v>
      </c>
      <c r="G36" s="1" t="s">
        <v>65</v>
      </c>
      <c r="H36" s="1" t="s">
        <v>66</v>
      </c>
      <c r="I36" s="1" t="s">
        <v>67</v>
      </c>
      <c r="J36" s="1" t="s">
        <v>68</v>
      </c>
      <c r="K36" s="1" t="s">
        <v>69</v>
      </c>
      <c r="L36" s="1" t="s">
        <v>70</v>
      </c>
      <c r="M36" s="7" t="s">
        <v>71</v>
      </c>
      <c r="N36" s="1" t="s">
        <v>3</v>
      </c>
      <c r="O36" s="1" t="s">
        <v>72</v>
      </c>
      <c r="P36" s="3" t="s">
        <v>4</v>
      </c>
      <c r="Q36" s="3" t="s">
        <v>73</v>
      </c>
      <c r="R36" s="1" t="s">
        <v>74</v>
      </c>
      <c r="S36" s="1" t="s">
        <v>75</v>
      </c>
      <c r="T36" s="1" t="s">
        <v>76</v>
      </c>
      <c r="U36" s="1" t="s">
        <v>77</v>
      </c>
      <c r="V36" s="1" t="s">
        <v>78</v>
      </c>
      <c r="W36" s="1" t="s">
        <v>79</v>
      </c>
      <c r="X36" s="4" t="s">
        <v>80</v>
      </c>
      <c r="Y36" s="4" t="s">
        <v>81</v>
      </c>
      <c r="Z36" s="5" t="s">
        <v>82</v>
      </c>
      <c r="AA36" s="5" t="s">
        <v>83</v>
      </c>
      <c r="AB36" s="1" t="s">
        <v>84</v>
      </c>
      <c r="AC36" s="1" t="s">
        <v>85</v>
      </c>
      <c r="AD36" s="1" t="s">
        <v>86</v>
      </c>
      <c r="AE36" s="2" t="s">
        <v>87</v>
      </c>
      <c r="AG36" s="1" t="s">
        <v>88</v>
      </c>
    </row>
    <row r="37" spans="1:33" x14ac:dyDescent="0.3">
      <c r="A37" s="6">
        <v>42929</v>
      </c>
      <c r="B37" s="32"/>
      <c r="C37" s="2">
        <v>23.4</v>
      </c>
      <c r="D37" s="2">
        <v>30.28</v>
      </c>
      <c r="E37" s="7" t="s">
        <v>89</v>
      </c>
      <c r="F37" t="s">
        <v>90</v>
      </c>
      <c r="G37" s="1">
        <v>800</v>
      </c>
      <c r="H37" s="1">
        <v>3.97</v>
      </c>
      <c r="I37" s="14">
        <v>11490</v>
      </c>
      <c r="J37" s="14"/>
      <c r="K37" s="1">
        <v>4.09</v>
      </c>
      <c r="L37" s="1">
        <v>1</v>
      </c>
      <c r="N37" s="2">
        <f>C37</f>
        <v>23.4</v>
      </c>
      <c r="O37" s="8">
        <f t="shared" ref="O37:O46" si="0">0.001316*((D37*25.4)-(2.5*2053/100))</f>
        <v>0.94460769199999983</v>
      </c>
      <c r="P37" s="9">
        <f t="shared" ref="P37:P46" si="1">(O37*(G37/1000000))/(0.08205*(N37+273.15))</f>
        <v>3.1057389662204119E-5</v>
      </c>
      <c r="Q37" s="3"/>
      <c r="R37" s="1"/>
      <c r="S37" s="1"/>
      <c r="V37" s="1"/>
      <c r="W37" s="1"/>
      <c r="X37">
        <f t="shared" ref="X37:X46" si="2">IF(H37&lt;30,((0.0002*H37)-0.0003),(IF(H37&lt;5000,((0.0002*H37)+0.0048),((0.0002*H37)+0.0667))))</f>
        <v>4.9400000000000008E-4</v>
      </c>
      <c r="Y37" s="16">
        <f t="shared" ref="Y37:Y46" si="3">IF(K37&lt;15,((0.039*K37)-0.0153),((0.0364*K37)+0.5802))</f>
        <v>0.14420999999999998</v>
      </c>
      <c r="Z37" s="10">
        <f t="shared" ref="Z37:Z46" si="4">X37*1000000/G37</f>
        <v>0.61750000000000005</v>
      </c>
      <c r="AA37" s="10">
        <f t="shared" ref="AA37:AA46" si="5">Y37*1000000/G37</f>
        <v>180.26249999999996</v>
      </c>
      <c r="AB37">
        <f t="shared" ref="AB37:AB46" si="6">IF(H37&lt;30,((0.4045*H37)-0.6933),(IF(H37&lt;5000,((0.3645*H37)+10.283),((0.5183*H37)+143.13))))</f>
        <v>0.91256500000000007</v>
      </c>
      <c r="AC37" s="33">
        <f t="shared" ref="AC37:AC46" si="7">IF(K37&lt;15,((83.603*K37)-32.732),((78.096*K37)+1244.7))</f>
        <v>309.20426999999995</v>
      </c>
      <c r="AD37" s="13">
        <f t="shared" ref="AD37:AD46" si="8">(IF(H37&lt;601, ((-0.00003*H37^2)+(0.2671*H37)+0.4766), (IF(H37&lt;19001,((0.1503*H37)+59.75),((0.000005*H37^2)-(0.0565*H37)+2184)))))*(1000/G37)</f>
        <v>1.9206427162500002</v>
      </c>
      <c r="AE37" s="13">
        <f t="shared" ref="AE37:AE46" si="9">((0.0518*K37^2)+(27.217*K37)+116.22)*(1000/G37)</f>
        <v>285.505056975</v>
      </c>
      <c r="AF37" s="1"/>
    </row>
    <row r="38" spans="1:33" x14ac:dyDescent="0.3">
      <c r="A38" s="6">
        <v>42929</v>
      </c>
      <c r="B38" s="32"/>
      <c r="C38" s="2">
        <v>23.4</v>
      </c>
      <c r="D38" s="2">
        <v>30.28</v>
      </c>
      <c r="E38" s="7" t="s">
        <v>89</v>
      </c>
      <c r="F38" t="s">
        <v>90</v>
      </c>
      <c r="G38" s="1">
        <v>800</v>
      </c>
      <c r="H38" s="1">
        <v>3.59</v>
      </c>
      <c r="I38" s="14">
        <v>11548</v>
      </c>
      <c r="J38" s="14"/>
      <c r="K38" s="1">
        <v>3.31</v>
      </c>
      <c r="L38" s="1">
        <v>1</v>
      </c>
      <c r="N38" s="2">
        <f t="shared" ref="N38:N46" si="10">C38</f>
        <v>23.4</v>
      </c>
      <c r="O38" s="8">
        <f t="shared" si="0"/>
        <v>0.94460769199999983</v>
      </c>
      <c r="P38" s="9">
        <f t="shared" si="1"/>
        <v>3.1057389662204119E-5</v>
      </c>
      <c r="Q38" s="3"/>
      <c r="R38" s="1"/>
      <c r="S38" s="1"/>
      <c r="V38" s="1"/>
      <c r="W38" s="1"/>
      <c r="X38">
        <f t="shared" si="2"/>
        <v>4.1800000000000002E-4</v>
      </c>
      <c r="Y38" s="16">
        <f t="shared" si="3"/>
        <v>0.11379000000000002</v>
      </c>
      <c r="Z38" s="10">
        <f t="shared" si="4"/>
        <v>0.52249999999999996</v>
      </c>
      <c r="AA38" s="10">
        <f t="shared" si="5"/>
        <v>142.23750000000001</v>
      </c>
      <c r="AB38">
        <f t="shared" si="6"/>
        <v>0.75885500000000006</v>
      </c>
      <c r="AC38" s="33">
        <f t="shared" si="7"/>
        <v>243.99393000000001</v>
      </c>
      <c r="AD38" s="13">
        <f t="shared" si="8"/>
        <v>1.7938779462499999</v>
      </c>
      <c r="AE38" s="13">
        <f t="shared" si="9"/>
        <v>258.59474497499997</v>
      </c>
    </row>
    <row r="39" spans="1:33" x14ac:dyDescent="0.3">
      <c r="A39" s="6">
        <v>42929</v>
      </c>
      <c r="B39" s="32"/>
      <c r="C39" s="2">
        <v>23.4</v>
      </c>
      <c r="D39" s="2">
        <v>30.28</v>
      </c>
      <c r="E39" s="7" t="s">
        <v>89</v>
      </c>
      <c r="F39" t="s">
        <v>90</v>
      </c>
      <c r="G39" s="1">
        <v>800</v>
      </c>
      <c r="H39" s="1">
        <v>3.38</v>
      </c>
      <c r="I39" s="14">
        <v>11445</v>
      </c>
      <c r="J39" s="14"/>
      <c r="K39" s="1">
        <v>4.49</v>
      </c>
      <c r="L39" s="1">
        <v>1</v>
      </c>
      <c r="N39" s="2">
        <f t="shared" si="10"/>
        <v>23.4</v>
      </c>
      <c r="O39" s="8">
        <f t="shared" si="0"/>
        <v>0.94460769199999983</v>
      </c>
      <c r="P39" s="9">
        <f t="shared" si="1"/>
        <v>3.1057389662204119E-5</v>
      </c>
      <c r="Q39" s="3"/>
      <c r="R39" s="1"/>
      <c r="S39" s="1"/>
      <c r="V39" s="1"/>
      <c r="W39" s="1"/>
      <c r="X39">
        <f t="shared" si="2"/>
        <v>3.7600000000000009E-4</v>
      </c>
      <c r="Y39" s="16">
        <f t="shared" si="3"/>
        <v>0.15981000000000001</v>
      </c>
      <c r="Z39" s="10">
        <f t="shared" si="4"/>
        <v>0.47000000000000014</v>
      </c>
      <c r="AA39" s="10">
        <f t="shared" si="5"/>
        <v>199.76249999999999</v>
      </c>
      <c r="AB39">
        <f t="shared" si="6"/>
        <v>0.67391000000000001</v>
      </c>
      <c r="AC39" s="33">
        <f t="shared" si="7"/>
        <v>342.64547000000005</v>
      </c>
      <c r="AD39" s="13">
        <f t="shared" si="8"/>
        <v>1.7238190850000001</v>
      </c>
      <c r="AE39" s="13">
        <f t="shared" si="9"/>
        <v>299.33577897500004</v>
      </c>
    </row>
    <row r="40" spans="1:33" x14ac:dyDescent="0.3">
      <c r="A40" s="6">
        <v>42929</v>
      </c>
      <c r="B40" s="32"/>
      <c r="C40" s="2">
        <v>23.4</v>
      </c>
      <c r="D40" s="2">
        <v>30.28</v>
      </c>
      <c r="E40" s="7" t="s">
        <v>89</v>
      </c>
      <c r="F40" t="s">
        <v>90</v>
      </c>
      <c r="G40" s="1">
        <v>800</v>
      </c>
      <c r="H40" s="1">
        <v>2.98</v>
      </c>
      <c r="I40" s="14">
        <v>11595</v>
      </c>
      <c r="J40" s="14"/>
      <c r="K40" s="1">
        <v>3.05</v>
      </c>
      <c r="L40" s="1">
        <v>1</v>
      </c>
      <c r="N40" s="2">
        <f t="shared" si="10"/>
        <v>23.4</v>
      </c>
      <c r="O40" s="8">
        <f t="shared" si="0"/>
        <v>0.94460769199999983</v>
      </c>
      <c r="P40" s="9">
        <f t="shared" si="1"/>
        <v>3.1057389662204119E-5</v>
      </c>
      <c r="Q40" s="3"/>
      <c r="R40" s="1"/>
      <c r="S40" s="1"/>
      <c r="V40" s="1"/>
      <c r="W40" s="1"/>
      <c r="X40">
        <f t="shared" si="2"/>
        <v>2.9600000000000009E-4</v>
      </c>
      <c r="Y40" s="16">
        <f t="shared" si="3"/>
        <v>0.10364999999999999</v>
      </c>
      <c r="Z40" s="10">
        <f t="shared" si="4"/>
        <v>0.37000000000000016</v>
      </c>
      <c r="AA40" s="10">
        <f t="shared" si="5"/>
        <v>129.56249999999997</v>
      </c>
      <c r="AB40">
        <f t="shared" si="6"/>
        <v>0.51211000000000007</v>
      </c>
      <c r="AC40" s="33">
        <f t="shared" si="7"/>
        <v>222.25714999999997</v>
      </c>
      <c r="AD40" s="13">
        <f t="shared" si="8"/>
        <v>1.590364485</v>
      </c>
      <c r="AE40" s="13">
        <f t="shared" si="9"/>
        <v>249.642149375</v>
      </c>
    </row>
    <row r="41" spans="1:33" x14ac:dyDescent="0.3">
      <c r="A41" s="6">
        <v>42929</v>
      </c>
      <c r="B41" s="32"/>
      <c r="C41" s="2">
        <v>23.4</v>
      </c>
      <c r="D41" s="2">
        <v>30.28</v>
      </c>
      <c r="E41" s="7" t="s">
        <v>89</v>
      </c>
      <c r="F41" t="s">
        <v>90</v>
      </c>
      <c r="G41" s="1">
        <v>800</v>
      </c>
      <c r="H41" s="1">
        <v>3.4359999999999999</v>
      </c>
      <c r="I41" s="14">
        <v>11518</v>
      </c>
      <c r="J41" s="14"/>
      <c r="K41" s="1">
        <v>4.08</v>
      </c>
      <c r="L41" s="1">
        <v>1</v>
      </c>
      <c r="N41" s="2">
        <f t="shared" si="10"/>
        <v>23.4</v>
      </c>
      <c r="O41" s="8">
        <f t="shared" si="0"/>
        <v>0.94460769199999983</v>
      </c>
      <c r="P41" s="9">
        <f t="shared" si="1"/>
        <v>3.1057389662204119E-5</v>
      </c>
      <c r="Q41" s="3"/>
      <c r="R41" s="1"/>
      <c r="S41" s="1"/>
      <c r="V41" s="1"/>
      <c r="W41" s="1"/>
      <c r="X41">
        <f t="shared" si="2"/>
        <v>3.8720000000000003E-4</v>
      </c>
      <c r="Y41" s="16">
        <f t="shared" si="3"/>
        <v>0.14382</v>
      </c>
      <c r="Z41" s="10">
        <f t="shared" si="4"/>
        <v>0.48400000000000004</v>
      </c>
      <c r="AA41" s="10">
        <f t="shared" si="5"/>
        <v>179.77500000000001</v>
      </c>
      <c r="AB41">
        <f t="shared" si="6"/>
        <v>0.69656200000000013</v>
      </c>
      <c r="AC41" s="33">
        <f t="shared" si="7"/>
        <v>308.36824000000001</v>
      </c>
      <c r="AD41" s="13">
        <f t="shared" si="8"/>
        <v>1.7425017714000002</v>
      </c>
      <c r="AE41" s="13">
        <f t="shared" si="9"/>
        <v>285.15955439999999</v>
      </c>
    </row>
    <row r="42" spans="1:33" x14ac:dyDescent="0.3">
      <c r="A42" s="6">
        <v>42929</v>
      </c>
      <c r="B42" s="32"/>
      <c r="C42" s="2">
        <v>23.4</v>
      </c>
      <c r="D42" s="2">
        <v>30.28</v>
      </c>
      <c r="E42" s="7" t="s">
        <v>89</v>
      </c>
      <c r="F42" t="s">
        <v>90</v>
      </c>
      <c r="G42" s="1">
        <v>800</v>
      </c>
      <c r="H42" s="1">
        <v>3.62</v>
      </c>
      <c r="I42" s="14">
        <v>11571</v>
      </c>
      <c r="J42" s="14"/>
      <c r="K42" s="1">
        <v>3.78</v>
      </c>
      <c r="L42" s="1">
        <v>1</v>
      </c>
      <c r="N42" s="2">
        <f t="shared" si="10"/>
        <v>23.4</v>
      </c>
      <c r="O42" s="8">
        <f t="shared" si="0"/>
        <v>0.94460769199999983</v>
      </c>
      <c r="P42" s="9">
        <f t="shared" si="1"/>
        <v>3.1057389662204119E-5</v>
      </c>
      <c r="Q42" s="3"/>
      <c r="R42" s="1"/>
      <c r="S42" s="1"/>
      <c r="V42" s="1"/>
      <c r="W42" s="1"/>
      <c r="X42">
        <f t="shared" si="2"/>
        <v>4.2400000000000006E-4</v>
      </c>
      <c r="Y42" s="16">
        <f t="shared" si="3"/>
        <v>0.13211999999999999</v>
      </c>
      <c r="Z42" s="10">
        <f t="shared" si="4"/>
        <v>0.53</v>
      </c>
      <c r="AA42" s="10">
        <f t="shared" si="5"/>
        <v>165.15</v>
      </c>
      <c r="AB42">
        <f t="shared" si="6"/>
        <v>0.77099000000000006</v>
      </c>
      <c r="AC42" s="33">
        <f t="shared" si="7"/>
        <v>283.28733999999997</v>
      </c>
      <c r="AD42" s="13">
        <f t="shared" si="8"/>
        <v>1.8038860849999998</v>
      </c>
      <c r="AE42" s="13">
        <f t="shared" si="9"/>
        <v>274.80049889999998</v>
      </c>
    </row>
    <row r="43" spans="1:33" x14ac:dyDescent="0.3">
      <c r="A43" s="6">
        <v>42929</v>
      </c>
      <c r="B43" s="32"/>
      <c r="C43" s="2">
        <v>23.4</v>
      </c>
      <c r="D43" s="2">
        <v>30.28</v>
      </c>
      <c r="E43" s="7" t="s">
        <v>89</v>
      </c>
      <c r="F43" t="s">
        <v>90</v>
      </c>
      <c r="G43" s="1">
        <v>800</v>
      </c>
      <c r="H43" s="1">
        <v>3.3</v>
      </c>
      <c r="I43" s="14">
        <v>11454</v>
      </c>
      <c r="J43" s="14"/>
      <c r="K43" s="1">
        <v>3.6</v>
      </c>
      <c r="L43" s="1">
        <v>1</v>
      </c>
      <c r="N43" s="2">
        <f t="shared" si="10"/>
        <v>23.4</v>
      </c>
      <c r="O43" s="8">
        <f t="shared" si="0"/>
        <v>0.94460769199999983</v>
      </c>
      <c r="P43" s="9">
        <f t="shared" si="1"/>
        <v>3.1057389662204119E-5</v>
      </c>
      <c r="Q43" s="3"/>
      <c r="R43" s="1"/>
      <c r="S43" s="1"/>
      <c r="V43" s="1"/>
      <c r="W43" s="1"/>
      <c r="X43">
        <f t="shared" si="2"/>
        <v>3.6000000000000002E-4</v>
      </c>
      <c r="Y43" s="16">
        <f t="shared" si="3"/>
        <v>0.12509999999999999</v>
      </c>
      <c r="Z43" s="10">
        <f t="shared" si="4"/>
        <v>0.45</v>
      </c>
      <c r="AA43" s="10">
        <f t="shared" si="5"/>
        <v>156.37499999999997</v>
      </c>
      <c r="AB43">
        <f t="shared" si="6"/>
        <v>0.64155000000000006</v>
      </c>
      <c r="AC43" s="33">
        <f t="shared" si="7"/>
        <v>268.23879999999997</v>
      </c>
      <c r="AD43" s="13">
        <f t="shared" si="8"/>
        <v>1.6971291249999998</v>
      </c>
      <c r="AE43" s="13">
        <f t="shared" si="9"/>
        <v>268.59065999999996</v>
      </c>
    </row>
    <row r="44" spans="1:33" x14ac:dyDescent="0.3">
      <c r="A44" s="6">
        <v>42944</v>
      </c>
      <c r="B44" s="32"/>
      <c r="C44" s="2">
        <v>22.3</v>
      </c>
      <c r="D44" s="2">
        <v>29.97</v>
      </c>
      <c r="E44" s="7" t="s">
        <v>89</v>
      </c>
      <c r="F44" t="s">
        <v>90</v>
      </c>
      <c r="G44" s="1">
        <v>800</v>
      </c>
      <c r="H44" s="1">
        <v>3.35</v>
      </c>
      <c r="I44" s="14">
        <v>12568</v>
      </c>
      <c r="J44" s="14"/>
      <c r="K44" s="1">
        <v>3.58</v>
      </c>
      <c r="L44" s="1">
        <v>1</v>
      </c>
      <c r="N44" s="2">
        <f t="shared" si="10"/>
        <v>22.3</v>
      </c>
      <c r="O44" s="8">
        <f t="shared" si="0"/>
        <v>0.93424550799999984</v>
      </c>
      <c r="P44" s="9">
        <f t="shared" si="1"/>
        <v>3.0831057815833457E-5</v>
      </c>
      <c r="Q44" s="3"/>
      <c r="R44" s="1"/>
      <c r="S44" s="1"/>
      <c r="V44" s="1"/>
      <c r="W44" s="1"/>
      <c r="X44">
        <f t="shared" si="2"/>
        <v>3.7000000000000005E-4</v>
      </c>
      <c r="Y44" s="16">
        <f t="shared" si="3"/>
        <v>0.12432</v>
      </c>
      <c r="Z44" s="10">
        <f t="shared" si="4"/>
        <v>0.46250000000000008</v>
      </c>
      <c r="AA44" s="10">
        <f t="shared" si="5"/>
        <v>155.4</v>
      </c>
      <c r="AB44">
        <f t="shared" si="6"/>
        <v>0.661775</v>
      </c>
      <c r="AC44" s="33">
        <f t="shared" si="7"/>
        <v>266.56673999999998</v>
      </c>
      <c r="AD44" s="13">
        <f t="shared" si="8"/>
        <v>1.7138104062500001</v>
      </c>
      <c r="AE44" s="13">
        <f t="shared" si="9"/>
        <v>267.90093689999998</v>
      </c>
    </row>
    <row r="45" spans="1:33" x14ac:dyDescent="0.3">
      <c r="A45" s="6">
        <v>42944</v>
      </c>
      <c r="B45" s="32"/>
      <c r="C45" s="2">
        <v>22.3</v>
      </c>
      <c r="D45" s="2">
        <v>29.97</v>
      </c>
      <c r="E45" s="7" t="s">
        <v>89</v>
      </c>
      <c r="F45" t="s">
        <v>90</v>
      </c>
      <c r="G45" s="1">
        <v>800</v>
      </c>
      <c r="H45" s="1">
        <v>3.32</v>
      </c>
      <c r="I45" s="14">
        <v>12583</v>
      </c>
      <c r="J45" s="14"/>
      <c r="K45" s="1">
        <v>4.4800000000000004</v>
      </c>
      <c r="L45" s="1">
        <v>1</v>
      </c>
      <c r="N45" s="2">
        <f t="shared" si="10"/>
        <v>22.3</v>
      </c>
      <c r="O45" s="8">
        <f t="shared" si="0"/>
        <v>0.93424550799999984</v>
      </c>
      <c r="P45" s="9">
        <f t="shared" si="1"/>
        <v>3.0831057815833457E-5</v>
      </c>
      <c r="Q45" s="3"/>
      <c r="R45" s="1"/>
      <c r="S45" s="1"/>
      <c r="V45" s="1"/>
      <c r="W45" s="1"/>
      <c r="X45">
        <f t="shared" si="2"/>
        <v>3.6400000000000001E-4</v>
      </c>
      <c r="Y45" s="16">
        <f t="shared" si="3"/>
        <v>0.15942000000000001</v>
      </c>
      <c r="Z45" s="10">
        <f t="shared" si="4"/>
        <v>0.45500000000000002</v>
      </c>
      <c r="AA45" s="10">
        <f t="shared" si="5"/>
        <v>199.27500000000001</v>
      </c>
      <c r="AB45">
        <f t="shared" si="6"/>
        <v>0.64964</v>
      </c>
      <c r="AC45" s="33">
        <f t="shared" si="7"/>
        <v>341.80944</v>
      </c>
      <c r="AD45" s="13">
        <f t="shared" si="8"/>
        <v>1.7038016599999999</v>
      </c>
      <c r="AE45" s="13">
        <f t="shared" si="9"/>
        <v>298.98975839999997</v>
      </c>
    </row>
    <row r="46" spans="1:33" x14ac:dyDescent="0.3">
      <c r="A46" s="6">
        <v>42944</v>
      </c>
      <c r="B46" s="32"/>
      <c r="C46" s="2">
        <v>22.3</v>
      </c>
      <c r="D46" s="2">
        <v>29.97</v>
      </c>
      <c r="E46" s="7" t="s">
        <v>89</v>
      </c>
      <c r="F46" t="s">
        <v>90</v>
      </c>
      <c r="G46" s="1">
        <v>800</v>
      </c>
      <c r="H46" s="1">
        <v>3.66</v>
      </c>
      <c r="I46" s="14">
        <v>12497</v>
      </c>
      <c r="J46" s="14"/>
      <c r="K46" s="1">
        <v>5.19</v>
      </c>
      <c r="L46" s="1">
        <v>1</v>
      </c>
      <c r="N46" s="2">
        <f t="shared" si="10"/>
        <v>22.3</v>
      </c>
      <c r="O46" s="8">
        <f t="shared" si="0"/>
        <v>0.93424550799999984</v>
      </c>
      <c r="P46" s="9">
        <f t="shared" si="1"/>
        <v>3.0831057815833457E-5</v>
      </c>
      <c r="Q46" s="3"/>
      <c r="R46" s="1"/>
      <c r="S46" s="1"/>
      <c r="V46" s="1"/>
      <c r="W46" s="1"/>
      <c r="X46">
        <f t="shared" si="2"/>
        <v>4.3200000000000004E-4</v>
      </c>
      <c r="Y46" s="16">
        <f t="shared" si="3"/>
        <v>0.18711</v>
      </c>
      <c r="Z46" s="10">
        <f t="shared" si="4"/>
        <v>0.54</v>
      </c>
      <c r="AA46" s="10">
        <f t="shared" si="5"/>
        <v>233.88749999999999</v>
      </c>
      <c r="AB46">
        <f t="shared" si="6"/>
        <v>0.78717000000000015</v>
      </c>
      <c r="AC46" s="33">
        <f t="shared" si="7"/>
        <v>401.16756999999996</v>
      </c>
      <c r="AD46" s="13">
        <f t="shared" si="8"/>
        <v>1.817230165</v>
      </c>
      <c r="AE46" s="13">
        <f t="shared" si="9"/>
        <v>323.58939997499999</v>
      </c>
    </row>
    <row r="49" spans="26:31" x14ac:dyDescent="0.3">
      <c r="Z49" s="34"/>
      <c r="AA49" s="35" t="s">
        <v>40</v>
      </c>
      <c r="AB49" s="36"/>
      <c r="AC49" s="37"/>
      <c r="AD49" s="37">
        <f t="shared" ref="AD49:AE49" si="11">AVERAGE(AD37:AD48)</f>
        <v>1.7507063445150002</v>
      </c>
      <c r="AE49" s="37">
        <f t="shared" si="11"/>
        <v>281.21085388749998</v>
      </c>
    </row>
    <row r="50" spans="26:31" x14ac:dyDescent="0.3">
      <c r="Z50" s="34"/>
      <c r="AA50" s="35" t="s">
        <v>91</v>
      </c>
      <c r="AB50" s="36"/>
      <c r="AC50" s="38"/>
      <c r="AD50" s="38">
        <f t="shared" ref="AD50:AE50" si="12">STDEV(AD37:AD48)</f>
        <v>8.8773926929659824E-2</v>
      </c>
      <c r="AE50" s="38">
        <f t="shared" si="12"/>
        <v>22.010510775673001</v>
      </c>
    </row>
    <row r="51" spans="26:31" x14ac:dyDescent="0.3">
      <c r="Z51" s="34"/>
      <c r="AA51" s="35" t="s">
        <v>92</v>
      </c>
      <c r="AB51" s="36"/>
      <c r="AC51" s="38"/>
      <c r="AD51" s="38">
        <f>100*AD50/AD49</f>
        <v>5.0707491412132253</v>
      </c>
      <c r="AE51" s="38">
        <f>100*AE50/AE49</f>
        <v>7.8270488039122537</v>
      </c>
    </row>
    <row r="52" spans="26:31" x14ac:dyDescent="0.3">
      <c r="Z52" s="34" t="s">
        <v>93</v>
      </c>
      <c r="AA52" s="35" t="s">
        <v>94</v>
      </c>
      <c r="AB52" s="36"/>
      <c r="AC52" s="38"/>
      <c r="AD52" s="38">
        <f t="shared" ref="AD52:AE52" si="13">AD49-(2*AD50)</f>
        <v>1.5731584906556806</v>
      </c>
      <c r="AE52" s="38">
        <f t="shared" si="13"/>
        <v>237.18983233615398</v>
      </c>
    </row>
    <row r="53" spans="26:31" x14ac:dyDescent="0.3">
      <c r="Z53" s="36"/>
      <c r="AA53" s="35" t="s">
        <v>95</v>
      </c>
      <c r="AB53" s="36"/>
      <c r="AC53" s="38"/>
      <c r="AD53" s="38">
        <f t="shared" ref="AD53:AE53" si="14">AD49+(2*AD50)</f>
        <v>1.9282541983743198</v>
      </c>
      <c r="AE53" s="38">
        <f t="shared" si="14"/>
        <v>325.23187543884598</v>
      </c>
    </row>
    <row r="54" spans="26:31" x14ac:dyDescent="0.3">
      <c r="Z54" s="34" t="s">
        <v>96</v>
      </c>
      <c r="AA54" s="35" t="s">
        <v>97</v>
      </c>
      <c r="AB54" s="36"/>
      <c r="AC54" s="38"/>
      <c r="AD54" s="38">
        <f t="shared" ref="AD54:AE54" si="15">AD49-(3*AD50)</f>
        <v>1.4843845637260207</v>
      </c>
      <c r="AE54" s="38">
        <f t="shared" si="15"/>
        <v>215.17932156048096</v>
      </c>
    </row>
    <row r="55" spans="26:31" x14ac:dyDescent="0.3">
      <c r="Z55" s="39"/>
      <c r="AA55" s="35" t="s">
        <v>98</v>
      </c>
      <c r="AB55" s="40"/>
      <c r="AC55" s="38"/>
      <c r="AD55" s="38">
        <f t="shared" ref="AD55:AE55" si="16">AD49+(3*AD50)</f>
        <v>2.0170281253039795</v>
      </c>
      <c r="AE55" s="38">
        <f t="shared" si="16"/>
        <v>347.242386214519</v>
      </c>
    </row>
    <row r="56" spans="26:31" x14ac:dyDescent="0.3">
      <c r="Z56" t="s">
        <v>99</v>
      </c>
      <c r="AD56">
        <f>COUNT(AD37:AD48)</f>
        <v>10</v>
      </c>
      <c r="AE56">
        <f>COUNT(AE37:AE48)</f>
        <v>10</v>
      </c>
    </row>
    <row r="57" spans="26:31" x14ac:dyDescent="0.3">
      <c r="Z57" t="s">
        <v>43</v>
      </c>
      <c r="AD57">
        <f>TINV(0.02,(AD56-1))</f>
        <v>2.8214379250258084</v>
      </c>
      <c r="AE57">
        <f>TINV(0.02,(AE56-1))</f>
        <v>2.8214379250258084</v>
      </c>
    </row>
    <row r="58" spans="26:31" x14ac:dyDescent="0.3">
      <c r="Z58" t="s">
        <v>44</v>
      </c>
      <c r="AD58">
        <f>AD50*AD57</f>
        <v>0.25047012419281217</v>
      </c>
      <c r="AE58">
        <f>AE50*AE57</f>
        <v>62.10128985167303</v>
      </c>
    </row>
    <row r="59" spans="26:31" x14ac:dyDescent="0.3">
      <c r="Z59" t="s">
        <v>45</v>
      </c>
      <c r="AD59">
        <f>AD50*10</f>
        <v>0.88773926929659819</v>
      </c>
      <c r="AE59">
        <f>AE50*10</f>
        <v>220.10510775673001</v>
      </c>
    </row>
  </sheetData>
  <conditionalFormatting sqref="G36:G46">
    <cfRule type="cellIs" dxfId="11" priority="1" operator="lessThan">
      <formula>26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55"/>
  <sheetViews>
    <sheetView zoomScale="80" zoomScaleNormal="80" zoomScalePageLayoutView="80" workbookViewId="0">
      <selection activeCell="E51" sqref="E51"/>
    </sheetView>
  </sheetViews>
  <sheetFormatPr defaultColWidth="8.77734375" defaultRowHeight="14.4" x14ac:dyDescent="0.3"/>
  <cols>
    <col min="1" max="1" width="15" customWidth="1"/>
    <col min="2" max="2" width="9.77734375" customWidth="1"/>
    <col min="3" max="4" width="9.77734375" style="13" customWidth="1"/>
    <col min="5" max="5" width="23.77734375" style="7" customWidth="1"/>
    <col min="6" max="6" width="14.44140625" customWidth="1"/>
    <col min="7" max="7" width="10.77734375" customWidth="1"/>
    <col min="8" max="8" width="13" bestFit="1" customWidth="1"/>
    <col min="9" max="9" width="12.44140625" customWidth="1"/>
    <col min="13" max="13" width="8.77734375" style="7"/>
    <col min="16" max="16" width="12" style="9" bestFit="1" customWidth="1"/>
    <col min="17" max="17" width="12.77734375" style="9" customWidth="1"/>
    <col min="18" max="19" width="12" bestFit="1" customWidth="1"/>
    <col min="20" max="21" width="12" customWidth="1"/>
    <col min="22" max="22" width="12" bestFit="1" customWidth="1"/>
    <col min="24" max="24" width="12" style="17" bestFit="1" customWidth="1"/>
    <col min="25" max="25" width="8.77734375" style="17"/>
    <col min="26" max="26" width="10.5546875" customWidth="1"/>
    <col min="28" max="28" width="13" customWidth="1"/>
    <col min="29" max="29" width="12" bestFit="1" customWidth="1"/>
    <col min="30" max="31" width="12" customWidth="1"/>
    <col min="32" max="32" width="12.21875" bestFit="1" customWidth="1"/>
    <col min="33" max="33" width="12.21875" style="7" bestFit="1" customWidth="1"/>
    <col min="34" max="35" width="12.21875" bestFit="1" customWidth="1"/>
    <col min="40" max="40" width="10.21875" customWidth="1"/>
  </cols>
  <sheetData>
    <row r="1" spans="1:58" s="1" customFormat="1" ht="144" x14ac:dyDescent="0.3">
      <c r="A1" s="1" t="s">
        <v>0</v>
      </c>
      <c r="B1" s="1" t="s">
        <v>5</v>
      </c>
      <c r="C1" s="2" t="s">
        <v>1</v>
      </c>
      <c r="D1" s="2" t="s">
        <v>63</v>
      </c>
      <c r="E1" s="1" t="s">
        <v>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3</v>
      </c>
      <c r="O1" s="1" t="s">
        <v>241</v>
      </c>
      <c r="P1" s="3" t="s">
        <v>4</v>
      </c>
      <c r="Q1" s="3"/>
      <c r="R1" s="1" t="s">
        <v>278</v>
      </c>
      <c r="S1" s="1" t="s">
        <v>279</v>
      </c>
      <c r="T1" s="1" t="s">
        <v>280</v>
      </c>
      <c r="U1" s="1" t="s">
        <v>281</v>
      </c>
      <c r="X1" s="4" t="s">
        <v>80</v>
      </c>
      <c r="Y1" s="4" t="s">
        <v>81</v>
      </c>
      <c r="Z1" s="5" t="s">
        <v>82</v>
      </c>
      <c r="AA1" s="5" t="s">
        <v>83</v>
      </c>
      <c r="AB1" s="1" t="s">
        <v>282</v>
      </c>
      <c r="AC1" s="1" t="s">
        <v>283</v>
      </c>
      <c r="AE1" s="2"/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284</v>
      </c>
      <c r="AO1" s="1" t="s">
        <v>285</v>
      </c>
      <c r="AP1" s="1" t="s">
        <v>286</v>
      </c>
      <c r="AQ1" s="3" t="s">
        <v>287</v>
      </c>
      <c r="AR1" s="1" t="s">
        <v>288</v>
      </c>
      <c r="AU1" s="1" t="s">
        <v>289</v>
      </c>
      <c r="AV1" s="1" t="s">
        <v>290</v>
      </c>
      <c r="AW1" s="1" t="s">
        <v>291</v>
      </c>
      <c r="AX1" s="1" t="s">
        <v>290</v>
      </c>
    </row>
    <row r="2" spans="1:58" s="1" customFormat="1" x14ac:dyDescent="0.3">
      <c r="A2" s="6">
        <v>43327</v>
      </c>
      <c r="B2" s="1">
        <v>1</v>
      </c>
      <c r="C2" s="2">
        <v>22.4</v>
      </c>
      <c r="D2" s="2">
        <v>29.86</v>
      </c>
      <c r="E2" s="7" t="s">
        <v>292</v>
      </c>
      <c r="F2"/>
      <c r="G2" s="7">
        <v>800</v>
      </c>
      <c r="H2">
        <v>3.17</v>
      </c>
      <c r="I2"/>
      <c r="J2"/>
      <c r="K2">
        <v>3.71</v>
      </c>
      <c r="L2" s="1">
        <v>1</v>
      </c>
      <c r="M2" s="7"/>
      <c r="N2" s="2">
        <f t="shared" ref="N2:N8" si="0">C2</f>
        <v>22.4</v>
      </c>
      <c r="O2" s="8">
        <f t="shared" ref="O2:O8" si="1">0.001316*((D2*25.4)-(2.5*2053/100))</f>
        <v>0.93056860399999985</v>
      </c>
      <c r="P2" s="9">
        <f t="shared" ref="P2:P8" si="2">(O2*(G2/1000000))/(0.08205*(N2+273.15))</f>
        <v>3.0699325520304172E-5</v>
      </c>
      <c r="Q2" s="9"/>
      <c r="R2">
        <f t="shared" ref="R2:R8" si="3">(P2*(AQ2/1000000)/AO2)+(P2*(1.85/1000000))</f>
        <v>5.6793752212562721E-11</v>
      </c>
      <c r="S2">
        <f t="shared" ref="S2:S8" si="4">(P2*(AR2/1000000)/AO2)+(P2*(400/1000000))</f>
        <v>1.2279730208121669E-8</v>
      </c>
      <c r="T2">
        <f>(R2*12*1000000)</f>
        <v>6.8152502655075258E-4</v>
      </c>
      <c r="U2">
        <f t="shared" ref="U2:U8" si="5">S2*12*1000000</f>
        <v>0.14735676249746005</v>
      </c>
      <c r="V2"/>
      <c r="W2"/>
      <c r="X2">
        <f>IF(H2&lt;50,((-0.0000004*H2^2)+(0.0003*H2)-0.0005),(IF(H2&lt;10000,((0.0002*H2)+0.0162),((-0.000000003*H2^2)+(0.0004*H2)-0.9856))))</f>
        <v>4.469804399999999E-4</v>
      </c>
      <c r="Y2" s="75">
        <f t="shared" ref="Y2:Y8" si="6">IF(K2&lt;1,"BD",(IF(K2&lt;15,((0.000009*K2^2)+(0.0367*K2)-0.0052),((0.0282*K2)+1.0126))))</f>
        <v>0.13108087689999998</v>
      </c>
      <c r="Z2" s="25">
        <f t="shared" ref="Z2:Z8" si="7">X2*1000000/G2</f>
        <v>0.55872554999999979</v>
      </c>
      <c r="AA2" s="10">
        <f t="shared" ref="AA2:AA8" si="8">Y2*1000000/G2</f>
        <v>163.85109612499997</v>
      </c>
      <c r="AB2" s="11">
        <f t="shared" ref="AB2:AB8" si="9">(X2/12)/P2</f>
        <v>1.2133286112544837</v>
      </c>
      <c r="AC2" s="12">
        <f t="shared" ref="AC2:AC8" si="10">(Y2/12)/P2</f>
        <v>355.81910101278021</v>
      </c>
      <c r="AD2" s="13"/>
      <c r="AE2" s="13"/>
      <c r="AF2" s="1">
        <f t="shared" ref="AF2:AF8" si="11">100*(X2-T2)/T2</f>
        <v>-34.414669661919795</v>
      </c>
      <c r="AG2" s="1">
        <f t="shared" ref="AG2:AG8" si="12">100*(Y2-U2)/U2</f>
        <v>-11.045224746804962</v>
      </c>
      <c r="AN2" s="1">
        <v>20890</v>
      </c>
      <c r="AO2" s="1">
        <v>1</v>
      </c>
      <c r="AP2" s="1">
        <v>0</v>
      </c>
      <c r="AQ2" s="14">
        <v>0</v>
      </c>
      <c r="AR2" s="14">
        <v>0</v>
      </c>
      <c r="AS2"/>
      <c r="AT2"/>
      <c r="AU2" s="12">
        <f t="shared" ref="AU2:AU8" si="13">AQ2/AO2</f>
        <v>0</v>
      </c>
      <c r="AV2" s="12">
        <f t="shared" ref="AV2:AV8" si="14">AB2</f>
        <v>1.2133286112544837</v>
      </c>
      <c r="AW2">
        <f>AR2/AO2</f>
        <v>0</v>
      </c>
      <c r="AX2" s="14">
        <f>AC2</f>
        <v>355.81910101278021</v>
      </c>
      <c r="AZ2" s="7" t="s">
        <v>292</v>
      </c>
      <c r="BF2"/>
    </row>
    <row r="3" spans="1:58" s="1" customFormat="1" x14ac:dyDescent="0.3">
      <c r="A3" s="6">
        <v>43327</v>
      </c>
      <c r="B3" s="1">
        <v>1</v>
      </c>
      <c r="C3" s="2">
        <v>22.4</v>
      </c>
      <c r="D3" s="2">
        <v>29.86</v>
      </c>
      <c r="E3" s="7" t="s">
        <v>292</v>
      </c>
      <c r="F3"/>
      <c r="G3" s="7">
        <v>800</v>
      </c>
      <c r="H3">
        <v>3.3</v>
      </c>
      <c r="I3"/>
      <c r="J3"/>
      <c r="K3">
        <v>5.29</v>
      </c>
      <c r="L3" s="1">
        <v>1</v>
      </c>
      <c r="M3" s="7"/>
      <c r="N3" s="2">
        <f t="shared" si="0"/>
        <v>22.4</v>
      </c>
      <c r="O3" s="8">
        <f t="shared" si="1"/>
        <v>0.93056860399999985</v>
      </c>
      <c r="P3" s="9">
        <f t="shared" si="2"/>
        <v>3.0699325520304172E-5</v>
      </c>
      <c r="Q3" s="9"/>
      <c r="R3">
        <f t="shared" si="3"/>
        <v>5.6793752212562721E-11</v>
      </c>
      <c r="S3">
        <f t="shared" si="4"/>
        <v>1.2279730208121669E-8</v>
      </c>
      <c r="T3">
        <f t="shared" ref="T3:T8" si="15">R3*12*1000000</f>
        <v>6.8152502655075258E-4</v>
      </c>
      <c r="U3">
        <f t="shared" si="5"/>
        <v>0.14735676249746005</v>
      </c>
      <c r="V3"/>
      <c r="W3"/>
      <c r="X3">
        <f t="shared" ref="X3:X8" si="16">IF(H3&lt;50,((-0.0000004*H3^2)+(0.0003*H3)-0.0005),(IF(H3&lt;10000,((0.0002*H3)+0.0162),((-0.000000003*H3^2)+(0.0004*H3)-0.9856))))</f>
        <v>4.856439999999997E-4</v>
      </c>
      <c r="Y3" s="75">
        <f t="shared" si="6"/>
        <v>0.18919485690000001</v>
      </c>
      <c r="Z3" s="25">
        <f t="shared" si="7"/>
        <v>0.60705499999999968</v>
      </c>
      <c r="AA3" s="10">
        <f t="shared" si="8"/>
        <v>236.49357112500002</v>
      </c>
      <c r="AB3" s="11">
        <f t="shared" si="9"/>
        <v>1.3182808627690112</v>
      </c>
      <c r="AC3" s="12">
        <f t="shared" si="10"/>
        <v>513.56952661948219</v>
      </c>
      <c r="AD3" s="13"/>
      <c r="AE3" s="13"/>
      <c r="AF3" s="1">
        <f t="shared" si="11"/>
        <v>-28.74157498545885</v>
      </c>
      <c r="AG3" s="1">
        <f t="shared" si="12"/>
        <v>28.392381654870519</v>
      </c>
      <c r="AN3" s="1">
        <v>20890</v>
      </c>
      <c r="AO3" s="1">
        <v>1</v>
      </c>
      <c r="AP3" s="1">
        <v>0</v>
      </c>
      <c r="AQ3" s="14">
        <v>0</v>
      </c>
      <c r="AR3" s="14">
        <v>0</v>
      </c>
      <c r="AS3"/>
      <c r="AT3"/>
      <c r="AU3" s="12">
        <f t="shared" si="13"/>
        <v>0</v>
      </c>
      <c r="AV3" s="12">
        <f t="shared" si="14"/>
        <v>1.3182808627690112</v>
      </c>
      <c r="AW3">
        <f t="shared" ref="AW3:AW8" si="17">AR3/AO3</f>
        <v>0</v>
      </c>
      <c r="AX3" s="14">
        <f t="shared" ref="AX3:AX8" si="18">AC3</f>
        <v>513.56952661948219</v>
      </c>
      <c r="AZ3" s="7" t="s">
        <v>292</v>
      </c>
      <c r="BF3"/>
    </row>
    <row r="4" spans="1:58" s="1" customFormat="1" x14ac:dyDescent="0.3">
      <c r="A4" s="6">
        <v>43327</v>
      </c>
      <c r="B4" s="1">
        <v>1</v>
      </c>
      <c r="C4" s="2">
        <v>22.4</v>
      </c>
      <c r="D4" s="2">
        <v>29.86</v>
      </c>
      <c r="E4" s="7" t="s">
        <v>292</v>
      </c>
      <c r="F4"/>
      <c r="G4" s="7">
        <v>800</v>
      </c>
      <c r="H4" s="1">
        <v>3.31</v>
      </c>
      <c r="I4" s="14"/>
      <c r="J4" s="14"/>
      <c r="K4" s="1">
        <v>3.19</v>
      </c>
      <c r="L4" s="1">
        <v>1</v>
      </c>
      <c r="M4" s="7"/>
      <c r="N4" s="2">
        <f t="shared" si="0"/>
        <v>22.4</v>
      </c>
      <c r="O4" s="8">
        <f t="shared" si="1"/>
        <v>0.93056860399999985</v>
      </c>
      <c r="P4" s="9">
        <f t="shared" si="2"/>
        <v>3.0699325520304172E-5</v>
      </c>
      <c r="Q4" s="9"/>
      <c r="R4">
        <f t="shared" si="3"/>
        <v>5.6793752212562721E-11</v>
      </c>
      <c r="S4">
        <f t="shared" si="4"/>
        <v>1.2279730208121669E-8</v>
      </c>
      <c r="T4">
        <f t="shared" si="15"/>
        <v>6.8152502655075258E-4</v>
      </c>
      <c r="U4">
        <f t="shared" si="5"/>
        <v>0.14735676249746005</v>
      </c>
      <c r="V4"/>
      <c r="W4"/>
      <c r="X4">
        <f t="shared" si="16"/>
        <v>4.8861755999999993E-4</v>
      </c>
      <c r="Y4" s="75">
        <f t="shared" si="6"/>
        <v>0.11196458490000001</v>
      </c>
      <c r="Z4" s="25">
        <f t="shared" si="7"/>
        <v>0.61077194999999984</v>
      </c>
      <c r="AA4" s="10">
        <f t="shared" si="8"/>
        <v>139.95573112500003</v>
      </c>
      <c r="AB4" s="11">
        <f t="shared" si="9"/>
        <v>1.3263525927652549</v>
      </c>
      <c r="AC4" s="12">
        <f t="shared" si="10"/>
        <v>303.92791753124988</v>
      </c>
      <c r="AD4" s="13"/>
      <c r="AE4" s="13"/>
      <c r="AF4" s="1">
        <f t="shared" si="11"/>
        <v>-28.30526525593217</v>
      </c>
      <c r="AG4" s="1">
        <f t="shared" si="12"/>
        <v>-24.018020617187545</v>
      </c>
      <c r="AN4" s="1">
        <v>20890</v>
      </c>
      <c r="AO4" s="1">
        <v>1</v>
      </c>
      <c r="AP4" s="1">
        <v>0</v>
      </c>
      <c r="AQ4" s="14">
        <v>0</v>
      </c>
      <c r="AR4" s="14">
        <v>0</v>
      </c>
      <c r="AS4"/>
      <c r="AT4"/>
      <c r="AU4" s="12">
        <f t="shared" si="13"/>
        <v>0</v>
      </c>
      <c r="AV4" s="12">
        <f t="shared" si="14"/>
        <v>1.3263525927652549</v>
      </c>
      <c r="AW4">
        <f t="shared" si="17"/>
        <v>0</v>
      </c>
      <c r="AX4" s="14">
        <f t="shared" si="18"/>
        <v>303.92791753124988</v>
      </c>
      <c r="AZ4" s="7" t="s">
        <v>292</v>
      </c>
      <c r="BF4"/>
    </row>
    <row r="5" spans="1:58" s="1" customFormat="1" x14ac:dyDescent="0.3">
      <c r="A5" s="6">
        <v>43327</v>
      </c>
      <c r="B5" s="1">
        <v>1</v>
      </c>
      <c r="C5" s="2">
        <v>22.4</v>
      </c>
      <c r="D5" s="2">
        <v>29.86</v>
      </c>
      <c r="E5" s="7" t="s">
        <v>292</v>
      </c>
      <c r="F5"/>
      <c r="G5" s="7">
        <v>800</v>
      </c>
      <c r="H5" s="7">
        <v>4.59</v>
      </c>
      <c r="I5" s="15"/>
      <c r="J5" s="15"/>
      <c r="K5" s="7">
        <v>3.35</v>
      </c>
      <c r="L5" s="1">
        <v>1</v>
      </c>
      <c r="M5" s="7"/>
      <c r="N5" s="2">
        <f t="shared" si="0"/>
        <v>22.4</v>
      </c>
      <c r="O5" s="8">
        <f t="shared" si="1"/>
        <v>0.93056860399999985</v>
      </c>
      <c r="P5" s="9">
        <f t="shared" si="2"/>
        <v>3.0699325520304172E-5</v>
      </c>
      <c r="Q5" s="9"/>
      <c r="R5">
        <f t="shared" si="3"/>
        <v>5.6793752212562721E-11</v>
      </c>
      <c r="S5">
        <f t="shared" si="4"/>
        <v>1.2279730208121669E-8</v>
      </c>
      <c r="T5">
        <f t="shared" si="15"/>
        <v>6.8152502655075258E-4</v>
      </c>
      <c r="U5">
        <f t="shared" si="5"/>
        <v>0.14735676249746005</v>
      </c>
      <c r="V5"/>
      <c r="W5"/>
      <c r="X5">
        <f t="shared" si="16"/>
        <v>8.6857275999999975E-4</v>
      </c>
      <c r="Y5" s="75">
        <f t="shared" si="6"/>
        <v>0.11784600250000002</v>
      </c>
      <c r="Z5" s="25">
        <f t="shared" si="7"/>
        <v>1.0857159499999998</v>
      </c>
      <c r="AA5" s="10">
        <f t="shared" si="8"/>
        <v>147.30750312500001</v>
      </c>
      <c r="AB5" s="11">
        <f t="shared" si="9"/>
        <v>2.3577411590186674</v>
      </c>
      <c r="AC5" s="12">
        <f t="shared" si="10"/>
        <v>319.89302832852701</v>
      </c>
      <c r="AD5" s="13"/>
      <c r="AE5" s="13"/>
      <c r="AF5" s="1">
        <f t="shared" si="11"/>
        <v>27.445468055063106</v>
      </c>
      <c r="AG5" s="1">
        <f t="shared" si="12"/>
        <v>-20.026742917868258</v>
      </c>
      <c r="AN5" s="1">
        <v>20890</v>
      </c>
      <c r="AO5" s="1">
        <v>1</v>
      </c>
      <c r="AP5" s="1">
        <v>0</v>
      </c>
      <c r="AQ5" s="14">
        <v>0</v>
      </c>
      <c r="AR5" s="14">
        <v>0</v>
      </c>
      <c r="AS5"/>
      <c r="AT5"/>
      <c r="AU5" s="12">
        <f t="shared" si="13"/>
        <v>0</v>
      </c>
      <c r="AV5" s="12">
        <f t="shared" si="14"/>
        <v>2.3577411590186674</v>
      </c>
      <c r="AW5">
        <f t="shared" si="17"/>
        <v>0</v>
      </c>
      <c r="AX5" s="14">
        <f t="shared" si="18"/>
        <v>319.89302832852701</v>
      </c>
      <c r="AY5"/>
      <c r="AZ5" s="7" t="s">
        <v>292</v>
      </c>
      <c r="BA5"/>
      <c r="BB5"/>
      <c r="BC5"/>
      <c r="BD5"/>
      <c r="BE5"/>
      <c r="BF5"/>
    </row>
    <row r="6" spans="1:58" s="1" customFormat="1" x14ac:dyDescent="0.3">
      <c r="A6" s="6">
        <v>43327</v>
      </c>
      <c r="B6" s="1">
        <v>1</v>
      </c>
      <c r="C6" s="2">
        <v>22.4</v>
      </c>
      <c r="D6" s="2">
        <v>29.86</v>
      </c>
      <c r="E6" s="7" t="s">
        <v>292</v>
      </c>
      <c r="F6"/>
      <c r="G6" s="7">
        <v>800</v>
      </c>
      <c r="H6" s="1">
        <v>3.98</v>
      </c>
      <c r="I6" s="14"/>
      <c r="J6" s="14"/>
      <c r="K6" s="1">
        <v>4.68</v>
      </c>
      <c r="L6" s="1">
        <v>1</v>
      </c>
      <c r="M6" s="7"/>
      <c r="N6" s="2">
        <f t="shared" si="0"/>
        <v>22.4</v>
      </c>
      <c r="O6" s="8">
        <f t="shared" si="1"/>
        <v>0.93056860399999985</v>
      </c>
      <c r="P6" s="9">
        <f t="shared" si="2"/>
        <v>3.0699325520304172E-5</v>
      </c>
      <c r="Q6" s="9"/>
      <c r="R6">
        <f t="shared" si="3"/>
        <v>5.6793752212562721E-11</v>
      </c>
      <c r="S6">
        <f t="shared" si="4"/>
        <v>1.2279730208121669E-8</v>
      </c>
      <c r="T6">
        <f t="shared" si="15"/>
        <v>6.8152502655075258E-4</v>
      </c>
      <c r="U6">
        <f t="shared" si="5"/>
        <v>0.14735676249746005</v>
      </c>
      <c r="V6"/>
      <c r="W6"/>
      <c r="X6">
        <f t="shared" si="16"/>
        <v>6.8766383999999993E-4</v>
      </c>
      <c r="Y6" s="75">
        <f t="shared" si="6"/>
        <v>0.16675312159999997</v>
      </c>
      <c r="Z6" s="25">
        <f t="shared" si="7"/>
        <v>0.85957979999999989</v>
      </c>
      <c r="AA6" s="10">
        <f t="shared" si="8"/>
        <v>208.44140199999998</v>
      </c>
      <c r="AB6" s="11">
        <f t="shared" si="9"/>
        <v>1.8666638119491887</v>
      </c>
      <c r="AC6" s="12">
        <f t="shared" si="10"/>
        <v>452.65142576099765</v>
      </c>
      <c r="AD6" s="13"/>
      <c r="AE6" s="13"/>
      <c r="AF6" s="1">
        <f t="shared" si="11"/>
        <v>0.90074659184803907</v>
      </c>
      <c r="AG6" s="1">
        <f t="shared" si="12"/>
        <v>13.162856440249392</v>
      </c>
      <c r="AN6" s="1">
        <v>20890</v>
      </c>
      <c r="AO6" s="1">
        <v>1</v>
      </c>
      <c r="AP6" s="1">
        <v>0</v>
      </c>
      <c r="AQ6" s="14">
        <v>0</v>
      </c>
      <c r="AR6" s="14">
        <v>0</v>
      </c>
      <c r="AS6"/>
      <c r="AT6"/>
      <c r="AU6" s="12">
        <f t="shared" si="13"/>
        <v>0</v>
      </c>
      <c r="AV6" s="12">
        <f t="shared" si="14"/>
        <v>1.8666638119491887</v>
      </c>
      <c r="AW6">
        <f t="shared" si="17"/>
        <v>0</v>
      </c>
      <c r="AX6" s="14">
        <f t="shared" si="18"/>
        <v>452.65142576099765</v>
      </c>
      <c r="AY6"/>
      <c r="AZ6" s="7" t="s">
        <v>292</v>
      </c>
      <c r="BA6"/>
      <c r="BB6"/>
      <c r="BC6"/>
      <c r="BD6"/>
      <c r="BE6"/>
      <c r="BF6"/>
    </row>
    <row r="7" spans="1:58" s="1" customFormat="1" x14ac:dyDescent="0.3">
      <c r="A7" s="6">
        <v>43327</v>
      </c>
      <c r="B7" s="1">
        <v>1</v>
      </c>
      <c r="C7" s="2">
        <v>22.4</v>
      </c>
      <c r="D7" s="2">
        <v>29.86</v>
      </c>
      <c r="E7" s="7" t="s">
        <v>292</v>
      </c>
      <c r="F7"/>
      <c r="G7" s="7">
        <v>800</v>
      </c>
      <c r="H7" s="1">
        <v>3.24</v>
      </c>
      <c r="I7" s="14"/>
      <c r="J7" s="14"/>
      <c r="K7" s="1">
        <v>5.35</v>
      </c>
      <c r="L7" s="1">
        <v>1</v>
      </c>
      <c r="M7" s="7"/>
      <c r="N7" s="2">
        <f t="shared" si="0"/>
        <v>22.4</v>
      </c>
      <c r="O7" s="8">
        <f t="shared" si="1"/>
        <v>0.93056860399999985</v>
      </c>
      <c r="P7" s="9">
        <f t="shared" si="2"/>
        <v>3.0699325520304172E-5</v>
      </c>
      <c r="Q7" s="9"/>
      <c r="R7">
        <f t="shared" si="3"/>
        <v>5.6793752212562721E-11</v>
      </c>
      <c r="S7">
        <f t="shared" si="4"/>
        <v>1.2279730208121669E-8</v>
      </c>
      <c r="T7">
        <f t="shared" si="15"/>
        <v>6.8152502655075258E-4</v>
      </c>
      <c r="U7">
        <f t="shared" si="5"/>
        <v>0.14735676249746005</v>
      </c>
      <c r="V7"/>
      <c r="W7"/>
      <c r="X7">
        <f t="shared" si="16"/>
        <v>4.6780095999999995E-4</v>
      </c>
      <c r="Y7" s="75">
        <f t="shared" si="6"/>
        <v>0.19140260249999999</v>
      </c>
      <c r="Z7" s="25">
        <f t="shared" si="7"/>
        <v>0.58475119999999992</v>
      </c>
      <c r="AA7" s="10">
        <f t="shared" si="8"/>
        <v>239.25325312499999</v>
      </c>
      <c r="AB7" s="11">
        <f t="shared" si="9"/>
        <v>1.2698459224307765</v>
      </c>
      <c r="AC7" s="12">
        <f t="shared" si="10"/>
        <v>519.56245307248571</v>
      </c>
      <c r="AD7" s="13"/>
      <c r="AE7" s="13"/>
      <c r="AF7" s="1">
        <f t="shared" si="11"/>
        <v>-31.359679868606673</v>
      </c>
      <c r="AG7" s="1">
        <f t="shared" si="12"/>
        <v>29.890613268121406</v>
      </c>
      <c r="AN7" s="1">
        <v>20890</v>
      </c>
      <c r="AO7" s="1">
        <v>1</v>
      </c>
      <c r="AP7" s="1">
        <v>0</v>
      </c>
      <c r="AQ7" s="14">
        <v>0</v>
      </c>
      <c r="AR7" s="14">
        <v>0</v>
      </c>
      <c r="AS7"/>
      <c r="AT7"/>
      <c r="AU7" s="12">
        <f t="shared" si="13"/>
        <v>0</v>
      </c>
      <c r="AV7" s="12">
        <f t="shared" si="14"/>
        <v>1.2698459224307765</v>
      </c>
      <c r="AW7">
        <f t="shared" si="17"/>
        <v>0</v>
      </c>
      <c r="AX7" s="14">
        <f t="shared" si="18"/>
        <v>519.56245307248571</v>
      </c>
      <c r="AZ7" s="7" t="s">
        <v>292</v>
      </c>
      <c r="BF7"/>
    </row>
    <row r="8" spans="1:58" s="1" customFormat="1" x14ac:dyDescent="0.3">
      <c r="A8" s="6">
        <v>43327</v>
      </c>
      <c r="B8" s="1">
        <v>1</v>
      </c>
      <c r="C8" s="2">
        <v>22.4</v>
      </c>
      <c r="D8" s="2">
        <v>29.86</v>
      </c>
      <c r="E8" s="7" t="s">
        <v>292</v>
      </c>
      <c r="F8"/>
      <c r="G8" s="7">
        <v>800</v>
      </c>
      <c r="H8" s="1">
        <v>4.17</v>
      </c>
      <c r="I8" s="14"/>
      <c r="J8" s="14"/>
      <c r="K8" s="1">
        <v>3.19</v>
      </c>
      <c r="L8" s="1">
        <v>1</v>
      </c>
      <c r="M8" s="7"/>
      <c r="N8" s="2">
        <f t="shared" si="0"/>
        <v>22.4</v>
      </c>
      <c r="O8" s="8">
        <f t="shared" si="1"/>
        <v>0.93056860399999985</v>
      </c>
      <c r="P8" s="9">
        <f t="shared" si="2"/>
        <v>3.0699325520304172E-5</v>
      </c>
      <c r="Q8" s="9"/>
      <c r="R8">
        <f t="shared" si="3"/>
        <v>5.6793752212562721E-11</v>
      </c>
      <c r="S8">
        <f t="shared" si="4"/>
        <v>1.2279730208121669E-8</v>
      </c>
      <c r="T8">
        <f t="shared" si="15"/>
        <v>6.8152502655075258E-4</v>
      </c>
      <c r="U8">
        <f t="shared" si="5"/>
        <v>0.14735676249746005</v>
      </c>
      <c r="V8"/>
      <c r="W8"/>
      <c r="X8">
        <f t="shared" si="16"/>
        <v>7.4404443999999989E-4</v>
      </c>
      <c r="Y8" s="75">
        <f t="shared" si="6"/>
        <v>0.11196458490000001</v>
      </c>
      <c r="Z8" s="25">
        <f t="shared" si="7"/>
        <v>0.93005554999999984</v>
      </c>
      <c r="AA8" s="10">
        <f t="shared" si="8"/>
        <v>139.95573112500003</v>
      </c>
      <c r="AB8" s="11">
        <f t="shared" si="9"/>
        <v>2.0197089767436358</v>
      </c>
      <c r="AC8" s="12">
        <f t="shared" si="10"/>
        <v>303.92791753124988</v>
      </c>
      <c r="AD8" s="13"/>
      <c r="AE8" s="13"/>
      <c r="AF8" s="1">
        <f t="shared" si="11"/>
        <v>9.1734582023586988</v>
      </c>
      <c r="AG8" s="1">
        <f t="shared" si="12"/>
        <v>-24.018020617187545</v>
      </c>
      <c r="AN8" s="1">
        <v>20890</v>
      </c>
      <c r="AO8" s="1">
        <v>1</v>
      </c>
      <c r="AP8" s="1">
        <v>0</v>
      </c>
      <c r="AQ8" s="14">
        <v>0</v>
      </c>
      <c r="AR8" s="14">
        <v>0</v>
      </c>
      <c r="AS8"/>
      <c r="AT8"/>
      <c r="AU8" s="12">
        <f t="shared" si="13"/>
        <v>0</v>
      </c>
      <c r="AV8" s="12">
        <f t="shared" si="14"/>
        <v>2.0197089767436358</v>
      </c>
      <c r="AW8">
        <f t="shared" si="17"/>
        <v>0</v>
      </c>
      <c r="AX8" s="14">
        <f t="shared" si="18"/>
        <v>303.92791753124988</v>
      </c>
      <c r="AY8"/>
      <c r="AZ8" s="7" t="s">
        <v>292</v>
      </c>
      <c r="BA8"/>
      <c r="BB8"/>
      <c r="BE8"/>
      <c r="BF8"/>
    </row>
    <row r="9" spans="1:58" x14ac:dyDescent="0.3">
      <c r="A9" s="6"/>
      <c r="B9" s="32"/>
      <c r="C9" s="2"/>
      <c r="D9" s="2"/>
      <c r="G9" s="1"/>
      <c r="H9" s="14"/>
      <c r="I9" s="14"/>
      <c r="J9" s="14"/>
      <c r="K9" s="1"/>
      <c r="L9" s="1"/>
      <c r="N9" s="2"/>
      <c r="O9" s="8"/>
      <c r="Q9" s="3"/>
      <c r="R9" s="1"/>
      <c r="S9" s="1"/>
      <c r="V9" s="1"/>
      <c r="W9" s="1"/>
      <c r="X9"/>
      <c r="Y9" s="16"/>
      <c r="Z9" s="10"/>
      <c r="AA9" s="10"/>
      <c r="AC9" s="33"/>
      <c r="AD9" s="13"/>
      <c r="AE9" s="13"/>
      <c r="AG9"/>
      <c r="AO9" s="1"/>
      <c r="AU9" s="12"/>
      <c r="AV9" s="12"/>
    </row>
    <row r="10" spans="1:58" x14ac:dyDescent="0.3">
      <c r="A10" s="6"/>
      <c r="B10" s="32"/>
      <c r="C10" s="2"/>
      <c r="D10" s="2"/>
      <c r="G10" s="1"/>
      <c r="H10" s="14"/>
      <c r="I10" s="14"/>
      <c r="J10" s="14"/>
      <c r="K10" s="1"/>
      <c r="L10" s="1"/>
      <c r="N10" s="2"/>
      <c r="O10" s="8"/>
      <c r="Q10" s="3"/>
      <c r="R10" s="1"/>
      <c r="S10" s="1"/>
      <c r="V10" s="1"/>
      <c r="W10" s="1"/>
      <c r="X10"/>
      <c r="Y10" s="16"/>
      <c r="Z10" s="10"/>
      <c r="AA10" s="10"/>
      <c r="AC10" s="33"/>
      <c r="AD10" s="13"/>
      <c r="AE10" s="13"/>
      <c r="AG10"/>
      <c r="AO10" s="1"/>
      <c r="AU10" s="12"/>
      <c r="AV10" s="12"/>
    </row>
    <row r="11" spans="1:58" x14ac:dyDescent="0.3">
      <c r="H11" s="12"/>
      <c r="AF11" s="1"/>
      <c r="AG11" s="1"/>
      <c r="AH11" s="1"/>
      <c r="AI11" s="1"/>
      <c r="AU11" s="12"/>
      <c r="AV11" s="12"/>
    </row>
    <row r="12" spans="1:58" x14ac:dyDescent="0.3">
      <c r="X12" s="34"/>
      <c r="Y12" s="35" t="s">
        <v>40</v>
      </c>
      <c r="Z12" s="36"/>
      <c r="AA12" s="37"/>
      <c r="AB12" s="37">
        <f>AVERAGE(AB2:AB11)</f>
        <v>1.6245602767044309</v>
      </c>
      <c r="AC12" s="37">
        <f>AVERAGE(AC2:AC11)</f>
        <v>395.62162426525322</v>
      </c>
      <c r="AF12" s="1"/>
      <c r="AG12" s="1"/>
      <c r="AH12" s="1"/>
      <c r="AI12" s="1"/>
      <c r="AU12" s="12"/>
      <c r="AV12" s="12"/>
    </row>
    <row r="13" spans="1:58" x14ac:dyDescent="0.3">
      <c r="X13" s="34"/>
      <c r="Y13" s="35" t="s">
        <v>91</v>
      </c>
      <c r="Z13" s="36"/>
      <c r="AA13" s="38"/>
      <c r="AB13" s="38">
        <f>STDEV(AB2:AB11)</f>
        <v>0.45276548032973157</v>
      </c>
      <c r="AC13" s="38">
        <f>STDEV(AC2:AC11)</f>
        <v>97.176787165526832</v>
      </c>
      <c r="AF13" s="1"/>
      <c r="AG13" s="1"/>
      <c r="AH13" s="1"/>
      <c r="AI13" s="1"/>
      <c r="AU13" s="12"/>
      <c r="AV13" s="12"/>
    </row>
    <row r="14" spans="1:58" x14ac:dyDescent="0.3">
      <c r="X14" s="34"/>
      <c r="Y14" s="35" t="s">
        <v>92</v>
      </c>
      <c r="Z14" s="36"/>
      <c r="AA14" s="38"/>
      <c r="AB14" s="38">
        <f>100*AB13/AB12</f>
        <v>27.870032698830219</v>
      </c>
      <c r="AC14" s="38">
        <f>100*AC13/AC12</f>
        <v>24.563062584357755</v>
      </c>
      <c r="AF14" s="1"/>
      <c r="AG14" s="1"/>
      <c r="AH14" s="1"/>
      <c r="AI14" s="1"/>
      <c r="AU14" s="12"/>
      <c r="AV14" s="12"/>
    </row>
    <row r="15" spans="1:58" x14ac:dyDescent="0.3">
      <c r="X15" s="34" t="s">
        <v>93</v>
      </c>
      <c r="Y15" s="35" t="s">
        <v>94</v>
      </c>
      <c r="Z15" s="36"/>
      <c r="AA15" s="38"/>
      <c r="AB15" s="38">
        <f t="shared" ref="AB15" si="19">AB12-(2*AB13)</f>
        <v>0.71902931604496778</v>
      </c>
      <c r="AC15" s="38">
        <f t="shared" ref="AC15" si="20">AC12-(2*AC13)</f>
        <v>201.26804993419955</v>
      </c>
      <c r="AF15" s="1"/>
      <c r="AG15" s="1"/>
      <c r="AH15" s="1"/>
      <c r="AI15" s="1"/>
      <c r="AU15" s="12"/>
      <c r="AV15" s="12"/>
    </row>
    <row r="16" spans="1:58" x14ac:dyDescent="0.3">
      <c r="X16" s="36"/>
      <c r="Y16" s="35" t="s">
        <v>95</v>
      </c>
      <c r="Z16" s="36"/>
      <c r="AA16" s="38"/>
      <c r="AB16" s="38">
        <f t="shared" ref="AB16" si="21">AB12+(2*AB13)</f>
        <v>2.530091237363894</v>
      </c>
      <c r="AC16" s="38">
        <f t="shared" ref="AC16" si="22">AC12+(2*AC13)</f>
        <v>589.97519859630688</v>
      </c>
      <c r="AF16" s="1"/>
      <c r="AG16" s="1"/>
      <c r="AH16" s="1"/>
      <c r="AI16" s="1"/>
      <c r="AU16" s="12"/>
      <c r="AV16" s="12"/>
    </row>
    <row r="17" spans="23:48" x14ac:dyDescent="0.3">
      <c r="X17" s="34" t="s">
        <v>96</v>
      </c>
      <c r="Y17" s="35" t="s">
        <v>97</v>
      </c>
      <c r="Z17" s="36"/>
      <c r="AA17" s="38"/>
      <c r="AB17" s="38">
        <f t="shared" ref="AB17" si="23">AB12-(3*AB13)</f>
        <v>0.26626383571523626</v>
      </c>
      <c r="AC17" s="38">
        <f t="shared" ref="AC17" si="24">AC12-(3*AC13)</f>
        <v>104.09126276867272</v>
      </c>
      <c r="AF17" s="1"/>
      <c r="AG17" s="1"/>
      <c r="AH17" s="1"/>
      <c r="AI17" s="1"/>
      <c r="AU17" s="12"/>
      <c r="AV17" s="12"/>
    </row>
    <row r="18" spans="23:48" x14ac:dyDescent="0.3">
      <c r="X18" s="39"/>
      <c r="Y18" s="35" t="s">
        <v>98</v>
      </c>
      <c r="Z18" s="40"/>
      <c r="AA18" s="38"/>
      <c r="AB18" s="38">
        <f t="shared" ref="AB18" si="25">AB12+(3*AB13)</f>
        <v>2.9828567176936254</v>
      </c>
      <c r="AC18" s="38">
        <f t="shared" ref="AC18" si="26">AC12+(3*AC13)</f>
        <v>687.15198576183366</v>
      </c>
      <c r="AF18" s="1"/>
      <c r="AG18" s="1"/>
      <c r="AH18" s="1"/>
      <c r="AI18" s="1"/>
      <c r="AU18" s="12"/>
      <c r="AV18" s="12"/>
    </row>
    <row r="19" spans="23:48" x14ac:dyDescent="0.3">
      <c r="X19" t="s">
        <v>99</v>
      </c>
      <c r="Y19"/>
      <c r="AB19">
        <f>COUNT(AB2:AB11)</f>
        <v>7</v>
      </c>
      <c r="AC19">
        <f>COUNT(AC2:AC11)</f>
        <v>7</v>
      </c>
      <c r="AF19" s="1"/>
      <c r="AG19" s="1"/>
      <c r="AH19" s="1"/>
      <c r="AI19" s="1"/>
      <c r="AU19" s="12"/>
      <c r="AV19" s="12"/>
    </row>
    <row r="20" spans="23:48" x14ac:dyDescent="0.3">
      <c r="X20" t="s">
        <v>43</v>
      </c>
      <c r="Y20"/>
      <c r="AB20">
        <f>TINV(0.02,(AB19-1))</f>
        <v>3.1426684032909828</v>
      </c>
      <c r="AC20">
        <f>TINV(0.02,(AC19-1))</f>
        <v>3.1426684032909828</v>
      </c>
      <c r="AF20" s="1"/>
      <c r="AG20" s="1"/>
      <c r="AH20" s="1"/>
      <c r="AI20" s="1"/>
      <c r="AU20" s="12"/>
      <c r="AV20" s="12"/>
    </row>
    <row r="21" spans="23:48" x14ac:dyDescent="0.3">
      <c r="X21" t="s">
        <v>44</v>
      </c>
      <c r="Y21"/>
      <c r="AB21">
        <f>AB13*AB20</f>
        <v>1.4228917691331124</v>
      </c>
      <c r="AC21">
        <f>AC13*AC20</f>
        <v>305.39441855843387</v>
      </c>
      <c r="AF21" s="1"/>
      <c r="AG21" s="1"/>
      <c r="AI21" s="1"/>
      <c r="AL21" s="7"/>
      <c r="AM21" s="7"/>
      <c r="AN21" s="7"/>
      <c r="AU21" s="12"/>
      <c r="AV21" s="12"/>
    </row>
    <row r="22" spans="23:48" x14ac:dyDescent="0.3">
      <c r="W22" s="7"/>
      <c r="X22" t="s">
        <v>45</v>
      </c>
      <c r="Y22"/>
      <c r="AB22">
        <f>AB13*10</f>
        <v>4.5276548032973158</v>
      </c>
      <c r="AC22">
        <f>AC13*10</f>
        <v>971.76787165526832</v>
      </c>
      <c r="AF22" s="1"/>
      <c r="AG22" s="1"/>
      <c r="AH22" s="1"/>
      <c r="AI22" s="1"/>
      <c r="AL22" s="7"/>
      <c r="AM22" s="17"/>
      <c r="AN22" s="7"/>
      <c r="AU22" s="12"/>
      <c r="AV22" s="12"/>
    </row>
    <row r="23" spans="23:48" x14ac:dyDescent="0.3">
      <c r="W23" s="7"/>
      <c r="Y23" s="7"/>
      <c r="Z23" s="7"/>
      <c r="AF23" s="1"/>
      <c r="AG23" s="1"/>
      <c r="AH23" s="1"/>
      <c r="AI23" s="1"/>
      <c r="AU23" s="12"/>
      <c r="AV23" s="12"/>
    </row>
    <row r="24" spans="23:48" x14ac:dyDescent="0.3">
      <c r="W24" s="7"/>
      <c r="Y24" s="7"/>
      <c r="Z24" s="7"/>
      <c r="AF24" s="1"/>
      <c r="AG24" s="1"/>
      <c r="AH24" s="1"/>
      <c r="AI24" s="1"/>
      <c r="AU24" s="12"/>
      <c r="AV24" s="12"/>
    </row>
    <row r="25" spans="23:48" x14ac:dyDescent="0.3">
      <c r="W25" s="7"/>
      <c r="Y25" s="7"/>
      <c r="Z25" s="7"/>
      <c r="AF25" s="1"/>
      <c r="AG25" s="1"/>
      <c r="AH25" s="1"/>
      <c r="AI25" s="1"/>
      <c r="AU25" s="12"/>
      <c r="AV25" s="12"/>
    </row>
    <row r="26" spans="23:48" x14ac:dyDescent="0.3">
      <c r="W26" s="7"/>
      <c r="Y26" s="7"/>
      <c r="Z26" s="7"/>
      <c r="AF26" s="1"/>
      <c r="AG26" s="1"/>
      <c r="AH26" s="1"/>
      <c r="AI26" s="1"/>
      <c r="AU26" s="12"/>
      <c r="AV26" s="12"/>
    </row>
    <row r="27" spans="23:48" x14ac:dyDescent="0.3">
      <c r="W27" s="7"/>
      <c r="Y27" s="7"/>
      <c r="Z27" s="7"/>
      <c r="AF27" s="1"/>
      <c r="AG27" s="1"/>
      <c r="AH27" s="1"/>
      <c r="AI27" s="1"/>
      <c r="AU27" s="12"/>
      <c r="AV27" s="12"/>
    </row>
    <row r="28" spans="23:48" x14ac:dyDescent="0.3">
      <c r="W28" s="7"/>
      <c r="Y28" s="7"/>
      <c r="Z28" s="7"/>
      <c r="AF28" s="1"/>
      <c r="AG28" s="1"/>
      <c r="AH28" s="1"/>
      <c r="AI28" s="1"/>
      <c r="AU28" s="12"/>
      <c r="AV28" s="12"/>
    </row>
    <row r="29" spans="23:48" x14ac:dyDescent="0.3">
      <c r="W29" s="7"/>
      <c r="Y29" s="7"/>
      <c r="Z29" s="7"/>
      <c r="AF29" s="1"/>
      <c r="AG29" s="1"/>
      <c r="AH29" s="1"/>
      <c r="AI29" s="1"/>
      <c r="AU29" s="12"/>
      <c r="AV29" s="12"/>
    </row>
    <row r="30" spans="23:48" x14ac:dyDescent="0.3">
      <c r="W30" s="7"/>
      <c r="Y30" s="7"/>
      <c r="Z30" s="7"/>
      <c r="AF30" s="1"/>
      <c r="AG30" s="1"/>
      <c r="AH30" s="1"/>
      <c r="AI30" s="1"/>
      <c r="AU30" s="12"/>
      <c r="AV30" s="12"/>
    </row>
    <row r="31" spans="23:48" x14ac:dyDescent="0.3">
      <c r="W31" s="7"/>
      <c r="Y31"/>
      <c r="AF31" s="1"/>
      <c r="AG31" s="1"/>
      <c r="AH31" s="1"/>
      <c r="AI31" s="1"/>
      <c r="AU31" s="12"/>
      <c r="AV31" s="12"/>
    </row>
    <row r="32" spans="23:48" x14ac:dyDescent="0.3">
      <c r="W32" s="17"/>
      <c r="Y32"/>
      <c r="AF32" s="1"/>
      <c r="AG32" s="1"/>
      <c r="AH32" s="1"/>
      <c r="AI32" s="1"/>
      <c r="AU32" s="12"/>
      <c r="AV32" s="12"/>
    </row>
    <row r="33" spans="1:48" x14ac:dyDescent="0.3">
      <c r="AF33" s="1"/>
      <c r="AG33" s="1"/>
      <c r="AH33" s="1"/>
      <c r="AI33" s="1"/>
      <c r="AU33" s="12"/>
      <c r="AV33" s="12"/>
    </row>
    <row r="34" spans="1:48" x14ac:dyDescent="0.3">
      <c r="AF34" s="1"/>
      <c r="AG34" s="1"/>
      <c r="AH34" s="1"/>
      <c r="AI34" s="1"/>
      <c r="AU34" s="12"/>
      <c r="AV34" s="12"/>
    </row>
    <row r="35" spans="1:48" x14ac:dyDescent="0.3">
      <c r="AF35" s="1"/>
      <c r="AG35" s="1"/>
      <c r="AH35" s="1"/>
      <c r="AI35" s="1"/>
      <c r="AU35" s="12"/>
      <c r="AV35" s="12"/>
    </row>
    <row r="36" spans="1:48" x14ac:dyDescent="0.3">
      <c r="AF36" s="1"/>
      <c r="AG36" s="1"/>
      <c r="AH36" s="1"/>
      <c r="AI36" s="1"/>
      <c r="AU36" s="12"/>
      <c r="AV36" s="12"/>
    </row>
    <row r="37" spans="1:48" x14ac:dyDescent="0.3">
      <c r="AF37" s="1"/>
      <c r="AG37" s="1"/>
      <c r="AH37" s="1"/>
      <c r="AI37" s="1"/>
      <c r="AU37" s="12"/>
      <c r="AV37" s="12"/>
    </row>
    <row r="38" spans="1:48" x14ac:dyDescent="0.3">
      <c r="AF38" s="1"/>
      <c r="AG38" s="1"/>
      <c r="AH38" s="1"/>
      <c r="AI38" s="1"/>
      <c r="AU38" s="12"/>
      <c r="AV38" s="12"/>
    </row>
    <row r="39" spans="1:48" x14ac:dyDescent="0.3">
      <c r="AF39" s="1"/>
      <c r="AG39" s="1"/>
      <c r="AH39" s="1"/>
      <c r="AI39" s="1"/>
      <c r="AU39" s="12"/>
      <c r="AV39" s="12"/>
    </row>
    <row r="40" spans="1:48" x14ac:dyDescent="0.3">
      <c r="AF40" s="1"/>
      <c r="AG40" s="1"/>
      <c r="AH40" s="1"/>
      <c r="AI40" s="1"/>
      <c r="AU40" s="12"/>
      <c r="AV40" s="12"/>
    </row>
    <row r="41" spans="1:48" x14ac:dyDescent="0.3">
      <c r="AF41" s="1"/>
      <c r="AG41" s="1"/>
      <c r="AH41" s="1"/>
      <c r="AI41" s="1"/>
      <c r="AU41" s="12"/>
      <c r="AV41" s="12"/>
    </row>
    <row r="42" spans="1:48" x14ac:dyDescent="0.3">
      <c r="AF42" s="1"/>
      <c r="AG42" s="1"/>
      <c r="AH42" s="1"/>
      <c r="AI42" s="1"/>
      <c r="AU42" s="12"/>
      <c r="AV42" s="12"/>
    </row>
    <row r="43" spans="1:48" x14ac:dyDescent="0.3">
      <c r="AF43" s="1"/>
      <c r="AG43" s="1"/>
      <c r="AH43" s="1"/>
      <c r="AI43" s="1"/>
      <c r="AU43" s="12"/>
      <c r="AV43" s="12"/>
    </row>
    <row r="44" spans="1:48" x14ac:dyDescent="0.3">
      <c r="AF44" s="1"/>
      <c r="AG44" s="1"/>
      <c r="AH44" s="1"/>
      <c r="AI44" s="1"/>
      <c r="AU44" s="12"/>
      <c r="AV44" s="12"/>
    </row>
    <row r="45" spans="1:48" x14ac:dyDescent="0.3">
      <c r="C45" s="9"/>
      <c r="I45" s="9"/>
      <c r="P45"/>
      <c r="W45" s="9"/>
      <c r="AD45" s="9"/>
      <c r="AF45" s="1"/>
      <c r="AG45" s="1"/>
      <c r="AH45" s="1"/>
      <c r="AI45" s="1"/>
      <c r="AU45" s="12"/>
      <c r="AV45" s="12"/>
    </row>
    <row r="46" spans="1:48" s="1" customFormat="1" ht="15.6" x14ac:dyDescent="0.3">
      <c r="A46" s="53"/>
      <c r="B46"/>
      <c r="C46" s="9"/>
      <c r="D46" s="13"/>
      <c r="E46" s="7"/>
      <c r="F46"/>
      <c r="G46"/>
      <c r="H46"/>
      <c r="I46" s="9"/>
      <c r="J46"/>
      <c r="K46"/>
      <c r="L46"/>
      <c r="M46" s="7"/>
      <c r="N46"/>
      <c r="O46"/>
      <c r="P46"/>
      <c r="Q46" s="9"/>
      <c r="R46"/>
      <c r="S46"/>
      <c r="T46"/>
      <c r="U46"/>
      <c r="V46"/>
      <c r="W46" s="9"/>
      <c r="X46" s="17"/>
      <c r="Y46" s="17"/>
      <c r="Z46"/>
      <c r="AA46"/>
      <c r="AB46"/>
      <c r="AC46"/>
      <c r="AD46" s="9"/>
      <c r="AE46"/>
      <c r="AU46" s="12"/>
      <c r="AV46" s="12"/>
    </row>
    <row r="47" spans="1:48" s="1" customFormat="1" x14ac:dyDescent="0.3">
      <c r="A47"/>
      <c r="B47"/>
      <c r="C47" s="13"/>
      <c r="D47" s="13"/>
      <c r="E47" s="7"/>
      <c r="F47"/>
      <c r="G47"/>
      <c r="H47"/>
      <c r="I47"/>
      <c r="J47"/>
      <c r="K47"/>
      <c r="L47"/>
      <c r="M47" s="7"/>
      <c r="N47"/>
      <c r="O47"/>
      <c r="P47" s="9"/>
      <c r="Q47" s="9"/>
      <c r="R47"/>
      <c r="S47"/>
      <c r="T47"/>
      <c r="U47"/>
      <c r="V47"/>
      <c r="W47"/>
      <c r="X47" s="17"/>
      <c r="Y47" s="17"/>
      <c r="Z47"/>
      <c r="AA47"/>
      <c r="AB47"/>
      <c r="AC47"/>
      <c r="AD47"/>
      <c r="AE47"/>
      <c r="AU47" s="12"/>
      <c r="AV47" s="12"/>
    </row>
    <row r="48" spans="1:48" s="1" customFormat="1" x14ac:dyDescent="0.3">
      <c r="A48"/>
      <c r="B48"/>
      <c r="C48" s="13"/>
      <c r="D48" s="13"/>
      <c r="E48" s="7"/>
      <c r="F48"/>
      <c r="G48"/>
      <c r="H48"/>
      <c r="I48"/>
      <c r="J48"/>
      <c r="K48"/>
      <c r="L48"/>
      <c r="M48" s="7"/>
      <c r="N48"/>
      <c r="O48"/>
      <c r="P48" s="9"/>
      <c r="Q48" s="9"/>
      <c r="R48"/>
      <c r="S48"/>
      <c r="T48"/>
      <c r="U48"/>
      <c r="V48"/>
      <c r="W48"/>
      <c r="X48" s="17"/>
      <c r="Y48" s="17"/>
      <c r="Z48"/>
      <c r="AA48"/>
      <c r="AB48"/>
      <c r="AC48"/>
      <c r="AD48"/>
      <c r="AE48"/>
      <c r="AP48"/>
      <c r="AQ48"/>
      <c r="AR48"/>
      <c r="AU48" s="12"/>
      <c r="AV48" s="12"/>
    </row>
    <row r="50" spans="1:33" x14ac:dyDescent="0.3">
      <c r="A50" s="6"/>
      <c r="B50" s="32"/>
      <c r="C50" s="2"/>
      <c r="D50" s="2"/>
      <c r="G50" s="1"/>
      <c r="H50" s="1"/>
      <c r="I50" s="14"/>
      <c r="J50" s="14"/>
      <c r="K50" s="1"/>
      <c r="L50" s="1"/>
      <c r="N50" s="2"/>
      <c r="O50" s="8"/>
      <c r="X50"/>
      <c r="Y50" s="16"/>
      <c r="Z50" s="10"/>
      <c r="AA50" s="10"/>
      <c r="AC50" s="33"/>
      <c r="AD50" s="13"/>
      <c r="AE50" s="13"/>
      <c r="AF50" s="1"/>
      <c r="AG50" s="1"/>
    </row>
    <row r="51" spans="1:33" x14ac:dyDescent="0.3">
      <c r="A51" s="6"/>
      <c r="B51" s="32"/>
      <c r="C51" s="2"/>
      <c r="D51" s="2"/>
      <c r="G51" s="1"/>
      <c r="H51" s="1"/>
      <c r="I51" s="14"/>
      <c r="J51" s="14"/>
      <c r="K51" s="1"/>
      <c r="L51" s="1"/>
      <c r="N51" s="2"/>
      <c r="O51" s="8"/>
      <c r="X51"/>
      <c r="Y51" s="16"/>
      <c r="Z51" s="10"/>
      <c r="AA51" s="10"/>
      <c r="AC51" s="33"/>
      <c r="AD51" s="13"/>
      <c r="AE51" s="13"/>
      <c r="AF51" s="1"/>
      <c r="AG51" s="1"/>
    </row>
    <row r="52" spans="1:33" x14ac:dyDescent="0.3">
      <c r="A52" s="6"/>
      <c r="B52" s="32"/>
      <c r="C52" s="2"/>
      <c r="D52" s="2"/>
      <c r="G52" s="1"/>
      <c r="H52" s="1"/>
      <c r="I52" s="14"/>
      <c r="J52" s="14"/>
      <c r="K52" s="1"/>
      <c r="L52" s="1"/>
      <c r="N52" s="2"/>
      <c r="O52" s="8"/>
      <c r="X52"/>
      <c r="Y52" s="16"/>
      <c r="Z52" s="10"/>
      <c r="AA52" s="10"/>
      <c r="AC52" s="33"/>
      <c r="AD52" s="13"/>
      <c r="AE52" s="13"/>
      <c r="AF52" s="1"/>
    </row>
    <row r="53" spans="1:33" x14ac:dyDescent="0.3">
      <c r="A53" s="6"/>
      <c r="B53" s="32"/>
      <c r="C53" s="2"/>
      <c r="D53" s="2"/>
      <c r="G53" s="1"/>
      <c r="H53" s="1"/>
      <c r="I53" s="14"/>
      <c r="J53" s="14"/>
      <c r="K53" s="1"/>
      <c r="L53" s="1"/>
      <c r="N53" s="2"/>
      <c r="O53" s="8"/>
      <c r="X53"/>
      <c r="Y53" s="16"/>
      <c r="Z53" s="10"/>
      <c r="AA53" s="10"/>
      <c r="AC53" s="33"/>
      <c r="AD53" s="13"/>
      <c r="AE53" s="13"/>
      <c r="AF53" s="1"/>
    </row>
    <row r="54" spans="1:33" x14ac:dyDescent="0.3">
      <c r="A54" s="6"/>
      <c r="B54" s="32"/>
      <c r="C54" s="2"/>
      <c r="D54" s="2"/>
      <c r="G54" s="1"/>
      <c r="H54" s="1"/>
      <c r="I54" s="14"/>
      <c r="J54" s="14"/>
      <c r="K54" s="1"/>
      <c r="L54" s="1"/>
      <c r="N54" s="2"/>
      <c r="O54" s="8"/>
      <c r="X54"/>
      <c r="Y54" s="16"/>
      <c r="Z54" s="10"/>
      <c r="AA54" s="10"/>
      <c r="AC54" s="33"/>
      <c r="AD54" s="13"/>
      <c r="AE54" s="13"/>
      <c r="AF54" s="1"/>
    </row>
    <row r="55" spans="1:33" x14ac:dyDescent="0.3">
      <c r="A55" s="6"/>
      <c r="B55" s="32"/>
      <c r="C55" s="2"/>
      <c r="D55" s="2"/>
      <c r="G55" s="1"/>
      <c r="H55" s="1"/>
      <c r="I55" s="14"/>
      <c r="J55" s="14"/>
      <c r="K55" s="1"/>
      <c r="L55" s="1"/>
      <c r="N55" s="2"/>
      <c r="O55" s="8"/>
      <c r="X55"/>
      <c r="Y55" s="16"/>
      <c r="Z55" s="10"/>
      <c r="AA55" s="10"/>
      <c r="AC55" s="33"/>
      <c r="AD55" s="13"/>
      <c r="AE55" s="13"/>
      <c r="AF55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BCAB-4D7E-430B-B29D-E5AF5FA1C717}">
  <dimension ref="A4:BL69"/>
  <sheetViews>
    <sheetView workbookViewId="0">
      <selection activeCell="G28" sqref="G28"/>
    </sheetView>
  </sheetViews>
  <sheetFormatPr defaultRowHeight="14.4" x14ac:dyDescent="0.3"/>
  <cols>
    <col min="9" max="9" width="23.77734375" customWidth="1"/>
  </cols>
  <sheetData>
    <row r="4" spans="1:62" x14ac:dyDescent="0.3">
      <c r="A4" t="s">
        <v>50</v>
      </c>
      <c r="H4" t="s">
        <v>19</v>
      </c>
      <c r="W4" t="s">
        <v>20</v>
      </c>
      <c r="AK4" t="s">
        <v>21</v>
      </c>
      <c r="AX4" t="s">
        <v>27</v>
      </c>
    </row>
    <row r="5" spans="1:62" ht="28.8" x14ac:dyDescent="0.3">
      <c r="B5" s="21" t="s">
        <v>37</v>
      </c>
      <c r="C5" s="21" t="s">
        <v>38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22</v>
      </c>
      <c r="T5" t="s">
        <v>23</v>
      </c>
      <c r="V5" t="s">
        <v>6</v>
      </c>
      <c r="W5" t="s">
        <v>7</v>
      </c>
      <c r="X5" t="s">
        <v>8</v>
      </c>
      <c r="Y5" t="s">
        <v>9</v>
      </c>
      <c r="Z5" t="s">
        <v>10</v>
      </c>
      <c r="AA5" t="s">
        <v>11</v>
      </c>
      <c r="AB5" t="s">
        <v>12</v>
      </c>
      <c r="AC5" t="s">
        <v>13</v>
      </c>
      <c r="AD5" t="s">
        <v>14</v>
      </c>
      <c r="AE5" t="s">
        <v>15</v>
      </c>
      <c r="AF5" t="s">
        <v>16</v>
      </c>
      <c r="AG5" t="s">
        <v>22</v>
      </c>
      <c r="AH5" t="s">
        <v>23</v>
      </c>
      <c r="AJ5" t="s">
        <v>6</v>
      </c>
      <c r="AK5" t="s">
        <v>7</v>
      </c>
      <c r="AL5" t="s">
        <v>8</v>
      </c>
      <c r="AM5" t="s">
        <v>9</v>
      </c>
      <c r="AN5" t="s">
        <v>10</v>
      </c>
      <c r="AO5" t="s">
        <v>11</v>
      </c>
      <c r="AP5" t="s">
        <v>12</v>
      </c>
      <c r="AQ5" t="s">
        <v>13</v>
      </c>
      <c r="AR5" t="s">
        <v>14</v>
      </c>
      <c r="AS5" t="s">
        <v>15</v>
      </c>
      <c r="AT5" t="s">
        <v>16</v>
      </c>
      <c r="AU5" t="s">
        <v>22</v>
      </c>
      <c r="AV5" t="s">
        <v>23</v>
      </c>
      <c r="AX5" s="20" t="s">
        <v>6</v>
      </c>
      <c r="AY5" t="s">
        <v>7</v>
      </c>
      <c r="AZ5" t="s">
        <v>8</v>
      </c>
      <c r="BA5" t="s">
        <v>9</v>
      </c>
      <c r="BB5" t="s">
        <v>10</v>
      </c>
      <c r="BC5" t="s">
        <v>11</v>
      </c>
      <c r="BD5" t="s">
        <v>12</v>
      </c>
      <c r="BE5" t="s">
        <v>13</v>
      </c>
      <c r="BF5" t="s">
        <v>14</v>
      </c>
      <c r="BG5" t="s">
        <v>15</v>
      </c>
      <c r="BH5" t="s">
        <v>16</v>
      </c>
      <c r="BI5" t="s">
        <v>22</v>
      </c>
      <c r="BJ5" t="s">
        <v>23</v>
      </c>
    </row>
    <row r="6" spans="1:62" x14ac:dyDescent="0.3">
      <c r="B6" s="22">
        <f t="shared" ref="B6:B13" si="0">IF(O6&lt;44000,((0.00000002183*O6^2)+(0.002021*O6)+(-1.323)),(IF(O6&lt;5500000,((-0.0000000000996*O6^2)+(0.002295*O6)+(30.77)),((-0.00000001553*AC6^2)+(0.245*AC6)+(-142.5)))))</f>
        <v>0.73634867712000007</v>
      </c>
      <c r="C6" s="23">
        <f t="shared" ref="C6:C13" si="1">(0.000000008947*AQ6^2)+(0.1643*AQ6)+(54.81)</f>
        <v>481.06440289569201</v>
      </c>
      <c r="H6">
        <v>15</v>
      </c>
      <c r="I6" t="s">
        <v>29</v>
      </c>
      <c r="J6" s="20">
        <v>43601.447233796294</v>
      </c>
      <c r="K6" t="s">
        <v>25</v>
      </c>
      <c r="L6" t="s">
        <v>17</v>
      </c>
      <c r="M6">
        <v>0</v>
      </c>
      <c r="N6">
        <v>5.335</v>
      </c>
      <c r="O6" s="12">
        <v>1008</v>
      </c>
      <c r="P6">
        <v>0.79100000000000004</v>
      </c>
      <c r="Q6" t="s">
        <v>18</v>
      </c>
      <c r="R6" t="s">
        <v>18</v>
      </c>
      <c r="S6" t="s">
        <v>18</v>
      </c>
      <c r="T6" t="s">
        <v>18</v>
      </c>
      <c r="V6">
        <v>15</v>
      </c>
      <c r="W6" t="s">
        <v>29</v>
      </c>
      <c r="X6" s="20">
        <v>43601.447233796294</v>
      </c>
      <c r="Y6" t="s">
        <v>25</v>
      </c>
      <c r="Z6" t="s">
        <v>17</v>
      </c>
      <c r="AA6">
        <v>0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J6">
        <v>15</v>
      </c>
      <c r="AK6" t="s">
        <v>29</v>
      </c>
      <c r="AL6" s="20">
        <v>43601.447233796294</v>
      </c>
      <c r="AM6" t="s">
        <v>25</v>
      </c>
      <c r="AN6" t="s">
        <v>17</v>
      </c>
      <c r="AO6">
        <v>0</v>
      </c>
      <c r="AP6">
        <v>9.9130000000000003</v>
      </c>
      <c r="AQ6" s="12">
        <v>2594</v>
      </c>
      <c r="AR6">
        <v>462.96600000000001</v>
      </c>
      <c r="AS6" t="s">
        <v>18</v>
      </c>
      <c r="AT6" t="s">
        <v>18</v>
      </c>
      <c r="AU6" t="s">
        <v>18</v>
      </c>
      <c r="AV6" t="s">
        <v>18</v>
      </c>
      <c r="AX6">
        <v>15</v>
      </c>
      <c r="AY6" t="s">
        <v>29</v>
      </c>
      <c r="AZ6" s="20">
        <v>43601.447233796294</v>
      </c>
      <c r="BA6" t="s">
        <v>25</v>
      </c>
      <c r="BB6" t="s">
        <v>17</v>
      </c>
      <c r="BC6">
        <v>0</v>
      </c>
      <c r="BD6">
        <v>2.6059999999999999</v>
      </c>
      <c r="BE6" s="12">
        <v>5362826</v>
      </c>
      <c r="BF6">
        <v>934.31399999999996</v>
      </c>
      <c r="BG6" t="s">
        <v>18</v>
      </c>
      <c r="BH6" t="s">
        <v>18</v>
      </c>
      <c r="BI6" t="s">
        <v>18</v>
      </c>
      <c r="BJ6" t="s">
        <v>18</v>
      </c>
    </row>
    <row r="7" spans="1:62" x14ac:dyDescent="0.3">
      <c r="B7" s="22">
        <f t="shared" si="0"/>
        <v>0.89548382174999963</v>
      </c>
      <c r="C7" s="23">
        <f t="shared" si="1"/>
        <v>477.44878605124802</v>
      </c>
      <c r="H7">
        <v>16</v>
      </c>
      <c r="I7" t="s">
        <v>30</v>
      </c>
      <c r="J7" s="20">
        <v>43601.463553240741</v>
      </c>
      <c r="K7" t="s">
        <v>25</v>
      </c>
      <c r="L7" t="s">
        <v>17</v>
      </c>
      <c r="M7">
        <v>0</v>
      </c>
      <c r="N7">
        <v>5.3239999999999998</v>
      </c>
      <c r="O7" s="12">
        <v>1085</v>
      </c>
      <c r="P7">
        <v>0.98099999999999998</v>
      </c>
      <c r="Q7" t="s">
        <v>18</v>
      </c>
      <c r="R7" t="s">
        <v>18</v>
      </c>
      <c r="S7" t="s">
        <v>18</v>
      </c>
      <c r="T7" t="s">
        <v>18</v>
      </c>
      <c r="V7">
        <v>16</v>
      </c>
      <c r="W7" t="s">
        <v>30</v>
      </c>
      <c r="X7" s="20">
        <v>43601.463553240741</v>
      </c>
      <c r="Y7" t="s">
        <v>25</v>
      </c>
      <c r="Z7" t="s">
        <v>17</v>
      </c>
      <c r="AA7">
        <v>0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J7">
        <v>16</v>
      </c>
      <c r="AK7" t="s">
        <v>30</v>
      </c>
      <c r="AL7" s="20">
        <v>43601.463553240741</v>
      </c>
      <c r="AM7" t="s">
        <v>25</v>
      </c>
      <c r="AN7" t="s">
        <v>17</v>
      </c>
      <c r="AO7">
        <v>0</v>
      </c>
      <c r="AP7">
        <v>9.8840000000000003</v>
      </c>
      <c r="AQ7" s="12">
        <v>2572</v>
      </c>
      <c r="AR7">
        <v>458.38499999999999</v>
      </c>
      <c r="AS7" t="s">
        <v>18</v>
      </c>
      <c r="AT7" t="s">
        <v>18</v>
      </c>
      <c r="AU7" t="s">
        <v>18</v>
      </c>
      <c r="AV7" t="s">
        <v>18</v>
      </c>
      <c r="AX7">
        <v>16</v>
      </c>
      <c r="AY7" t="s">
        <v>30</v>
      </c>
      <c r="AZ7" s="20">
        <v>43601.463553240741</v>
      </c>
      <c r="BA7" t="s">
        <v>25</v>
      </c>
      <c r="BB7" t="s">
        <v>17</v>
      </c>
      <c r="BC7">
        <v>0</v>
      </c>
      <c r="BD7">
        <v>2.605</v>
      </c>
      <c r="BE7" s="12">
        <v>5389922</v>
      </c>
      <c r="BF7">
        <v>933.36099999999999</v>
      </c>
      <c r="BG7" t="s">
        <v>18</v>
      </c>
      <c r="BH7" t="s">
        <v>18</v>
      </c>
      <c r="BI7" t="s">
        <v>18</v>
      </c>
      <c r="BJ7" t="s">
        <v>18</v>
      </c>
    </row>
    <row r="8" spans="1:62" x14ac:dyDescent="0.3">
      <c r="B8" s="22">
        <f t="shared" si="0"/>
        <v>0.8107173028800001</v>
      </c>
      <c r="C8" s="23">
        <f t="shared" si="1"/>
        <v>512.61924478881201</v>
      </c>
      <c r="H8">
        <v>17</v>
      </c>
      <c r="I8" t="s">
        <v>31</v>
      </c>
      <c r="J8" s="20">
        <v>43601.479884259257</v>
      </c>
      <c r="K8" t="s">
        <v>25</v>
      </c>
      <c r="L8" t="s">
        <v>17</v>
      </c>
      <c r="M8">
        <v>0</v>
      </c>
      <c r="N8">
        <v>5.3220000000000001</v>
      </c>
      <c r="O8" s="12">
        <v>1044</v>
      </c>
      <c r="P8">
        <v>0.88</v>
      </c>
      <c r="Q8" t="s">
        <v>18</v>
      </c>
      <c r="R8" t="s">
        <v>18</v>
      </c>
      <c r="S8" t="s">
        <v>18</v>
      </c>
      <c r="T8" t="s">
        <v>18</v>
      </c>
      <c r="V8">
        <v>17</v>
      </c>
      <c r="W8" t="s">
        <v>31</v>
      </c>
      <c r="X8" s="20">
        <v>43601.479884259257</v>
      </c>
      <c r="Y8" t="s">
        <v>25</v>
      </c>
      <c r="Z8" t="s">
        <v>17</v>
      </c>
      <c r="AA8">
        <v>0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J8">
        <v>17</v>
      </c>
      <c r="AK8" t="s">
        <v>31</v>
      </c>
      <c r="AL8" s="20">
        <v>43601.479884259257</v>
      </c>
      <c r="AM8" t="s">
        <v>25</v>
      </c>
      <c r="AN8" t="s">
        <v>17</v>
      </c>
      <c r="AO8">
        <v>0</v>
      </c>
      <c r="AP8">
        <v>9.8759999999999994</v>
      </c>
      <c r="AQ8" s="12">
        <v>2786</v>
      </c>
      <c r="AR8">
        <v>504.024</v>
      </c>
      <c r="AS8" t="s">
        <v>18</v>
      </c>
      <c r="AT8" t="s">
        <v>18</v>
      </c>
      <c r="AU8" t="s">
        <v>18</v>
      </c>
      <c r="AV8" t="s">
        <v>18</v>
      </c>
      <c r="AX8">
        <v>17</v>
      </c>
      <c r="AY8" t="s">
        <v>31</v>
      </c>
      <c r="AZ8" s="20">
        <v>43601.479884259257</v>
      </c>
      <c r="BA8" t="s">
        <v>25</v>
      </c>
      <c r="BB8" t="s">
        <v>17</v>
      </c>
      <c r="BC8">
        <v>0</v>
      </c>
      <c r="BD8">
        <v>2.5910000000000002</v>
      </c>
      <c r="BE8" s="12">
        <v>5581327</v>
      </c>
      <c r="BF8">
        <v>927.79</v>
      </c>
      <c r="BG8" t="s">
        <v>18</v>
      </c>
      <c r="BH8" t="s">
        <v>18</v>
      </c>
      <c r="BI8" t="s">
        <v>18</v>
      </c>
      <c r="BJ8" t="s">
        <v>18</v>
      </c>
    </row>
    <row r="9" spans="1:62" x14ac:dyDescent="0.3">
      <c r="B9" s="22">
        <f t="shared" si="0"/>
        <v>0.82311757499999993</v>
      </c>
      <c r="C9" s="23">
        <f t="shared" si="1"/>
        <v>459.20648769338703</v>
      </c>
      <c r="H9">
        <v>18</v>
      </c>
      <c r="I9" t="s">
        <v>32</v>
      </c>
      <c r="J9" s="20">
        <v>43601.49622685185</v>
      </c>
      <c r="K9" t="s">
        <v>25</v>
      </c>
      <c r="L9" t="s">
        <v>17</v>
      </c>
      <c r="M9">
        <v>0</v>
      </c>
      <c r="N9">
        <v>5.3209999999999997</v>
      </c>
      <c r="O9" s="12">
        <v>1050</v>
      </c>
      <c r="P9">
        <v>0.89500000000000002</v>
      </c>
      <c r="Q9" t="s">
        <v>18</v>
      </c>
      <c r="R9" t="s">
        <v>18</v>
      </c>
      <c r="S9" t="s">
        <v>18</v>
      </c>
      <c r="T9" t="s">
        <v>18</v>
      </c>
      <c r="V9">
        <v>18</v>
      </c>
      <c r="W9" t="s">
        <v>32</v>
      </c>
      <c r="X9" s="20">
        <v>43601.49622685185</v>
      </c>
      <c r="Y9" t="s">
        <v>25</v>
      </c>
      <c r="Z9" t="s">
        <v>17</v>
      </c>
      <c r="AA9">
        <v>0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J9">
        <v>18</v>
      </c>
      <c r="AK9" t="s">
        <v>32</v>
      </c>
      <c r="AL9" s="20">
        <v>43601.49622685185</v>
      </c>
      <c r="AM9" t="s">
        <v>25</v>
      </c>
      <c r="AN9" t="s">
        <v>17</v>
      </c>
      <c r="AO9">
        <v>0</v>
      </c>
      <c r="AP9">
        <v>9.8729999999999993</v>
      </c>
      <c r="AQ9" s="12">
        <v>2461</v>
      </c>
      <c r="AR9">
        <v>434.59899999999999</v>
      </c>
      <c r="AS9" t="s">
        <v>18</v>
      </c>
      <c r="AT9" t="s">
        <v>18</v>
      </c>
      <c r="AU9" t="s">
        <v>18</v>
      </c>
      <c r="AV9" t="s">
        <v>18</v>
      </c>
      <c r="AX9">
        <v>18</v>
      </c>
      <c r="AY9" t="s">
        <v>32</v>
      </c>
      <c r="AZ9" s="20">
        <v>43601.49622685185</v>
      </c>
      <c r="BA9" t="s">
        <v>25</v>
      </c>
      <c r="BB9" t="s">
        <v>17</v>
      </c>
      <c r="BC9">
        <v>0</v>
      </c>
      <c r="BD9">
        <v>2.5990000000000002</v>
      </c>
      <c r="BE9" s="12">
        <v>5297569</v>
      </c>
      <c r="BF9">
        <v>936.90499999999997</v>
      </c>
      <c r="BG9" t="s">
        <v>18</v>
      </c>
      <c r="BH9" t="s">
        <v>18</v>
      </c>
      <c r="BI9" t="s">
        <v>18</v>
      </c>
      <c r="BJ9" t="s">
        <v>18</v>
      </c>
    </row>
    <row r="10" spans="1:62" x14ac:dyDescent="0.3">
      <c r="B10" s="22">
        <f t="shared" si="0"/>
        <v>0.81898397631999975</v>
      </c>
      <c r="C10" s="23">
        <f t="shared" si="1"/>
        <v>406.45297368119998</v>
      </c>
      <c r="H10">
        <v>19</v>
      </c>
      <c r="I10" t="s">
        <v>33</v>
      </c>
      <c r="J10" s="20">
        <v>43601.512604166666</v>
      </c>
      <c r="K10" t="s">
        <v>25</v>
      </c>
      <c r="L10" t="s">
        <v>17</v>
      </c>
      <c r="M10">
        <v>0</v>
      </c>
      <c r="N10">
        <v>5.319</v>
      </c>
      <c r="O10" s="12">
        <v>1048</v>
      </c>
      <c r="P10">
        <v>0.89</v>
      </c>
      <c r="Q10" t="s">
        <v>18</v>
      </c>
      <c r="R10" t="s">
        <v>18</v>
      </c>
      <c r="S10" t="s">
        <v>18</v>
      </c>
      <c r="T10" t="s">
        <v>18</v>
      </c>
      <c r="V10">
        <v>19</v>
      </c>
      <c r="W10" t="s">
        <v>33</v>
      </c>
      <c r="X10" s="20">
        <v>43601.512604166666</v>
      </c>
      <c r="Y10" t="s">
        <v>25</v>
      </c>
      <c r="Z10" t="s">
        <v>17</v>
      </c>
      <c r="AA10">
        <v>0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J10">
        <v>19</v>
      </c>
      <c r="AK10" t="s">
        <v>33</v>
      </c>
      <c r="AL10" s="20">
        <v>43601.512604166666</v>
      </c>
      <c r="AM10" t="s">
        <v>25</v>
      </c>
      <c r="AN10" t="s">
        <v>17</v>
      </c>
      <c r="AO10">
        <v>0</v>
      </c>
      <c r="AP10">
        <v>9.8800000000000008</v>
      </c>
      <c r="AQ10" s="12">
        <v>2140</v>
      </c>
      <c r="AR10">
        <v>365.92</v>
      </c>
      <c r="AS10" t="s">
        <v>18</v>
      </c>
      <c r="AT10" t="s">
        <v>18</v>
      </c>
      <c r="AU10" t="s">
        <v>18</v>
      </c>
      <c r="AV10" t="s">
        <v>18</v>
      </c>
      <c r="AX10">
        <v>19</v>
      </c>
      <c r="AY10" t="s">
        <v>33</v>
      </c>
      <c r="AZ10" s="20">
        <v>43601.512604166666</v>
      </c>
      <c r="BA10" t="s">
        <v>25</v>
      </c>
      <c r="BB10" t="s">
        <v>17</v>
      </c>
      <c r="BC10">
        <v>0</v>
      </c>
      <c r="BD10">
        <v>2.6</v>
      </c>
      <c r="BE10" s="12">
        <v>5279406</v>
      </c>
      <c r="BF10">
        <v>937.72799999999995</v>
      </c>
      <c r="BG10" t="s">
        <v>18</v>
      </c>
      <c r="BH10" t="s">
        <v>18</v>
      </c>
      <c r="BI10" t="s">
        <v>18</v>
      </c>
      <c r="BJ10" t="s">
        <v>18</v>
      </c>
    </row>
    <row r="11" spans="1:62" x14ac:dyDescent="0.3">
      <c r="B11" s="22">
        <f>IF(O11&lt;44000,((0.00000002183*O11^2)+(0.002021*O11)+(-1.323)),(IF(O11&lt;5500000,((-0.0000000000996*O11^2)+(0.002295*O11)+(30.77)),((-0.00000001553*AC11^2)+(0.245*AC11)+(-142.5)))))</f>
        <v>0.95134575551999978</v>
      </c>
      <c r="C11" s="23">
        <f t="shared" si="1"/>
        <v>469.88888790817197</v>
      </c>
      <c r="H11">
        <v>20</v>
      </c>
      <c r="I11" t="s">
        <v>34</v>
      </c>
      <c r="J11" s="20">
        <v>43601.528923611113</v>
      </c>
      <c r="K11" t="s">
        <v>25</v>
      </c>
      <c r="L11" t="s">
        <v>17</v>
      </c>
      <c r="M11">
        <v>0</v>
      </c>
      <c r="N11">
        <v>5.3209999999999997</v>
      </c>
      <c r="O11" s="12">
        <v>1112</v>
      </c>
      <c r="P11">
        <v>1.0469999999999999</v>
      </c>
      <c r="Q11" t="s">
        <v>18</v>
      </c>
      <c r="R11" t="s">
        <v>18</v>
      </c>
      <c r="S11" t="s">
        <v>18</v>
      </c>
      <c r="T11" t="s">
        <v>18</v>
      </c>
      <c r="V11">
        <v>20</v>
      </c>
      <c r="W11" t="s">
        <v>34</v>
      </c>
      <c r="X11" s="20">
        <v>43601.528923611113</v>
      </c>
      <c r="Y11" t="s">
        <v>25</v>
      </c>
      <c r="Z11" t="s">
        <v>17</v>
      </c>
      <c r="AA11">
        <v>0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J11">
        <v>20</v>
      </c>
      <c r="AK11" t="s">
        <v>34</v>
      </c>
      <c r="AL11" s="20">
        <v>43601.528923611113</v>
      </c>
      <c r="AM11" t="s">
        <v>25</v>
      </c>
      <c r="AN11" t="s">
        <v>17</v>
      </c>
      <c r="AO11">
        <v>0</v>
      </c>
      <c r="AP11">
        <v>9.8800000000000008</v>
      </c>
      <c r="AQ11" s="12">
        <v>2526</v>
      </c>
      <c r="AR11">
        <v>448.36200000000002</v>
      </c>
      <c r="AS11" t="s">
        <v>18</v>
      </c>
      <c r="AT11" t="s">
        <v>18</v>
      </c>
      <c r="AU11" t="s">
        <v>18</v>
      </c>
      <c r="AV11" t="s">
        <v>18</v>
      </c>
      <c r="AX11">
        <v>20</v>
      </c>
      <c r="AY11" t="s">
        <v>34</v>
      </c>
      <c r="AZ11" s="20">
        <v>43601.528923611113</v>
      </c>
      <c r="BA11" t="s">
        <v>25</v>
      </c>
      <c r="BB11" t="s">
        <v>17</v>
      </c>
      <c r="BC11">
        <v>0</v>
      </c>
      <c r="BD11">
        <v>2.6030000000000002</v>
      </c>
      <c r="BE11" s="12">
        <v>5332616</v>
      </c>
      <c r="BF11">
        <v>935.45399999999995</v>
      </c>
      <c r="BG11" t="s">
        <v>18</v>
      </c>
      <c r="BH11" t="s">
        <v>18</v>
      </c>
      <c r="BI11" t="s">
        <v>18</v>
      </c>
      <c r="BJ11" t="s">
        <v>18</v>
      </c>
    </row>
    <row r="12" spans="1:62" x14ac:dyDescent="0.3">
      <c r="B12" s="22">
        <f t="shared" si="0"/>
        <v>0.82725134831999991</v>
      </c>
      <c r="C12" s="23">
        <f t="shared" si="1"/>
        <v>437.84191407026697</v>
      </c>
      <c r="H12">
        <v>21</v>
      </c>
      <c r="I12" t="s">
        <v>35</v>
      </c>
      <c r="J12" s="20">
        <v>43601.545289351852</v>
      </c>
      <c r="K12" t="s">
        <v>25</v>
      </c>
      <c r="L12" t="s">
        <v>17</v>
      </c>
      <c r="M12">
        <v>0</v>
      </c>
      <c r="N12">
        <v>5.3319999999999999</v>
      </c>
      <c r="O12" s="12">
        <v>1052</v>
      </c>
      <c r="P12">
        <v>0.89900000000000002</v>
      </c>
      <c r="Q12" t="s">
        <v>18</v>
      </c>
      <c r="R12" t="s">
        <v>18</v>
      </c>
      <c r="S12" t="s">
        <v>18</v>
      </c>
      <c r="T12" t="s">
        <v>18</v>
      </c>
      <c r="V12">
        <v>21</v>
      </c>
      <c r="W12" t="s">
        <v>35</v>
      </c>
      <c r="X12" s="20">
        <v>43601.545289351852</v>
      </c>
      <c r="Y12" t="s">
        <v>25</v>
      </c>
      <c r="Z12" t="s">
        <v>17</v>
      </c>
      <c r="AA12">
        <v>0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J12">
        <v>21</v>
      </c>
      <c r="AK12" t="s">
        <v>35</v>
      </c>
      <c r="AL12" s="20">
        <v>43601.545289351852</v>
      </c>
      <c r="AM12" t="s">
        <v>25</v>
      </c>
      <c r="AN12" t="s">
        <v>17</v>
      </c>
      <c r="AO12">
        <v>0</v>
      </c>
      <c r="AP12">
        <v>9.8849999999999998</v>
      </c>
      <c r="AQ12" s="12">
        <v>2331</v>
      </c>
      <c r="AR12">
        <v>406.82799999999997</v>
      </c>
      <c r="AS12" t="s">
        <v>18</v>
      </c>
      <c r="AT12" t="s">
        <v>18</v>
      </c>
      <c r="AU12" t="s">
        <v>18</v>
      </c>
      <c r="AV12" t="s">
        <v>18</v>
      </c>
      <c r="AX12">
        <v>21</v>
      </c>
      <c r="AY12" t="s">
        <v>35</v>
      </c>
      <c r="AZ12" s="20">
        <v>43601.545289351852</v>
      </c>
      <c r="BA12" t="s">
        <v>25</v>
      </c>
      <c r="BB12" t="s">
        <v>17</v>
      </c>
      <c r="BC12">
        <v>0</v>
      </c>
      <c r="BD12">
        <v>2.6059999999999999</v>
      </c>
      <c r="BE12" s="12">
        <v>5294425</v>
      </c>
      <c r="BF12">
        <v>937.04399999999998</v>
      </c>
      <c r="BG12" t="s">
        <v>18</v>
      </c>
      <c r="BH12" t="s">
        <v>18</v>
      </c>
      <c r="BI12" t="s">
        <v>18</v>
      </c>
      <c r="BJ12" t="s">
        <v>18</v>
      </c>
    </row>
    <row r="13" spans="1:62" x14ac:dyDescent="0.3">
      <c r="B13" s="22">
        <f t="shared" si="0"/>
        <v>1.0134519001200002</v>
      </c>
      <c r="C13" s="23">
        <f t="shared" si="1"/>
        <v>413.51953683008298</v>
      </c>
      <c r="H13">
        <v>22</v>
      </c>
      <c r="I13" t="s">
        <v>36</v>
      </c>
      <c r="J13" s="20">
        <v>43601.561620370368</v>
      </c>
      <c r="K13" t="s">
        <v>25</v>
      </c>
      <c r="L13" t="s">
        <v>17</v>
      </c>
      <c r="M13">
        <v>0</v>
      </c>
      <c r="N13">
        <v>5.3289999999999997</v>
      </c>
      <c r="O13" s="12">
        <v>1142</v>
      </c>
      <c r="P13">
        <v>1.1200000000000001</v>
      </c>
      <c r="Q13" t="s">
        <v>18</v>
      </c>
      <c r="R13" t="s">
        <v>18</v>
      </c>
      <c r="S13" t="s">
        <v>18</v>
      </c>
      <c r="T13" t="s">
        <v>18</v>
      </c>
      <c r="V13">
        <v>22</v>
      </c>
      <c r="W13" t="s">
        <v>36</v>
      </c>
      <c r="X13" s="20">
        <v>43601.561620370368</v>
      </c>
      <c r="Y13" t="s">
        <v>25</v>
      </c>
      <c r="Z13" t="s">
        <v>17</v>
      </c>
      <c r="AA13">
        <v>0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J13">
        <v>22</v>
      </c>
      <c r="AK13" t="s">
        <v>36</v>
      </c>
      <c r="AL13" s="20">
        <v>43601.561620370368</v>
      </c>
      <c r="AM13" t="s">
        <v>25</v>
      </c>
      <c r="AN13" t="s">
        <v>17</v>
      </c>
      <c r="AO13">
        <v>0</v>
      </c>
      <c r="AP13">
        <v>9.8879999999999999</v>
      </c>
      <c r="AQ13" s="12">
        <v>2183</v>
      </c>
      <c r="AR13">
        <v>375.27499999999998</v>
      </c>
      <c r="AS13" t="s">
        <v>18</v>
      </c>
      <c r="AT13" t="s">
        <v>18</v>
      </c>
      <c r="AU13" t="s">
        <v>18</v>
      </c>
      <c r="AV13" t="s">
        <v>18</v>
      </c>
      <c r="AX13">
        <v>22</v>
      </c>
      <c r="AY13" t="s">
        <v>36</v>
      </c>
      <c r="AZ13" s="20">
        <v>43601.561620370368</v>
      </c>
      <c r="BA13" t="s">
        <v>25</v>
      </c>
      <c r="BB13" t="s">
        <v>17</v>
      </c>
      <c r="BC13">
        <v>0</v>
      </c>
      <c r="BD13">
        <v>2.6040000000000001</v>
      </c>
      <c r="BE13" s="12">
        <v>5341122</v>
      </c>
      <c r="BF13">
        <v>935.12400000000002</v>
      </c>
      <c r="BG13" t="s">
        <v>18</v>
      </c>
      <c r="BH13" t="s">
        <v>18</v>
      </c>
      <c r="BI13" t="s">
        <v>18</v>
      </c>
      <c r="BJ13" t="s">
        <v>18</v>
      </c>
    </row>
    <row r="16" spans="1:62" x14ac:dyDescent="0.3">
      <c r="A16" s="20" t="s">
        <v>39</v>
      </c>
      <c r="B16">
        <v>1.8</v>
      </c>
      <c r="C16">
        <v>400</v>
      </c>
      <c r="N16" s="20" t="s">
        <v>39</v>
      </c>
      <c r="P16">
        <v>1.8</v>
      </c>
      <c r="BD16" s="20" t="s">
        <v>39</v>
      </c>
      <c r="BF16">
        <v>1.8</v>
      </c>
    </row>
    <row r="17" spans="1:58" x14ac:dyDescent="0.3">
      <c r="A17" t="s">
        <v>40</v>
      </c>
      <c r="B17">
        <f>AVERAGE(B6:B13)</f>
        <v>0.85958754462874998</v>
      </c>
      <c r="C17">
        <f>AVERAGE(C6:C13)</f>
        <v>457.2552792398576</v>
      </c>
      <c r="N17" t="s">
        <v>40</v>
      </c>
      <c r="O17">
        <f>AVERAGE(O6:O13)</f>
        <v>1067.625</v>
      </c>
      <c r="P17">
        <f>AVERAGE(P6:P13)</f>
        <v>0.93787500000000001</v>
      </c>
      <c r="BD17" t="s">
        <v>40</v>
      </c>
      <c r="BE17">
        <f>AVERAGE(BE6:BE13)</f>
        <v>5359901.625</v>
      </c>
      <c r="BF17">
        <f>AVERAGE(BF6:BF13)</f>
        <v>934.71499999999992</v>
      </c>
    </row>
    <row r="18" spans="1:58" x14ac:dyDescent="0.3">
      <c r="A18" t="s">
        <v>41</v>
      </c>
      <c r="B18">
        <f>STDEV(B6:B13)</f>
        <v>8.8626671974661883E-2</v>
      </c>
      <c r="C18">
        <f>STDEV(C6:C13)</f>
        <v>36.003579607225518</v>
      </c>
      <c r="N18" t="s">
        <v>41</v>
      </c>
      <c r="O18">
        <f>STDEV(O6:O13)</f>
        <v>42.855029709808527</v>
      </c>
      <c r="P18">
        <f>STDEV(P6:P13)</f>
        <v>0.10522145014885852</v>
      </c>
      <c r="BD18" t="s">
        <v>41</v>
      </c>
      <c r="BE18">
        <f>STDEV(BE6:BE13)</f>
        <v>96871.226326407908</v>
      </c>
      <c r="BF18">
        <f>STDEV(BF6:BF13)</f>
        <v>3.1614113936658104</v>
      </c>
    </row>
    <row r="19" spans="1:58" x14ac:dyDescent="0.3">
      <c r="A19" t="s">
        <v>42</v>
      </c>
      <c r="B19">
        <f>100*B18/B17</f>
        <v>10.310371820585084</v>
      </c>
      <c r="C19">
        <f>100*C18/C17</f>
        <v>7.8738466764294044</v>
      </c>
      <c r="N19" t="s">
        <v>42</v>
      </c>
      <c r="O19">
        <f>100*O18/O17</f>
        <v>4.014052659857958</v>
      </c>
      <c r="P19">
        <f>100*P18/P17</f>
        <v>11.21913369573328</v>
      </c>
      <c r="BD19" t="s">
        <v>42</v>
      </c>
      <c r="BE19">
        <f>100*BE18/BE17</f>
        <v>1.8073321695789129</v>
      </c>
      <c r="BF19">
        <f>100*BF18/BF17</f>
        <v>0.33822196002693983</v>
      </c>
    </row>
    <row r="20" spans="1:58" x14ac:dyDescent="0.3">
      <c r="A20" t="s">
        <v>43</v>
      </c>
      <c r="B20" s="28">
        <f t="shared" ref="B20:C20" si="2">TINV(0.02,6)</f>
        <v>3.1426684032909828</v>
      </c>
      <c r="C20" s="28">
        <f t="shared" si="2"/>
        <v>3.1426684032909828</v>
      </c>
      <c r="N20" t="s">
        <v>43</v>
      </c>
      <c r="O20" s="28"/>
      <c r="P20" s="28">
        <f t="shared" ref="P20" si="3">TINV(0.02,6)</f>
        <v>3.1426684032909828</v>
      </c>
      <c r="BD20" t="s">
        <v>43</v>
      </c>
      <c r="BE20" s="28"/>
      <c r="BF20" s="28">
        <f t="shared" ref="BF20" si="4">TINV(0.02,6)</f>
        <v>3.1426684032909828</v>
      </c>
    </row>
    <row r="21" spans="1:58" x14ac:dyDescent="0.3">
      <c r="A21" s="29" t="s">
        <v>44</v>
      </c>
      <c r="B21" s="30">
        <f>B18*B20</f>
        <v>0.27852424170360435</v>
      </c>
      <c r="C21" s="30">
        <f>C18*C20</f>
        <v>113.14731203699921</v>
      </c>
      <c r="N21" s="29" t="s">
        <v>44</v>
      </c>
      <c r="O21" s="30"/>
      <c r="P21" s="30">
        <f>P18*P20</f>
        <v>0.33067612673127494</v>
      </c>
      <c r="BD21" s="29" t="s">
        <v>44</v>
      </c>
      <c r="BE21" s="30"/>
      <c r="BF21" s="30">
        <f>BF18*BF20</f>
        <v>9.9352676966776539</v>
      </c>
    </row>
    <row r="22" spans="1:58" x14ac:dyDescent="0.3">
      <c r="A22" s="29" t="s">
        <v>45</v>
      </c>
      <c r="B22" s="30">
        <f>10*B18</f>
        <v>0.88626671974661886</v>
      </c>
      <c r="C22" s="30">
        <f>10*C18</f>
        <v>360.03579607225515</v>
      </c>
      <c r="N22" s="29" t="s">
        <v>45</v>
      </c>
      <c r="O22" s="30"/>
      <c r="P22" s="30">
        <f>10*P18</f>
        <v>1.0522145014885851</v>
      </c>
      <c r="BD22" s="29" t="s">
        <v>45</v>
      </c>
      <c r="BE22" s="30"/>
      <c r="BF22" s="30">
        <f>10*BF18</f>
        <v>31.614113936658104</v>
      </c>
    </row>
    <row r="23" spans="1:58" x14ac:dyDescent="0.3">
      <c r="A23" t="s">
        <v>46</v>
      </c>
      <c r="B23" s="31">
        <f>100*(B17-B16)/B16</f>
        <v>-52.24513640951389</v>
      </c>
      <c r="C23" s="31">
        <f>100*(C17-C16)/C16</f>
        <v>14.3138198099644</v>
      </c>
      <c r="N23" t="s">
        <v>46</v>
      </c>
      <c r="O23" s="31"/>
      <c r="P23" s="31">
        <f>100*(P17-P16)/P16</f>
        <v>-47.895833333333336</v>
      </c>
      <c r="BD23" t="s">
        <v>46</v>
      </c>
      <c r="BE23" s="31"/>
      <c r="BF23" s="31">
        <f>100*(BF17-BF16)/BF16</f>
        <v>51828.611111111109</v>
      </c>
    </row>
    <row r="24" spans="1:58" x14ac:dyDescent="0.3">
      <c r="A24" t="s">
        <v>47</v>
      </c>
      <c r="B24" s="31">
        <f>B16/B21</f>
        <v>6.4626331589316255</v>
      </c>
      <c r="C24" s="31">
        <f>C16/C21</f>
        <v>3.5352143395965063</v>
      </c>
      <c r="N24" t="s">
        <v>47</v>
      </c>
      <c r="O24" s="31"/>
      <c r="P24" s="31">
        <f>P16/P21</f>
        <v>5.4433926567150586</v>
      </c>
      <c r="BD24" t="s">
        <v>47</v>
      </c>
      <c r="BE24" s="31"/>
      <c r="BF24" s="31">
        <f>BF16/BF21</f>
        <v>0.18117277309014218</v>
      </c>
    </row>
    <row r="25" spans="1:58" x14ac:dyDescent="0.3">
      <c r="A25" t="s">
        <v>48</v>
      </c>
      <c r="B25" s="31">
        <f>100*B17/B16</f>
        <v>47.754863590486103</v>
      </c>
      <c r="C25" s="31">
        <f>100*C17/C16</f>
        <v>114.3138198099644</v>
      </c>
      <c r="N25" t="s">
        <v>48</v>
      </c>
      <c r="O25" s="31"/>
      <c r="P25" s="31">
        <f>100*P17/P16</f>
        <v>52.104166666666664</v>
      </c>
      <c r="BD25" t="s">
        <v>48</v>
      </c>
      <c r="BE25" s="31"/>
      <c r="BF25" s="31">
        <f>100*BF17/BF16</f>
        <v>51928.611111111102</v>
      </c>
    </row>
    <row r="26" spans="1:58" x14ac:dyDescent="0.3">
      <c r="A26" t="s">
        <v>49</v>
      </c>
      <c r="B26" s="31">
        <f>B17/B18</f>
        <v>9.6989712631261131</v>
      </c>
      <c r="C26" s="31">
        <f>C17/C18</f>
        <v>12.700272701442485</v>
      </c>
      <c r="N26" t="s">
        <v>49</v>
      </c>
      <c r="O26" s="31"/>
      <c r="P26" s="31">
        <f>P17/P18</f>
        <v>8.9133441771917497</v>
      </c>
      <c r="BD26" t="s">
        <v>49</v>
      </c>
      <c r="BE26" s="31"/>
      <c r="BF26" s="31">
        <f>BF17/BF18</f>
        <v>295.66382972895923</v>
      </c>
    </row>
    <row r="37" spans="1:64" x14ac:dyDescent="0.3">
      <c r="A37" t="s">
        <v>305</v>
      </c>
    </row>
    <row r="38" spans="1:64" s="1" customFormat="1" ht="144" x14ac:dyDescent="0.3">
      <c r="A38" s="1" t="s">
        <v>306</v>
      </c>
      <c r="B38" s="1" t="s">
        <v>307</v>
      </c>
      <c r="C38" s="1" t="s">
        <v>308</v>
      </c>
      <c r="D38" s="1" t="s">
        <v>309</v>
      </c>
      <c r="E38" s="1" t="s">
        <v>310</v>
      </c>
      <c r="F38" s="1" t="s">
        <v>311</v>
      </c>
      <c r="G38" s="1" t="s">
        <v>312</v>
      </c>
      <c r="H38" s="94" t="s">
        <v>313</v>
      </c>
      <c r="I38" s="94" t="s">
        <v>314</v>
      </c>
      <c r="J38" s="94" t="s">
        <v>315</v>
      </c>
      <c r="K38" s="94" t="s">
        <v>316</v>
      </c>
      <c r="L38" s="19" t="s">
        <v>317</v>
      </c>
      <c r="M38" s="19" t="s">
        <v>318</v>
      </c>
      <c r="N38" s="19" t="s">
        <v>319</v>
      </c>
      <c r="O38" s="19" t="s">
        <v>320</v>
      </c>
      <c r="P38" s="19" t="s">
        <v>321</v>
      </c>
      <c r="Q38" s="19" t="s">
        <v>322</v>
      </c>
      <c r="R38" s="95" t="s">
        <v>0</v>
      </c>
      <c r="S38" s="95" t="s">
        <v>62</v>
      </c>
      <c r="T38" s="96" t="s">
        <v>1</v>
      </c>
      <c r="U38" s="96" t="s">
        <v>323</v>
      </c>
      <c r="V38" s="97" t="s">
        <v>2</v>
      </c>
      <c r="W38" s="95" t="s">
        <v>324</v>
      </c>
      <c r="X38" s="95" t="s">
        <v>65</v>
      </c>
      <c r="Y38" s="95" t="s">
        <v>66</v>
      </c>
      <c r="Z38" s="95" t="s">
        <v>67</v>
      </c>
      <c r="AA38" s="95" t="s">
        <v>68</v>
      </c>
      <c r="AB38" s="95" t="s">
        <v>69</v>
      </c>
      <c r="AC38" s="95" t="s">
        <v>325</v>
      </c>
      <c r="AD38" s="97" t="s">
        <v>326</v>
      </c>
      <c r="AE38" s="1" t="s">
        <v>3</v>
      </c>
      <c r="AF38" s="1" t="s">
        <v>327</v>
      </c>
      <c r="AG38" s="3" t="s">
        <v>4</v>
      </c>
      <c r="AH38" s="98" t="s">
        <v>73</v>
      </c>
      <c r="AI38" s="1" t="s">
        <v>74</v>
      </c>
      <c r="AJ38" s="1" t="s">
        <v>75</v>
      </c>
      <c r="AK38" s="1" t="s">
        <v>76</v>
      </c>
      <c r="AL38" s="1" t="s">
        <v>77</v>
      </c>
      <c r="AM38" s="99" t="s">
        <v>78</v>
      </c>
      <c r="AN38" s="99" t="s">
        <v>79</v>
      </c>
      <c r="AO38" s="4" t="s">
        <v>328</v>
      </c>
      <c r="AP38" s="4" t="s">
        <v>329</v>
      </c>
      <c r="AQ38" s="5" t="s">
        <v>330</v>
      </c>
      <c r="AR38" s="5" t="s">
        <v>331</v>
      </c>
      <c r="AS38" s="1" t="s">
        <v>332</v>
      </c>
      <c r="AT38" s="1" t="s">
        <v>333</v>
      </c>
      <c r="AU38" s="99" t="s">
        <v>244</v>
      </c>
      <c r="AV38" s="100" t="s">
        <v>245</v>
      </c>
      <c r="AW38" s="1" t="s">
        <v>101</v>
      </c>
      <c r="AX38" s="1" t="s">
        <v>102</v>
      </c>
      <c r="AY38" s="1" t="s">
        <v>103</v>
      </c>
      <c r="AZ38" s="1" t="s">
        <v>104</v>
      </c>
      <c r="BA38" s="1" t="s">
        <v>105</v>
      </c>
      <c r="BB38" s="1" t="s">
        <v>106</v>
      </c>
      <c r="BC38" s="1" t="s">
        <v>107</v>
      </c>
      <c r="BD38" s="1" t="s">
        <v>108</v>
      </c>
      <c r="BG38" s="4" t="s">
        <v>334</v>
      </c>
      <c r="BH38" s="4" t="s">
        <v>335</v>
      </c>
      <c r="BI38" s="5" t="s">
        <v>336</v>
      </c>
      <c r="BJ38" s="5" t="s">
        <v>337</v>
      </c>
      <c r="BK38" s="1" t="s">
        <v>338</v>
      </c>
      <c r="BL38" s="1" t="s">
        <v>339</v>
      </c>
    </row>
    <row r="39" spans="1:64" x14ac:dyDescent="0.3">
      <c r="A39">
        <v>43570</v>
      </c>
      <c r="B39" t="s">
        <v>89</v>
      </c>
      <c r="C39" t="s">
        <v>300</v>
      </c>
      <c r="D39" t="s">
        <v>340</v>
      </c>
      <c r="E39">
        <v>43570</v>
      </c>
      <c r="F39" t="s">
        <v>89</v>
      </c>
      <c r="H39">
        <v>23</v>
      </c>
      <c r="I39">
        <v>30.37</v>
      </c>
      <c r="J39">
        <v>1.7015711467280001</v>
      </c>
      <c r="K39">
        <v>387.25265444013581</v>
      </c>
      <c r="L39">
        <v>1.3521612186195553</v>
      </c>
      <c r="M39">
        <v>408.06927384639721</v>
      </c>
      <c r="N39">
        <v>1.7015711467280001</v>
      </c>
      <c r="O39">
        <v>387.25265444013581</v>
      </c>
      <c r="R39">
        <v>43570</v>
      </c>
      <c r="T39">
        <v>23</v>
      </c>
      <c r="U39">
        <v>30.37</v>
      </c>
      <c r="V39" t="s">
        <v>89</v>
      </c>
      <c r="X39">
        <v>1000</v>
      </c>
      <c r="Y39">
        <v>3.79</v>
      </c>
      <c r="AB39">
        <v>6.8</v>
      </c>
      <c r="AC39">
        <v>1</v>
      </c>
      <c r="AE39">
        <v>23</v>
      </c>
      <c r="AF39">
        <v>0.94748446799999997</v>
      </c>
      <c r="AG39">
        <v>3.8992562504610513E-5</v>
      </c>
      <c r="AO39">
        <v>6.3269076999999995E-4</v>
      </c>
      <c r="AP39">
        <v>0.19094</v>
      </c>
      <c r="AQ39">
        <v>0.63269076999999996</v>
      </c>
      <c r="AR39">
        <v>190.94</v>
      </c>
      <c r="AS39">
        <v>1.3521612186195553</v>
      </c>
      <c r="AT39">
        <v>408.06927384639721</v>
      </c>
      <c r="BG39">
        <v>7.96183431538E-4</v>
      </c>
      <c r="BH39">
        <v>0.18119967999999997</v>
      </c>
      <c r="BI39">
        <v>0.79618343153800009</v>
      </c>
      <c r="BK39">
        <v>1.7015711467280001</v>
      </c>
      <c r="BL39">
        <v>387.25265444013581</v>
      </c>
    </row>
    <row r="40" spans="1:64" x14ac:dyDescent="0.3">
      <c r="A40">
        <v>43570</v>
      </c>
      <c r="B40" t="s">
        <v>89</v>
      </c>
      <c r="C40" t="s">
        <v>300</v>
      </c>
      <c r="D40" t="s">
        <v>340</v>
      </c>
      <c r="E40">
        <v>43570</v>
      </c>
      <c r="F40" t="s">
        <v>89</v>
      </c>
      <c r="H40">
        <v>23</v>
      </c>
      <c r="I40">
        <v>30.37</v>
      </c>
      <c r="J40">
        <v>1.517783476690858</v>
      </c>
      <c r="K40">
        <v>380.66998883641583</v>
      </c>
      <c r="L40">
        <v>1.1675837751866183</v>
      </c>
      <c r="M40">
        <v>373.23357067421603</v>
      </c>
      <c r="N40">
        <v>1.517783476690858</v>
      </c>
      <c r="O40">
        <v>380.66998883641583</v>
      </c>
      <c r="R40">
        <v>43570</v>
      </c>
      <c r="T40">
        <v>23</v>
      </c>
      <c r="U40">
        <v>30.37</v>
      </c>
      <c r="V40" t="s">
        <v>89</v>
      </c>
      <c r="X40">
        <v>1000</v>
      </c>
      <c r="Y40">
        <v>3.5</v>
      </c>
      <c r="AB40">
        <v>6.3</v>
      </c>
      <c r="AC40">
        <v>1</v>
      </c>
      <c r="AE40">
        <v>23</v>
      </c>
      <c r="AF40">
        <v>0.94748446799999997</v>
      </c>
      <c r="AG40">
        <v>3.8992562504610513E-5</v>
      </c>
      <c r="AO40">
        <v>5.4632499999999985E-4</v>
      </c>
      <c r="AP40">
        <v>0.17463999999999999</v>
      </c>
      <c r="AQ40">
        <v>0.54632499999999984</v>
      </c>
      <c r="AR40">
        <v>174.64</v>
      </c>
      <c r="AS40">
        <v>1.1675837751866183</v>
      </c>
      <c r="AT40">
        <v>373.23357067421603</v>
      </c>
      <c r="BG40">
        <v>7.1018720499999998E-4</v>
      </c>
      <c r="BH40">
        <v>0.17811957999999994</v>
      </c>
      <c r="BI40">
        <v>0.71018720499999999</v>
      </c>
      <c r="BK40">
        <v>1.517783476690858</v>
      </c>
      <c r="BL40">
        <v>380.66998883641583</v>
      </c>
    </row>
    <row r="41" spans="1:64" x14ac:dyDescent="0.3">
      <c r="A41">
        <v>43570</v>
      </c>
      <c r="B41" t="s">
        <v>89</v>
      </c>
      <c r="C41" t="s">
        <v>300</v>
      </c>
      <c r="D41" t="s">
        <v>340</v>
      </c>
      <c r="E41">
        <v>43570</v>
      </c>
      <c r="F41" t="s">
        <v>89</v>
      </c>
      <c r="H41">
        <v>23</v>
      </c>
      <c r="I41">
        <v>30.37</v>
      </c>
      <c r="J41">
        <v>1.7079090384341629</v>
      </c>
      <c r="K41">
        <v>498.18427619463188</v>
      </c>
      <c r="L41">
        <v>1.358524034604544</v>
      </c>
      <c r="M41">
        <v>429.48361407862137</v>
      </c>
      <c r="N41">
        <v>1.7079090384341629</v>
      </c>
      <c r="O41">
        <v>498.18427619463188</v>
      </c>
      <c r="R41">
        <v>43570</v>
      </c>
      <c r="T41">
        <v>23</v>
      </c>
      <c r="U41">
        <v>30.37</v>
      </c>
      <c r="V41" t="s">
        <v>89</v>
      </c>
      <c r="X41">
        <v>1000</v>
      </c>
      <c r="Y41">
        <v>3.8</v>
      </c>
      <c r="AB41">
        <v>7.1</v>
      </c>
      <c r="AC41">
        <v>1</v>
      </c>
      <c r="AE41">
        <v>23</v>
      </c>
      <c r="AF41">
        <v>0.94748446799999997</v>
      </c>
      <c r="AG41">
        <v>3.8992562504610513E-5</v>
      </c>
      <c r="AO41">
        <v>6.3566800000000004E-4</v>
      </c>
      <c r="AP41">
        <v>0.20095999999999997</v>
      </c>
      <c r="AQ41">
        <v>0.63566800000000001</v>
      </c>
      <c r="AR41">
        <v>200.95999999999998</v>
      </c>
      <c r="AS41">
        <v>1.358524034604544</v>
      </c>
      <c r="AT41">
        <v>429.48361407862137</v>
      </c>
      <c r="BG41">
        <v>7.9914899920000004E-4</v>
      </c>
      <c r="BH41">
        <v>0.23310577833999996</v>
      </c>
      <c r="BI41">
        <v>0.79914899920000004</v>
      </c>
      <c r="BK41">
        <v>1.7079090384341629</v>
      </c>
      <c r="BL41">
        <v>498.18427619463188</v>
      </c>
    </row>
    <row r="42" spans="1:64" x14ac:dyDescent="0.3">
      <c r="A42">
        <v>43570</v>
      </c>
      <c r="B42" t="s">
        <v>89</v>
      </c>
      <c r="C42" t="s">
        <v>300</v>
      </c>
      <c r="D42" t="s">
        <v>340</v>
      </c>
      <c r="E42">
        <v>43570</v>
      </c>
      <c r="F42" t="s">
        <v>89</v>
      </c>
      <c r="H42">
        <v>23</v>
      </c>
      <c r="I42">
        <v>30.37</v>
      </c>
      <c r="J42">
        <v>1.9107351546983828</v>
      </c>
      <c r="K42">
        <v>222.27717740552498</v>
      </c>
      <c r="L42">
        <v>1.5620664409047595</v>
      </c>
      <c r="M42">
        <v>171.20871873648485</v>
      </c>
      <c r="N42">
        <v>1.9107351546983828</v>
      </c>
      <c r="O42">
        <v>222.27717740552498</v>
      </c>
      <c r="R42">
        <v>43570</v>
      </c>
      <c r="T42">
        <v>23</v>
      </c>
      <c r="U42">
        <v>30.37</v>
      </c>
      <c r="V42" t="s">
        <v>89</v>
      </c>
      <c r="X42">
        <v>1000</v>
      </c>
      <c r="Y42">
        <v>4.12</v>
      </c>
      <c r="AB42">
        <v>3.02</v>
      </c>
      <c r="AC42">
        <v>1</v>
      </c>
      <c r="AE42">
        <v>23</v>
      </c>
      <c r="AF42">
        <v>0.94748446799999997</v>
      </c>
      <c r="AG42">
        <v>3.8992562504610513E-5</v>
      </c>
      <c r="AO42">
        <v>7.3090767999999993E-4</v>
      </c>
      <c r="AP42">
        <v>8.0110399999999998E-2</v>
      </c>
      <c r="AQ42">
        <v>0.73090767999999995</v>
      </c>
      <c r="AR42">
        <v>80.110399999999998</v>
      </c>
      <c r="AS42">
        <v>1.5620664409047595</v>
      </c>
      <c r="AT42">
        <v>171.20871873648485</v>
      </c>
      <c r="BG42">
        <v>8.9405351939200002E-4</v>
      </c>
      <c r="BH42">
        <v>0.10400588079999998</v>
      </c>
      <c r="BI42">
        <v>0.89405351939199995</v>
      </c>
      <c r="BK42">
        <v>1.9107351546983828</v>
      </c>
      <c r="BL42">
        <v>222.27717740552498</v>
      </c>
    </row>
    <row r="43" spans="1:64" x14ac:dyDescent="0.3">
      <c r="A43">
        <v>43578</v>
      </c>
      <c r="B43" t="s">
        <v>89</v>
      </c>
      <c r="C43" t="s">
        <v>300</v>
      </c>
      <c r="D43" t="s">
        <v>340</v>
      </c>
      <c r="E43">
        <v>43578</v>
      </c>
      <c r="F43" t="s">
        <v>89</v>
      </c>
      <c r="H43">
        <v>24.4</v>
      </c>
      <c r="I43">
        <v>29.94</v>
      </c>
      <c r="J43">
        <v>2.3179892503230244</v>
      </c>
      <c r="K43">
        <v>380.33974739329528</v>
      </c>
      <c r="L43">
        <v>1.9631793692111645</v>
      </c>
      <c r="M43">
        <v>355.17692955303664</v>
      </c>
      <c r="N43">
        <v>2.3179892503230244</v>
      </c>
      <c r="O43">
        <v>380.33974739329528</v>
      </c>
      <c r="R43">
        <v>43578</v>
      </c>
      <c r="T43">
        <v>24.4</v>
      </c>
      <c r="U43">
        <v>29.94</v>
      </c>
      <c r="V43" t="s">
        <v>89</v>
      </c>
      <c r="X43">
        <v>1000</v>
      </c>
      <c r="Y43">
        <v>4.6900000000000004</v>
      </c>
      <c r="AB43">
        <v>5.93</v>
      </c>
      <c r="AC43">
        <v>1</v>
      </c>
      <c r="AE43">
        <v>24.4</v>
      </c>
      <c r="AF43">
        <v>0.93311111599999996</v>
      </c>
      <c r="AG43">
        <v>3.8220364379380635E-5</v>
      </c>
      <c r="AO43">
        <v>9.0040117000000008E-4</v>
      </c>
      <c r="AP43">
        <v>0.16289989999999999</v>
      </c>
      <c r="AQ43">
        <v>0.90040117000000008</v>
      </c>
      <c r="AR43">
        <v>162.8999</v>
      </c>
      <c r="AS43">
        <v>1.9631793692111645</v>
      </c>
      <c r="AT43">
        <v>355.17692955303664</v>
      </c>
      <c r="BG43">
        <v>1.0631327252980001E-3</v>
      </c>
      <c r="BH43">
        <v>0.17444068479999997</v>
      </c>
      <c r="BI43">
        <v>1.0631327252980003</v>
      </c>
      <c r="BK43">
        <v>2.3179892503230244</v>
      </c>
      <c r="BL43">
        <v>380.33974739329528</v>
      </c>
    </row>
    <row r="44" spans="1:64" x14ac:dyDescent="0.3">
      <c r="A44">
        <v>43578</v>
      </c>
      <c r="B44" t="s">
        <v>89</v>
      </c>
      <c r="C44" t="s">
        <v>300</v>
      </c>
      <c r="D44" t="s">
        <v>340</v>
      </c>
      <c r="E44">
        <v>43578</v>
      </c>
      <c r="F44" t="s">
        <v>89</v>
      </c>
      <c r="H44">
        <v>24.4</v>
      </c>
      <c r="I44">
        <v>29.94</v>
      </c>
      <c r="J44">
        <v>1.9816736417011809</v>
      </c>
      <c r="K44">
        <v>396.04629571505484</v>
      </c>
      <c r="L44">
        <v>1.6260601342372771</v>
      </c>
      <c r="M44">
        <v>425.73268459239671</v>
      </c>
      <c r="N44">
        <v>1.9816736417011809</v>
      </c>
      <c r="O44">
        <v>396.04629571505484</v>
      </c>
      <c r="R44">
        <v>43578</v>
      </c>
      <c r="T44">
        <v>24.4</v>
      </c>
      <c r="U44">
        <v>29.94</v>
      </c>
      <c r="V44" t="s">
        <v>89</v>
      </c>
      <c r="X44">
        <v>1000</v>
      </c>
      <c r="Y44">
        <v>4.17</v>
      </c>
      <c r="AB44">
        <v>6.93</v>
      </c>
      <c r="AC44">
        <v>1</v>
      </c>
      <c r="AE44">
        <v>24.4</v>
      </c>
      <c r="AF44">
        <v>0.93311111599999996</v>
      </c>
      <c r="AG44">
        <v>3.8220364379380635E-5</v>
      </c>
      <c r="AO44">
        <v>7.4578332999999985E-4</v>
      </c>
      <c r="AP44">
        <v>0.19525989999999999</v>
      </c>
      <c r="AQ44">
        <v>0.74578332999999986</v>
      </c>
      <c r="AR44">
        <v>195.25989999999999</v>
      </c>
      <c r="AS44">
        <v>1.6260601342372771</v>
      </c>
      <c r="AT44">
        <v>425.73268459239671</v>
      </c>
      <c r="BG44">
        <v>9.0888346400199989E-4</v>
      </c>
      <c r="BH44">
        <v>0.18164440479999996</v>
      </c>
      <c r="BI44">
        <v>0.90888346400199982</v>
      </c>
      <c r="BK44">
        <v>1.9816736417011809</v>
      </c>
      <c r="BL44">
        <v>396.04629571505484</v>
      </c>
    </row>
    <row r="45" spans="1:64" x14ac:dyDescent="0.3">
      <c r="A45">
        <v>43578</v>
      </c>
      <c r="B45" t="s">
        <v>89</v>
      </c>
      <c r="C45" t="s">
        <v>300</v>
      </c>
      <c r="D45" t="s">
        <v>340</v>
      </c>
      <c r="E45">
        <v>43578</v>
      </c>
      <c r="F45" t="s">
        <v>89</v>
      </c>
      <c r="H45">
        <v>24.4</v>
      </c>
      <c r="I45">
        <v>29.94</v>
      </c>
      <c r="J45">
        <v>2.0010745364477533</v>
      </c>
      <c r="K45">
        <v>381.33204562529374</v>
      </c>
      <c r="L45">
        <v>1.6455189361633316</v>
      </c>
      <c r="M45">
        <v>357.91543475481154</v>
      </c>
      <c r="N45">
        <v>2.0010745364477533</v>
      </c>
      <c r="O45">
        <v>381.33204562529374</v>
      </c>
      <c r="P45">
        <f>STDEV(N39:N45)</f>
        <v>0.26152252227692169</v>
      </c>
      <c r="Q45">
        <f>STDEV(O39:O45)</f>
        <v>80.755642134200272</v>
      </c>
      <c r="R45">
        <v>43578</v>
      </c>
      <c r="T45">
        <v>24.4</v>
      </c>
      <c r="U45">
        <v>29.94</v>
      </c>
      <c r="V45" t="s">
        <v>89</v>
      </c>
      <c r="X45">
        <v>1000</v>
      </c>
      <c r="Y45">
        <v>4.2</v>
      </c>
      <c r="AB45">
        <v>5.97</v>
      </c>
      <c r="AC45">
        <v>1</v>
      </c>
      <c r="AE45">
        <v>24.4</v>
      </c>
      <c r="AF45">
        <v>0.93311111599999996</v>
      </c>
      <c r="AG45">
        <v>3.8220364379380635E-5</v>
      </c>
      <c r="AO45">
        <v>7.5470799999999977E-4</v>
      </c>
      <c r="AP45">
        <v>0.16415589999999999</v>
      </c>
      <c r="AQ45">
        <v>0.75470799999999971</v>
      </c>
      <c r="AR45">
        <v>164.1559</v>
      </c>
      <c r="AS45">
        <v>1.6455189361633316</v>
      </c>
      <c r="AT45">
        <v>357.91543475481154</v>
      </c>
      <c r="BG45">
        <v>9.1778157519999994E-4</v>
      </c>
      <c r="BH45">
        <v>0.17489579679999995</v>
      </c>
      <c r="BI45">
        <v>0.91778157519999992</v>
      </c>
      <c r="BK45">
        <v>2.0010745364477533</v>
      </c>
      <c r="BL45">
        <v>381.33204562529374</v>
      </c>
    </row>
    <row r="46" spans="1:64" x14ac:dyDescent="0.3">
      <c r="A46">
        <v>43578</v>
      </c>
      <c r="B46" t="s">
        <v>89</v>
      </c>
      <c r="C46" t="s">
        <v>300</v>
      </c>
      <c r="D46" t="s">
        <v>340</v>
      </c>
      <c r="E46">
        <v>43578</v>
      </c>
      <c r="F46" t="s">
        <v>89</v>
      </c>
      <c r="H46">
        <v>24.4</v>
      </c>
      <c r="I46">
        <v>29.94</v>
      </c>
      <c r="J46">
        <v>2.4667668652629717</v>
      </c>
      <c r="K46">
        <v>342.53624071664302</v>
      </c>
      <c r="L46">
        <v>2.112176967545738</v>
      </c>
      <c r="M46">
        <v>284.5115034852933</v>
      </c>
      <c r="N46">
        <v>2.4667668652629717</v>
      </c>
      <c r="O46">
        <v>342.53624071664302</v>
      </c>
      <c r="P46">
        <f t="shared" ref="P46:Q56" si="5">STDEV(N40:N46)</f>
        <v>0.32757318760362086</v>
      </c>
      <c r="Q46">
        <f t="shared" si="5"/>
        <v>81.666561362900325</v>
      </c>
      <c r="R46">
        <v>43578</v>
      </c>
      <c r="T46">
        <v>24.4</v>
      </c>
      <c r="U46">
        <v>29.94</v>
      </c>
      <c r="V46" t="s">
        <v>89</v>
      </c>
      <c r="X46">
        <v>1000</v>
      </c>
      <c r="Y46">
        <v>4.92</v>
      </c>
      <c r="AB46">
        <v>4.8600000000000003</v>
      </c>
      <c r="AC46">
        <v>1</v>
      </c>
      <c r="AE46">
        <v>24.4</v>
      </c>
      <c r="AF46">
        <v>0.93311111599999996</v>
      </c>
      <c r="AG46">
        <v>3.8220364379380635E-5</v>
      </c>
      <c r="AO46">
        <v>9.6873807999999992E-4</v>
      </c>
      <c r="AP46">
        <v>0.13048960000000001</v>
      </c>
      <c r="AQ46">
        <v>0.96873807999999995</v>
      </c>
      <c r="AR46">
        <v>130.4896</v>
      </c>
      <c r="AS46">
        <v>2.112176967545738</v>
      </c>
      <c r="AT46">
        <v>284.5115034852933</v>
      </c>
      <c r="BG46">
        <v>1.1313687411519998E-3</v>
      </c>
      <c r="BH46">
        <v>0.15710231920000001</v>
      </c>
      <c r="BI46">
        <v>1.1313687411519997</v>
      </c>
      <c r="BK46">
        <v>2.4667668652629717</v>
      </c>
      <c r="BL46">
        <v>342.53624071664302</v>
      </c>
    </row>
    <row r="47" spans="1:64" x14ac:dyDescent="0.3">
      <c r="A47">
        <v>43585</v>
      </c>
      <c r="B47" t="s">
        <v>89</v>
      </c>
      <c r="C47" t="s">
        <v>300</v>
      </c>
      <c r="D47" t="s">
        <v>340</v>
      </c>
      <c r="E47">
        <v>43585</v>
      </c>
      <c r="F47" t="s">
        <v>89</v>
      </c>
      <c r="H47">
        <v>23</v>
      </c>
      <c r="I47">
        <v>30.07</v>
      </c>
      <c r="J47">
        <v>1.93117418124674</v>
      </c>
      <c r="K47">
        <v>384.56103468076356</v>
      </c>
      <c r="L47">
        <v>1.5787757778201574</v>
      </c>
      <c r="M47">
        <v>376.53287853181382</v>
      </c>
      <c r="N47">
        <v>1.93117418124674</v>
      </c>
      <c r="O47">
        <v>384.56103468076356</v>
      </c>
      <c r="P47">
        <f t="shared" si="5"/>
        <v>0.25915343100615268</v>
      </c>
      <c r="Q47">
        <f t="shared" si="5"/>
        <v>81.751572638026161</v>
      </c>
      <c r="R47">
        <v>43585</v>
      </c>
      <c r="T47">
        <v>23</v>
      </c>
      <c r="U47">
        <v>30.07</v>
      </c>
      <c r="V47" t="s">
        <v>89</v>
      </c>
      <c r="X47">
        <v>1000</v>
      </c>
      <c r="Y47">
        <v>4.12</v>
      </c>
      <c r="AB47">
        <v>6.29</v>
      </c>
      <c r="AC47">
        <v>1</v>
      </c>
      <c r="AE47">
        <v>23</v>
      </c>
      <c r="AF47">
        <v>0.937456548</v>
      </c>
      <c r="AG47">
        <v>3.8579875742349797E-5</v>
      </c>
      <c r="AO47">
        <v>7.3090767999999993E-4</v>
      </c>
      <c r="AP47">
        <v>0.1743191</v>
      </c>
      <c r="AQ47">
        <v>0.73090767999999995</v>
      </c>
      <c r="AR47">
        <v>174.31909999999999</v>
      </c>
      <c r="AS47">
        <v>1.5787757778201574</v>
      </c>
      <c r="AT47">
        <v>376.53287853181382</v>
      </c>
      <c r="BG47">
        <v>8.9405351939200002E-4</v>
      </c>
      <c r="BH47">
        <v>0.17803580319999995</v>
      </c>
      <c r="BI47">
        <v>0.89405351939199995</v>
      </c>
      <c r="BK47">
        <v>1.93117418124674</v>
      </c>
      <c r="BL47">
        <v>384.56103468076356</v>
      </c>
    </row>
    <row r="48" spans="1:64" x14ac:dyDescent="0.3">
      <c r="A48">
        <v>43585</v>
      </c>
      <c r="B48" t="s">
        <v>89</v>
      </c>
      <c r="C48" t="s">
        <v>300</v>
      </c>
      <c r="D48" t="s">
        <v>340</v>
      </c>
      <c r="E48">
        <v>43585</v>
      </c>
      <c r="F48" t="s">
        <v>89</v>
      </c>
      <c r="H48">
        <v>23</v>
      </c>
      <c r="I48">
        <v>30.07</v>
      </c>
      <c r="J48">
        <v>3.6618856411777716</v>
      </c>
      <c r="K48">
        <v>383.4358314714554</v>
      </c>
      <c r="L48">
        <v>3.3092518023117221</v>
      </c>
      <c r="M48">
        <v>372.38304660728397</v>
      </c>
      <c r="N48">
        <v>3.6618856411777716</v>
      </c>
      <c r="O48">
        <v>383.4358314714554</v>
      </c>
      <c r="P48">
        <f t="shared" si="5"/>
        <v>0.62675395060706429</v>
      </c>
      <c r="Q48">
        <f t="shared" si="5"/>
        <v>61.19511949869004</v>
      </c>
      <c r="R48">
        <v>43585</v>
      </c>
      <c r="T48">
        <v>23</v>
      </c>
      <c r="U48">
        <v>30.07</v>
      </c>
      <c r="V48" t="s">
        <v>89</v>
      </c>
      <c r="X48">
        <v>1000</v>
      </c>
      <c r="Y48">
        <v>6.82</v>
      </c>
      <c r="AB48">
        <v>6.23</v>
      </c>
      <c r="AC48">
        <v>1</v>
      </c>
      <c r="AE48">
        <v>23</v>
      </c>
      <c r="AF48">
        <v>0.937456548</v>
      </c>
      <c r="AG48">
        <v>3.8579875742349797E-5</v>
      </c>
      <c r="AO48">
        <v>1.5320462800000002E-3</v>
      </c>
      <c r="AP48">
        <v>0.17239790000000002</v>
      </c>
      <c r="AQ48">
        <v>1.5320462800000003</v>
      </c>
      <c r="AR48">
        <v>172.39790000000002</v>
      </c>
      <c r="AS48">
        <v>3.3092518023117221</v>
      </c>
      <c r="AT48">
        <v>372.38304660728397</v>
      </c>
      <c r="BG48">
        <v>1.6953011162320001E-3</v>
      </c>
      <c r="BH48">
        <v>0.17751488079999994</v>
      </c>
      <c r="BI48">
        <v>1.6953011162320002</v>
      </c>
      <c r="BK48">
        <v>3.6618856411777716</v>
      </c>
      <c r="BL48">
        <v>383.4358314714554</v>
      </c>
    </row>
    <row r="49" spans="1:64" x14ac:dyDescent="0.3">
      <c r="A49">
        <v>43585</v>
      </c>
      <c r="B49" t="s">
        <v>89</v>
      </c>
      <c r="C49" t="s">
        <v>300</v>
      </c>
      <c r="D49" t="s">
        <v>340</v>
      </c>
      <c r="E49">
        <v>43585</v>
      </c>
      <c r="F49" t="s">
        <v>89</v>
      </c>
      <c r="H49">
        <v>23</v>
      </c>
      <c r="I49">
        <v>30.07</v>
      </c>
      <c r="J49">
        <v>2.1297891873881074</v>
      </c>
      <c r="K49">
        <v>372.28224966954082</v>
      </c>
      <c r="L49">
        <v>1.7779401699326343</v>
      </c>
      <c r="M49">
        <v>340.41409104168952</v>
      </c>
      <c r="N49">
        <v>2.1297891873881074</v>
      </c>
      <c r="O49">
        <v>372.28224966954082</v>
      </c>
      <c r="P49">
        <f t="shared" si="5"/>
        <v>0.60783655303182371</v>
      </c>
      <c r="Q49">
        <f t="shared" si="5"/>
        <v>16.837176300540481</v>
      </c>
      <c r="R49">
        <v>43585</v>
      </c>
      <c r="T49">
        <v>23</v>
      </c>
      <c r="U49">
        <v>30.07</v>
      </c>
      <c r="V49" t="s">
        <v>89</v>
      </c>
      <c r="X49">
        <v>1000</v>
      </c>
      <c r="Y49">
        <v>4.43</v>
      </c>
      <c r="AB49">
        <v>5.76</v>
      </c>
      <c r="AC49">
        <v>1</v>
      </c>
      <c r="AE49">
        <v>23</v>
      </c>
      <c r="AF49">
        <v>0.937456548</v>
      </c>
      <c r="AG49">
        <v>3.8579875742349797E-5</v>
      </c>
      <c r="AO49">
        <v>8.2311252999999981E-4</v>
      </c>
      <c r="AP49">
        <v>0.1575976</v>
      </c>
      <c r="AQ49">
        <v>0.82311252999999973</v>
      </c>
      <c r="AR49">
        <v>157.5976</v>
      </c>
      <c r="AS49">
        <v>1.7779401699326343</v>
      </c>
      <c r="AT49">
        <v>340.41409104168952</v>
      </c>
      <c r="BG49">
        <v>9.8600402648199993E-4</v>
      </c>
      <c r="BH49">
        <v>0.17235123519999995</v>
      </c>
      <c r="BI49">
        <v>0.98600402648199992</v>
      </c>
      <c r="BK49">
        <v>2.1297891873881074</v>
      </c>
      <c r="BL49">
        <v>372.28224966954082</v>
      </c>
    </row>
    <row r="50" spans="1:64" x14ac:dyDescent="0.3">
      <c r="A50">
        <v>43585</v>
      </c>
      <c r="B50" t="s">
        <v>89</v>
      </c>
      <c r="C50" t="s">
        <v>300</v>
      </c>
      <c r="D50" t="s">
        <v>340</v>
      </c>
      <c r="E50">
        <v>43585</v>
      </c>
      <c r="F50" t="s">
        <v>89</v>
      </c>
      <c r="H50">
        <v>23</v>
      </c>
      <c r="I50">
        <v>30.07</v>
      </c>
      <c r="J50">
        <v>2.2130867866847366</v>
      </c>
      <c r="K50">
        <v>290.57113631466945</v>
      </c>
      <c r="L50">
        <v>1.8614236555070707</v>
      </c>
      <c r="M50">
        <v>226.21357634614071</v>
      </c>
      <c r="N50">
        <v>2.2130867866847366</v>
      </c>
      <c r="O50">
        <v>290.57113631466945</v>
      </c>
      <c r="P50">
        <f t="shared" si="5"/>
        <v>0.61021165595586024</v>
      </c>
      <c r="Q50">
        <f t="shared" si="5"/>
        <v>36.623915608540578</v>
      </c>
      <c r="R50">
        <v>43585</v>
      </c>
      <c r="T50">
        <v>23</v>
      </c>
      <c r="U50">
        <v>30.07</v>
      </c>
      <c r="V50" t="s">
        <v>89</v>
      </c>
      <c r="X50">
        <v>1000</v>
      </c>
      <c r="Y50">
        <v>4.5599999999999996</v>
      </c>
      <c r="AB50">
        <v>3.95</v>
      </c>
      <c r="AC50">
        <v>1</v>
      </c>
      <c r="AE50">
        <v>23</v>
      </c>
      <c r="AF50">
        <v>0.937456548</v>
      </c>
      <c r="AG50">
        <v>3.8579875742349797E-5</v>
      </c>
      <c r="AO50">
        <v>8.6176191999999974E-4</v>
      </c>
      <c r="AP50">
        <v>0.10472750000000002</v>
      </c>
      <c r="AQ50">
        <v>0.86176191999999974</v>
      </c>
      <c r="AR50">
        <v>104.72750000000002</v>
      </c>
      <c r="AS50">
        <v>1.8614236555070707</v>
      </c>
      <c r="AT50">
        <v>226.21357634614071</v>
      </c>
      <c r="BG50">
        <v>1.0245673588479998E-3</v>
      </c>
      <c r="BH50">
        <v>0.13452238</v>
      </c>
      <c r="BI50">
        <v>1.024567358848</v>
      </c>
      <c r="BK50">
        <v>2.2130867866847366</v>
      </c>
      <c r="BL50">
        <v>290.57113631466945</v>
      </c>
    </row>
    <row r="51" spans="1:64" x14ac:dyDescent="0.3">
      <c r="A51">
        <v>43592</v>
      </c>
      <c r="B51" t="s">
        <v>89</v>
      </c>
      <c r="C51" t="s">
        <v>300</v>
      </c>
      <c r="D51" t="s">
        <v>340</v>
      </c>
      <c r="E51">
        <v>43592</v>
      </c>
      <c r="F51" t="s">
        <v>89</v>
      </c>
      <c r="H51">
        <v>21.6</v>
      </c>
      <c r="I51">
        <v>29.99</v>
      </c>
      <c r="J51">
        <v>2.0234634566060703</v>
      </c>
      <c r="K51">
        <v>521.94289442732406</v>
      </c>
      <c r="L51">
        <v>1.6720115941792857</v>
      </c>
      <c r="M51">
        <v>450.82321638208447</v>
      </c>
      <c r="N51">
        <v>2.0234634566060703</v>
      </c>
      <c r="O51">
        <v>521.94289442732406</v>
      </c>
      <c r="P51">
        <f t="shared" si="5"/>
        <v>0.60630474018272107</v>
      </c>
      <c r="Q51">
        <f t="shared" si="5"/>
        <v>70.24140346944418</v>
      </c>
      <c r="R51">
        <v>43592</v>
      </c>
      <c r="T51">
        <v>21.6</v>
      </c>
      <c r="U51">
        <v>29.99</v>
      </c>
      <c r="V51" t="s">
        <v>89</v>
      </c>
      <c r="X51">
        <v>1000</v>
      </c>
      <c r="Y51">
        <v>4.2699999999999996</v>
      </c>
      <c r="AB51">
        <v>7.34</v>
      </c>
      <c r="AC51">
        <v>1</v>
      </c>
      <c r="AE51">
        <v>21.6</v>
      </c>
      <c r="AF51">
        <v>0.93478243599999977</v>
      </c>
      <c r="AG51">
        <v>3.8652549454991083E-5</v>
      </c>
      <c r="AO51">
        <v>7.7553012999999988E-4</v>
      </c>
      <c r="AP51">
        <v>0.2091056</v>
      </c>
      <c r="AQ51">
        <v>0.77553012999999982</v>
      </c>
      <c r="AR51">
        <v>209.10560000000001</v>
      </c>
      <c r="AS51">
        <v>1.6720115941792857</v>
      </c>
      <c r="AT51">
        <v>450.82321638208447</v>
      </c>
      <c r="BG51">
        <v>9.3854425592199988E-4</v>
      </c>
      <c r="BH51">
        <v>0.24209308247439998</v>
      </c>
      <c r="BI51">
        <v>0.93854425592199997</v>
      </c>
      <c r="BK51">
        <v>2.0234634566060703</v>
      </c>
      <c r="BL51">
        <v>521.94289442732406</v>
      </c>
    </row>
    <row r="52" spans="1:64" x14ac:dyDescent="0.3">
      <c r="A52">
        <v>43592</v>
      </c>
      <c r="B52" t="s">
        <v>89</v>
      </c>
      <c r="C52" t="s">
        <v>300</v>
      </c>
      <c r="D52" t="s">
        <v>340</v>
      </c>
      <c r="E52">
        <v>43592</v>
      </c>
      <c r="F52" t="s">
        <v>89</v>
      </c>
      <c r="H52">
        <v>21.6</v>
      </c>
      <c r="I52">
        <v>29.99</v>
      </c>
      <c r="J52">
        <v>1.9275432280628724</v>
      </c>
      <c r="K52">
        <v>370.15424515081219</v>
      </c>
      <c r="L52">
        <v>1.5758073967218826</v>
      </c>
      <c r="M52">
        <v>336.43554823749122</v>
      </c>
      <c r="N52">
        <v>1.9275432280628724</v>
      </c>
      <c r="O52">
        <v>370.15424515081219</v>
      </c>
      <c r="P52">
        <f t="shared" si="5"/>
        <v>0.61388147816380767</v>
      </c>
      <c r="Q52">
        <f t="shared" si="5"/>
        <v>70.396087705796518</v>
      </c>
      <c r="R52">
        <v>43592</v>
      </c>
      <c r="T52">
        <v>21.6</v>
      </c>
      <c r="U52">
        <v>29.99</v>
      </c>
      <c r="V52" t="s">
        <v>89</v>
      </c>
      <c r="X52">
        <v>1000</v>
      </c>
      <c r="Y52">
        <v>4.12</v>
      </c>
      <c r="AB52">
        <v>5.71</v>
      </c>
      <c r="AC52">
        <v>1</v>
      </c>
      <c r="AE52">
        <v>21.6</v>
      </c>
      <c r="AF52">
        <v>0.93478243599999977</v>
      </c>
      <c r="AG52">
        <v>3.8652549454991083E-5</v>
      </c>
      <c r="AO52">
        <v>7.3090767999999993E-4</v>
      </c>
      <c r="AP52">
        <v>0.1560491</v>
      </c>
      <c r="AQ52">
        <v>0.73090767999999995</v>
      </c>
      <c r="AR52">
        <v>156.04910000000001</v>
      </c>
      <c r="AS52">
        <v>1.5758073967218826</v>
      </c>
      <c r="AT52">
        <v>336.43554823749122</v>
      </c>
      <c r="BG52">
        <v>8.9405351939200002E-4</v>
      </c>
      <c r="BH52">
        <v>0.17168886319999993</v>
      </c>
      <c r="BI52">
        <v>0.89405351939199995</v>
      </c>
      <c r="BK52">
        <v>1.9275432280628724</v>
      </c>
      <c r="BL52">
        <v>370.15424515081219</v>
      </c>
    </row>
    <row r="53" spans="1:64" x14ac:dyDescent="0.3">
      <c r="A53">
        <v>43592</v>
      </c>
      <c r="B53" t="s">
        <v>89</v>
      </c>
      <c r="C53" t="s">
        <v>300</v>
      </c>
      <c r="D53" t="s">
        <v>340</v>
      </c>
      <c r="E53">
        <v>43592</v>
      </c>
      <c r="F53" t="s">
        <v>89</v>
      </c>
      <c r="H53">
        <v>21.6</v>
      </c>
      <c r="I53">
        <v>29.99</v>
      </c>
      <c r="J53">
        <v>2.5159458749434713</v>
      </c>
      <c r="K53">
        <v>321.81994311012852</v>
      </c>
      <c r="L53">
        <v>2.165401623269267</v>
      </c>
      <c r="M53">
        <v>259.54540665806593</v>
      </c>
      <c r="N53">
        <v>2.5159458749434713</v>
      </c>
      <c r="O53">
        <v>321.81994311012852</v>
      </c>
      <c r="P53">
        <f t="shared" si="5"/>
        <v>0.6159022962647368</v>
      </c>
      <c r="Q53">
        <f t="shared" si="5"/>
        <v>72.670705658276788</v>
      </c>
      <c r="R53">
        <v>43592</v>
      </c>
      <c r="T53">
        <v>21.6</v>
      </c>
      <c r="U53">
        <v>29.99</v>
      </c>
      <c r="V53" t="s">
        <v>89</v>
      </c>
      <c r="X53">
        <v>1000</v>
      </c>
      <c r="Y53">
        <v>5.04</v>
      </c>
      <c r="AB53">
        <v>4.51</v>
      </c>
      <c r="AC53">
        <v>1</v>
      </c>
      <c r="AE53">
        <v>21.6</v>
      </c>
      <c r="AF53">
        <v>0.93478243599999977</v>
      </c>
      <c r="AG53">
        <v>3.8652549454991083E-5</v>
      </c>
      <c r="AO53">
        <v>1.0043795199999998E-3</v>
      </c>
      <c r="AP53">
        <v>0.12038509999999999</v>
      </c>
      <c r="AQ53">
        <v>1.0043795199999996</v>
      </c>
      <c r="AR53">
        <v>120.38509999999999</v>
      </c>
      <c r="AS53">
        <v>2.165401623269267</v>
      </c>
      <c r="AT53">
        <v>259.54540665806593</v>
      </c>
      <c r="BG53">
        <v>1.1669726682880001E-3</v>
      </c>
      <c r="BH53">
        <v>0.14926993519999993</v>
      </c>
      <c r="BI53">
        <v>1.1669726682879999</v>
      </c>
      <c r="BK53">
        <v>2.5159458749434713</v>
      </c>
      <c r="BL53">
        <v>321.81994311012852</v>
      </c>
    </row>
    <row r="54" spans="1:64" x14ac:dyDescent="0.3">
      <c r="A54">
        <v>43594</v>
      </c>
      <c r="B54" t="s">
        <v>89</v>
      </c>
      <c r="C54" t="s">
        <v>300</v>
      </c>
      <c r="D54" t="s">
        <v>340</v>
      </c>
      <c r="E54">
        <v>43594</v>
      </c>
      <c r="F54" t="s">
        <v>89</v>
      </c>
      <c r="H54">
        <v>20.399999999999999</v>
      </c>
      <c r="I54">
        <v>29.89</v>
      </c>
      <c r="J54">
        <v>1.7092954146799766</v>
      </c>
      <c r="K54">
        <v>648.32980344034206</v>
      </c>
      <c r="L54">
        <v>1.3569618091228994</v>
      </c>
      <c r="M54">
        <v>571.54753494442423</v>
      </c>
      <c r="N54">
        <v>1.7092954146799766</v>
      </c>
      <c r="O54">
        <v>648.32980344034206</v>
      </c>
      <c r="P54">
        <f t="shared" si="5"/>
        <v>0.64563685022173178</v>
      </c>
      <c r="Q54">
        <f t="shared" si="5"/>
        <v>125.7478318755556</v>
      </c>
      <c r="R54">
        <v>43594</v>
      </c>
      <c r="T54">
        <v>20.399999999999999</v>
      </c>
      <c r="U54">
        <v>29.89</v>
      </c>
      <c r="V54" t="s">
        <v>89</v>
      </c>
      <c r="X54">
        <v>1000</v>
      </c>
      <c r="Y54">
        <v>3.78</v>
      </c>
      <c r="AB54">
        <v>8.91</v>
      </c>
      <c r="AE54">
        <v>20.399999999999999</v>
      </c>
      <c r="AF54">
        <v>0.93143979600000004</v>
      </c>
      <c r="AG54">
        <v>3.8671776155035902E-5</v>
      </c>
      <c r="AO54">
        <v>6.2971347999999988E-4</v>
      </c>
      <c r="AP54">
        <v>0.2652331</v>
      </c>
      <c r="AQ54">
        <v>0.62971347999999994</v>
      </c>
      <c r="AR54">
        <v>265.23309999999998</v>
      </c>
      <c r="AS54">
        <v>1.3569618091228994</v>
      </c>
      <c r="AT54">
        <v>571.54753494442423</v>
      </c>
      <c r="AU54">
        <v>1.6927781720430104</v>
      </c>
      <c r="AV54">
        <v>712.99220430107528</v>
      </c>
      <c r="BG54">
        <v>7.9321787591199997E-4</v>
      </c>
      <c r="BH54">
        <v>0.30086478039940001</v>
      </c>
      <c r="BI54">
        <v>0.79321787591199999</v>
      </c>
      <c r="BK54">
        <v>1.7092954146799766</v>
      </c>
      <c r="BL54">
        <v>648.32980344034206</v>
      </c>
    </row>
    <row r="55" spans="1:64" x14ac:dyDescent="0.3">
      <c r="A55">
        <v>43594</v>
      </c>
      <c r="B55" t="s">
        <v>89</v>
      </c>
      <c r="C55" t="s">
        <v>300</v>
      </c>
      <c r="D55" t="s">
        <v>340</v>
      </c>
      <c r="E55">
        <v>43594</v>
      </c>
      <c r="F55" t="s">
        <v>89</v>
      </c>
      <c r="H55">
        <v>20.399999999999999</v>
      </c>
      <c r="I55">
        <v>29.89</v>
      </c>
      <c r="J55">
        <v>1.8051547264591508</v>
      </c>
      <c r="K55">
        <v>306.50484440678588</v>
      </c>
      <c r="L55">
        <v>1.4531841156723087</v>
      </c>
      <c r="M55">
        <v>242.37723904265891</v>
      </c>
      <c r="N55">
        <v>1.8051547264591508</v>
      </c>
      <c r="O55">
        <v>306.50484440678588</v>
      </c>
      <c r="P55">
        <f t="shared" si="5"/>
        <v>0.27132493803157187</v>
      </c>
      <c r="Q55">
        <f t="shared" si="5"/>
        <v>132.2133676668912</v>
      </c>
      <c r="R55">
        <v>43594</v>
      </c>
      <c r="T55">
        <v>20.399999999999999</v>
      </c>
      <c r="U55">
        <v>29.89</v>
      </c>
      <c r="V55" t="s">
        <v>89</v>
      </c>
      <c r="X55">
        <v>1000</v>
      </c>
      <c r="Y55">
        <v>3.93</v>
      </c>
      <c r="AB55">
        <v>4.2300000000000004</v>
      </c>
      <c r="AC55">
        <v>1</v>
      </c>
      <c r="AE55">
        <v>20.399999999999999</v>
      </c>
      <c r="AF55">
        <v>0.93143979600000004</v>
      </c>
      <c r="AG55">
        <v>3.8671776155035902E-5</v>
      </c>
      <c r="AO55">
        <v>6.7436652999999986E-4</v>
      </c>
      <c r="AP55">
        <v>0.11247790000000001</v>
      </c>
      <c r="AQ55">
        <v>0.67436652999999991</v>
      </c>
      <c r="AR55">
        <v>112.47790000000001</v>
      </c>
      <c r="AS55">
        <v>1.4531841156723087</v>
      </c>
      <c r="AT55">
        <v>242.37723904265891</v>
      </c>
      <c r="BG55">
        <v>8.3770247408200007E-4</v>
      </c>
      <c r="BH55">
        <v>0.14223704079999999</v>
      </c>
      <c r="BI55">
        <v>0.83770247408200005</v>
      </c>
      <c r="BK55">
        <v>1.8051547264591508</v>
      </c>
      <c r="BL55">
        <v>306.50484440678588</v>
      </c>
    </row>
    <row r="56" spans="1:64" x14ac:dyDescent="0.3">
      <c r="A56">
        <v>43594</v>
      </c>
      <c r="B56" t="s">
        <v>89</v>
      </c>
      <c r="C56" t="s">
        <v>300</v>
      </c>
      <c r="D56" t="s">
        <v>340</v>
      </c>
      <c r="E56">
        <v>43594</v>
      </c>
      <c r="F56" t="s">
        <v>89</v>
      </c>
      <c r="H56">
        <v>20.399999999999999</v>
      </c>
      <c r="I56">
        <v>29.89</v>
      </c>
      <c r="J56">
        <v>1.6581728345307183</v>
      </c>
      <c r="K56">
        <v>325.72012939966913</v>
      </c>
      <c r="L56">
        <v>1.3056313506499828</v>
      </c>
      <c r="M56">
        <v>264.34674974198487</v>
      </c>
      <c r="N56">
        <v>1.6581728345307183</v>
      </c>
      <c r="O56">
        <v>325.72012939966913</v>
      </c>
      <c r="P56">
        <f t="shared" si="5"/>
        <v>0.30376117015385412</v>
      </c>
      <c r="Q56">
        <f t="shared" si="5"/>
        <v>135.24188934862826</v>
      </c>
      <c r="R56">
        <v>43594</v>
      </c>
      <c r="T56">
        <v>20.399999999999999</v>
      </c>
      <c r="U56">
        <v>29.89</v>
      </c>
      <c r="V56" t="s">
        <v>89</v>
      </c>
      <c r="X56">
        <v>1000</v>
      </c>
      <c r="Y56">
        <v>3.7</v>
      </c>
      <c r="AB56">
        <v>4.59</v>
      </c>
      <c r="AC56">
        <v>1</v>
      </c>
      <c r="AE56">
        <v>20.399999999999999</v>
      </c>
      <c r="AF56">
        <v>0.93143979600000004</v>
      </c>
      <c r="AG56">
        <v>3.8671776155035902E-5</v>
      </c>
      <c r="AO56">
        <v>6.0589299999999993E-4</v>
      </c>
      <c r="AP56">
        <v>0.12267310000000001</v>
      </c>
      <c r="AQ56">
        <v>0.6058929999999999</v>
      </c>
      <c r="AR56">
        <v>122.67310000000001</v>
      </c>
      <c r="AS56">
        <v>1.3056313506499828</v>
      </c>
      <c r="AT56">
        <v>264.34674974198487</v>
      </c>
      <c r="BG56">
        <v>7.6949386419999997E-4</v>
      </c>
      <c r="BH56">
        <v>0.1511541112</v>
      </c>
      <c r="BI56">
        <v>0.76949386419999999</v>
      </c>
      <c r="BK56">
        <v>1.6581728345307183</v>
      </c>
      <c r="BL56">
        <v>325.72012939966913</v>
      </c>
    </row>
    <row r="59" spans="1:64" x14ac:dyDescent="0.3">
      <c r="A59" s="20" t="s">
        <v>39</v>
      </c>
      <c r="L59">
        <v>1.8</v>
      </c>
      <c r="M59">
        <v>400</v>
      </c>
      <c r="N59">
        <v>1.8</v>
      </c>
      <c r="O59">
        <v>400</v>
      </c>
    </row>
    <row r="60" spans="1:64" x14ac:dyDescent="0.3">
      <c r="A60" t="s">
        <v>40</v>
      </c>
      <c r="L60">
        <f>AVERAGE(L49:L56)</f>
        <v>1.6460452143819166</v>
      </c>
      <c r="M60">
        <f>AVERAGE(M49:M56)</f>
        <v>336.46292029931749</v>
      </c>
      <c r="N60">
        <f>AVERAGE(N49:N56)</f>
        <v>1.9978064386693879</v>
      </c>
      <c r="O60">
        <f>AVERAGE(O49:O56)</f>
        <v>394.66565573990903</v>
      </c>
    </row>
    <row r="61" spans="1:64" x14ac:dyDescent="0.3">
      <c r="A61" t="s">
        <v>41</v>
      </c>
      <c r="L61">
        <f>STDEV(L49:L56)</f>
        <v>0.28679735323931749</v>
      </c>
      <c r="M61">
        <f>STDEV(M49:M56)</f>
        <v>119.8110089639294</v>
      </c>
      <c r="N61">
        <f>STDEV(N49:N56)</f>
        <v>0.28623991665302123</v>
      </c>
      <c r="O61">
        <f>STDEV(O49:O56)</f>
        <v>125.53588133222993</v>
      </c>
      <c r="P61">
        <f>AVERAGE(P45:P56)</f>
        <v>0.47915523112498887</v>
      </c>
      <c r="Q61">
        <f>AVERAGE(Q45:Q56)</f>
        <v>80.445106105624191</v>
      </c>
    </row>
    <row r="62" spans="1:64" x14ac:dyDescent="0.3">
      <c r="A62" t="s">
        <v>42</v>
      </c>
      <c r="L62">
        <f>100*L61/L60</f>
        <v>17.423418915440227</v>
      </c>
      <c r="M62">
        <f>100*M61/M60</f>
        <v>35.608978504182716</v>
      </c>
      <c r="N62">
        <f>100*N61/N60</f>
        <v>14.327710188163548</v>
      </c>
      <c r="O62">
        <f>100*O61/O60</f>
        <v>31.808159515901753</v>
      </c>
    </row>
    <row r="63" spans="1:64" x14ac:dyDescent="0.3">
      <c r="A63" t="s">
        <v>43</v>
      </c>
      <c r="L63" s="28">
        <f t="shared" ref="L63:O63" si="6">TINV(0.02,6)</f>
        <v>3.1426684032909828</v>
      </c>
      <c r="M63" s="28">
        <f t="shared" si="6"/>
        <v>3.1426684032909828</v>
      </c>
      <c r="N63" s="28">
        <f t="shared" si="6"/>
        <v>3.1426684032909828</v>
      </c>
      <c r="O63" s="28">
        <f t="shared" si="6"/>
        <v>3.1426684032909828</v>
      </c>
    </row>
    <row r="64" spans="1:64" x14ac:dyDescent="0.3">
      <c r="A64" s="29" t="s">
        <v>44</v>
      </c>
      <c r="L64" s="30">
        <f>L61*L63</f>
        <v>0.9013089801726859</v>
      </c>
      <c r="M64" s="30">
        <f>M61*M63</f>
        <v>376.52627223735362</v>
      </c>
      <c r="N64" s="30">
        <f>N61*N63</f>
        <v>0.89955714182609425</v>
      </c>
      <c r="O64" s="30">
        <f>O61*O63</f>
        <v>394.51764774208533</v>
      </c>
      <c r="P64" s="30">
        <f>P61*3.143</f>
        <v>1.50598489142584</v>
      </c>
      <c r="Q64" s="30">
        <f>Q61*3.143</f>
        <v>252.83896848997682</v>
      </c>
    </row>
    <row r="65" spans="1:17" x14ac:dyDescent="0.3">
      <c r="A65" s="29" t="s">
        <v>45</v>
      </c>
      <c r="L65" s="30">
        <f>10*L61</f>
        <v>2.867973532393175</v>
      </c>
      <c r="M65" s="30">
        <f>10*M61</f>
        <v>1198.1100896392941</v>
      </c>
      <c r="N65" s="30">
        <f>10*N61</f>
        <v>2.8623991665302122</v>
      </c>
      <c r="O65" s="30">
        <f>10*O61</f>
        <v>1255.3588133222993</v>
      </c>
      <c r="P65" s="30">
        <f>P61*10</f>
        <v>4.7915523112498883</v>
      </c>
      <c r="Q65" s="30">
        <f>Q61*10</f>
        <v>804.45106105624188</v>
      </c>
    </row>
    <row r="66" spans="1:17" x14ac:dyDescent="0.3">
      <c r="A66" t="s">
        <v>46</v>
      </c>
      <c r="L66" s="31">
        <f>100*(L60-L59)/L59</f>
        <v>-8.5530436454490779</v>
      </c>
      <c r="M66" s="31">
        <f>100*(M60-M59)/M59</f>
        <v>-15.88426992517063</v>
      </c>
      <c r="N66" s="31">
        <f>100*(N60-N59)/N59</f>
        <v>10.98924659274377</v>
      </c>
      <c r="O66" s="31">
        <f>100*(O60-O59)/O59</f>
        <v>-1.3335860650227431</v>
      </c>
    </row>
    <row r="67" spans="1:17" x14ac:dyDescent="0.3">
      <c r="A67" t="s">
        <v>47</v>
      </c>
      <c r="L67" s="31">
        <f>L59/L64</f>
        <v>1.9970953797166537</v>
      </c>
      <c r="M67" s="31">
        <f>M59/M64</f>
        <v>1.0623428681965892</v>
      </c>
      <c r="N67" s="31">
        <f>N59/N64</f>
        <v>2.0009846137689635</v>
      </c>
      <c r="O67" s="31">
        <f>O59/O64</f>
        <v>1.0138963422531069</v>
      </c>
    </row>
    <row r="68" spans="1:17" x14ac:dyDescent="0.3">
      <c r="A68" t="s">
        <v>48</v>
      </c>
      <c r="L68" s="31">
        <f>100*L60/L59</f>
        <v>91.44695635455092</v>
      </c>
      <c r="M68" s="31">
        <f>100*M60/M59</f>
        <v>84.115730074829372</v>
      </c>
      <c r="N68" s="31">
        <f>100*N60/N59</f>
        <v>110.98924659274377</v>
      </c>
      <c r="O68" s="31">
        <f>100*O60/O59</f>
        <v>98.666413934977257</v>
      </c>
    </row>
    <row r="69" spans="1:17" x14ac:dyDescent="0.3">
      <c r="A69" t="s">
        <v>49</v>
      </c>
      <c r="L69" s="31">
        <f>L60/L61</f>
        <v>5.7394016917875019</v>
      </c>
      <c r="M69" s="31">
        <f>M60/M61</f>
        <v>2.8082805011734262</v>
      </c>
      <c r="N69" s="31">
        <f>N60/N61</f>
        <v>6.9794823238825918</v>
      </c>
      <c r="O69" s="31">
        <f>O60/O61</f>
        <v>3.1438474128000808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BH27"/>
  <sheetViews>
    <sheetView topLeftCell="X1" zoomScale="80" zoomScaleNormal="80" zoomScalePageLayoutView="80" workbookViewId="0">
      <selection activeCell="X24" sqref="X24"/>
    </sheetView>
  </sheetViews>
  <sheetFormatPr defaultColWidth="8.77734375" defaultRowHeight="14.4" x14ac:dyDescent="0.3"/>
  <cols>
    <col min="1" max="1" width="6" customWidth="1"/>
    <col min="2" max="2" width="28.77734375" customWidth="1"/>
    <col min="3" max="3" width="12.77734375" style="13" customWidth="1"/>
    <col min="4" max="4" width="12.44140625" style="13" customWidth="1"/>
    <col min="5" max="5" width="18.21875" style="7" customWidth="1"/>
    <col min="6" max="6" width="6.44140625" customWidth="1"/>
    <col min="7" max="7" width="9.21875" customWidth="1"/>
    <col min="8" max="9" width="12.21875" customWidth="1"/>
    <col min="10" max="10" width="9.44140625" customWidth="1"/>
    <col min="11" max="11" width="9" bestFit="1" customWidth="1"/>
    <col min="12" max="12" width="11.44140625" customWidth="1"/>
    <col min="13" max="13" width="11.21875" style="7" bestFit="1" customWidth="1"/>
    <col min="14" max="14" width="8.77734375" style="7"/>
    <col min="15" max="15" width="6" style="7" customWidth="1"/>
    <col min="16" max="16" width="28.77734375" style="7" bestFit="1" customWidth="1"/>
    <col min="17" max="17" width="15" bestFit="1" customWidth="1"/>
    <col min="18" max="18" width="12.44140625" bestFit="1" customWidth="1"/>
    <col min="19" max="19" width="18.21875" style="9" bestFit="1" customWidth="1"/>
    <col min="20" max="20" width="6.44140625" customWidth="1"/>
    <col min="21" max="21" width="9.21875" customWidth="1"/>
    <col min="22" max="23" width="12.21875" bestFit="1" customWidth="1"/>
    <col min="24" max="24" width="9.44140625" style="17" customWidth="1"/>
    <col min="25" max="25" width="9" style="17" bestFit="1" customWidth="1"/>
    <col min="26" max="26" width="11.44140625" bestFit="1" customWidth="1"/>
    <col min="27" max="27" width="9.44140625" customWidth="1"/>
    <col min="28" max="28" width="5.44140625" customWidth="1"/>
    <col min="29" max="29" width="7.5546875" customWidth="1"/>
    <col min="30" max="30" width="16.5546875" customWidth="1"/>
    <col min="31" max="31" width="21.21875" customWidth="1"/>
    <col min="32" max="32" width="12.21875" bestFit="1" customWidth="1"/>
    <col min="33" max="33" width="12.21875" style="7" bestFit="1" customWidth="1"/>
    <col min="34" max="35" width="12.21875" bestFit="1" customWidth="1"/>
    <col min="40" max="40" width="9.77734375" customWidth="1"/>
    <col min="41" max="41" width="10.77734375" customWidth="1"/>
    <col min="42" max="42" width="6.21875" customWidth="1"/>
    <col min="46" max="46" width="11.5546875" customWidth="1"/>
    <col min="61" max="65" width="8.77734375" style="1"/>
    <col min="66" max="66" width="10.5546875" style="1" customWidth="1"/>
    <col min="67" max="16384" width="8.77734375" style="1"/>
  </cols>
  <sheetData>
    <row r="3" spans="1:50" x14ac:dyDescent="0.3">
      <c r="B3" t="s">
        <v>7</v>
      </c>
      <c r="C3" s="13" t="s">
        <v>8</v>
      </c>
      <c r="D3" s="13" t="s">
        <v>9</v>
      </c>
      <c r="E3" s="7" t="s">
        <v>10</v>
      </c>
      <c r="F3" t="s">
        <v>11</v>
      </c>
      <c r="G3" t="s">
        <v>12</v>
      </c>
      <c r="H3" t="s">
        <v>13</v>
      </c>
      <c r="I3" t="s">
        <v>51</v>
      </c>
      <c r="J3" t="s">
        <v>15</v>
      </c>
      <c r="K3" t="s">
        <v>16</v>
      </c>
      <c r="L3" t="s">
        <v>22</v>
      </c>
      <c r="M3" s="7" t="s">
        <v>23</v>
      </c>
      <c r="P3" t="s">
        <v>7</v>
      </c>
      <c r="Q3" s="13" t="s">
        <v>8</v>
      </c>
      <c r="R3" s="13" t="s">
        <v>9</v>
      </c>
      <c r="S3" s="7" t="s">
        <v>10</v>
      </c>
      <c r="T3" t="s">
        <v>11</v>
      </c>
      <c r="U3" t="s">
        <v>12</v>
      </c>
      <c r="V3" t="s">
        <v>13</v>
      </c>
      <c r="W3" t="s">
        <v>51</v>
      </c>
      <c r="X3" t="s">
        <v>15</v>
      </c>
      <c r="Y3" t="s">
        <v>16</v>
      </c>
      <c r="Z3" t="s">
        <v>22</v>
      </c>
      <c r="AA3" s="7" t="s">
        <v>23</v>
      </c>
      <c r="AD3" t="s">
        <v>7</v>
      </c>
      <c r="AE3" s="13" t="s">
        <v>8</v>
      </c>
      <c r="AF3" s="13" t="s">
        <v>9</v>
      </c>
      <c r="AG3" s="7" t="s">
        <v>10</v>
      </c>
      <c r="AH3" t="s">
        <v>11</v>
      </c>
      <c r="AI3" t="s">
        <v>12</v>
      </c>
      <c r="AJ3" t="s">
        <v>13</v>
      </c>
      <c r="AK3" t="s">
        <v>51</v>
      </c>
      <c r="AL3" t="s">
        <v>15</v>
      </c>
      <c r="AM3" t="s">
        <v>16</v>
      </c>
      <c r="AN3" t="s">
        <v>22</v>
      </c>
      <c r="AO3" s="7" t="s">
        <v>23</v>
      </c>
    </row>
    <row r="4" spans="1:50" x14ac:dyDescent="0.3">
      <c r="A4" t="s">
        <v>52</v>
      </c>
    </row>
    <row r="5" spans="1:50" customFormat="1" x14ac:dyDescent="0.3">
      <c r="A5">
        <v>18</v>
      </c>
      <c r="B5" t="s">
        <v>53</v>
      </c>
      <c r="C5" s="20">
        <v>43642.473622685182</v>
      </c>
      <c r="D5">
        <v>1</v>
      </c>
      <c r="E5" t="s">
        <v>54</v>
      </c>
      <c r="F5">
        <v>1</v>
      </c>
      <c r="G5">
        <v>6.05</v>
      </c>
      <c r="J5" t="s">
        <v>18</v>
      </c>
      <c r="K5" t="s">
        <v>18</v>
      </c>
      <c r="L5" t="s">
        <v>18</v>
      </c>
      <c r="M5" t="s">
        <v>18</v>
      </c>
      <c r="O5">
        <v>18</v>
      </c>
      <c r="P5" t="s">
        <v>53</v>
      </c>
      <c r="Q5" s="20">
        <v>43642.473622685182</v>
      </c>
      <c r="R5">
        <v>1</v>
      </c>
      <c r="S5" t="s">
        <v>54</v>
      </c>
      <c r="T5">
        <v>1</v>
      </c>
      <c r="U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C5">
        <v>18</v>
      </c>
      <c r="AD5" t="s">
        <v>53</v>
      </c>
      <c r="AE5" s="20">
        <v>43642.473622685182</v>
      </c>
      <c r="AF5">
        <v>1</v>
      </c>
      <c r="AG5" t="s">
        <v>54</v>
      </c>
      <c r="AH5">
        <v>1</v>
      </c>
      <c r="AI5">
        <v>12.175000000000001</v>
      </c>
      <c r="AJ5">
        <v>1754</v>
      </c>
      <c r="AK5">
        <v>361.65699999999998</v>
      </c>
      <c r="AL5" t="s">
        <v>18</v>
      </c>
      <c r="AM5" t="s">
        <v>18</v>
      </c>
      <c r="AN5" t="s">
        <v>18</v>
      </c>
      <c r="AO5" t="s">
        <v>18</v>
      </c>
      <c r="AP5" s="7"/>
      <c r="AQ5" s="7"/>
      <c r="AR5" s="7"/>
      <c r="AS5" s="24"/>
      <c r="AT5" s="24"/>
      <c r="AX5" s="12"/>
    </row>
    <row r="6" spans="1:50" customFormat="1" x14ac:dyDescent="0.3">
      <c r="A6">
        <v>19</v>
      </c>
      <c r="B6" t="s">
        <v>55</v>
      </c>
      <c r="C6" s="20">
        <v>43642.494849537034</v>
      </c>
      <c r="D6">
        <v>1</v>
      </c>
      <c r="E6" t="s">
        <v>54</v>
      </c>
      <c r="F6">
        <v>1</v>
      </c>
      <c r="G6">
        <v>6.05</v>
      </c>
      <c r="J6" t="s">
        <v>18</v>
      </c>
      <c r="K6" t="s">
        <v>18</v>
      </c>
      <c r="L6" t="s">
        <v>18</v>
      </c>
      <c r="M6" t="s">
        <v>18</v>
      </c>
      <c r="O6">
        <v>19</v>
      </c>
      <c r="P6" t="s">
        <v>55</v>
      </c>
      <c r="Q6" s="20">
        <v>43642.494849537034</v>
      </c>
      <c r="R6">
        <v>1</v>
      </c>
      <c r="S6" t="s">
        <v>54</v>
      </c>
      <c r="T6">
        <v>1</v>
      </c>
      <c r="U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C6">
        <v>19</v>
      </c>
      <c r="AD6" t="s">
        <v>55</v>
      </c>
      <c r="AE6" s="20">
        <v>43642.494849537034</v>
      </c>
      <c r="AF6">
        <v>1</v>
      </c>
      <c r="AG6" t="s">
        <v>54</v>
      </c>
      <c r="AH6">
        <v>1</v>
      </c>
      <c r="AI6">
        <v>12.148999999999999</v>
      </c>
      <c r="AJ6">
        <v>2135</v>
      </c>
      <c r="AK6">
        <v>427.46499999999997</v>
      </c>
      <c r="AL6" t="s">
        <v>18</v>
      </c>
      <c r="AM6" t="s">
        <v>18</v>
      </c>
      <c r="AN6" t="s">
        <v>18</v>
      </c>
      <c r="AO6" t="s">
        <v>18</v>
      </c>
      <c r="AP6" s="7"/>
      <c r="AQ6" s="7"/>
      <c r="AR6" s="7"/>
      <c r="AS6" s="24"/>
      <c r="AT6" s="24"/>
      <c r="AX6" s="12"/>
    </row>
    <row r="7" spans="1:50" customFormat="1" x14ac:dyDescent="0.3">
      <c r="A7">
        <v>20</v>
      </c>
      <c r="B7" t="s">
        <v>56</v>
      </c>
      <c r="C7" s="20">
        <v>43642.516111111108</v>
      </c>
      <c r="D7">
        <v>1</v>
      </c>
      <c r="E7" t="s">
        <v>54</v>
      </c>
      <c r="F7">
        <v>1</v>
      </c>
      <c r="G7">
        <v>6.0650000000000004</v>
      </c>
      <c r="H7">
        <v>2316</v>
      </c>
      <c r="I7">
        <v>3.3069999999999999</v>
      </c>
      <c r="J7" t="s">
        <v>18</v>
      </c>
      <c r="K7" t="s">
        <v>18</v>
      </c>
      <c r="L7" t="s">
        <v>18</v>
      </c>
      <c r="M7" t="s">
        <v>18</v>
      </c>
      <c r="O7">
        <v>20</v>
      </c>
      <c r="P7" t="s">
        <v>56</v>
      </c>
      <c r="Q7" s="20">
        <v>43642.516111111108</v>
      </c>
      <c r="R7">
        <v>1</v>
      </c>
      <c r="S7" t="s">
        <v>54</v>
      </c>
      <c r="T7">
        <v>1</v>
      </c>
      <c r="U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C7">
        <v>20</v>
      </c>
      <c r="AD7" t="s">
        <v>56</v>
      </c>
      <c r="AE7" s="20">
        <v>43642.516111111108</v>
      </c>
      <c r="AF7">
        <v>1</v>
      </c>
      <c r="AG7" t="s">
        <v>54</v>
      </c>
      <c r="AH7">
        <v>1</v>
      </c>
      <c r="AI7">
        <v>12.134</v>
      </c>
      <c r="AJ7">
        <v>1866</v>
      </c>
      <c r="AK7">
        <v>381.08</v>
      </c>
      <c r="AL7" t="s">
        <v>18</v>
      </c>
      <c r="AM7" t="s">
        <v>18</v>
      </c>
      <c r="AN7" t="s">
        <v>18</v>
      </c>
      <c r="AO7" t="s">
        <v>18</v>
      </c>
      <c r="AP7" s="7"/>
      <c r="AQ7" s="7"/>
      <c r="AR7" s="7"/>
      <c r="AS7" s="24"/>
      <c r="AT7" s="24"/>
      <c r="AX7" s="12"/>
    </row>
    <row r="8" spans="1:50" customFormat="1" x14ac:dyDescent="0.3">
      <c r="A8">
        <v>1</v>
      </c>
      <c r="B8" t="s">
        <v>57</v>
      </c>
      <c r="C8" s="20">
        <v>43643.417685185188</v>
      </c>
      <c r="D8">
        <v>1</v>
      </c>
      <c r="E8" t="s">
        <v>24</v>
      </c>
      <c r="F8">
        <v>1</v>
      </c>
      <c r="G8">
        <v>6.0549999999999997</v>
      </c>
      <c r="H8">
        <v>2056</v>
      </c>
      <c r="I8">
        <v>2.7160000000000002</v>
      </c>
      <c r="J8" t="s">
        <v>18</v>
      </c>
      <c r="K8" t="s">
        <v>18</v>
      </c>
      <c r="L8" t="s">
        <v>18</v>
      </c>
      <c r="M8" t="s">
        <v>18</v>
      </c>
      <c r="O8">
        <v>1</v>
      </c>
      <c r="P8" t="s">
        <v>57</v>
      </c>
      <c r="Q8" s="20">
        <v>43643.417685185188</v>
      </c>
      <c r="R8">
        <v>1</v>
      </c>
      <c r="S8" t="s">
        <v>24</v>
      </c>
      <c r="T8">
        <v>1</v>
      </c>
      <c r="U8" t="s">
        <v>18</v>
      </c>
      <c r="W8" t="s">
        <v>18</v>
      </c>
      <c r="X8" t="s">
        <v>18</v>
      </c>
      <c r="Y8" t="s">
        <v>18</v>
      </c>
      <c r="Z8" t="s">
        <v>18</v>
      </c>
      <c r="AA8" t="e">
        <f>#REF!</f>
        <v>#REF!</v>
      </c>
      <c r="AC8">
        <v>1</v>
      </c>
      <c r="AD8" t="s">
        <v>57</v>
      </c>
      <c r="AE8" s="20">
        <v>43643.417685185188</v>
      </c>
      <c r="AF8">
        <v>1</v>
      </c>
      <c r="AG8" t="s">
        <v>24</v>
      </c>
      <c r="AH8">
        <v>1</v>
      </c>
      <c r="AI8">
        <v>12.195</v>
      </c>
      <c r="AJ8">
        <v>1977</v>
      </c>
      <c r="AK8">
        <v>400.21600000000001</v>
      </c>
      <c r="AL8" t="s">
        <v>18</v>
      </c>
      <c r="AM8" t="s">
        <v>18</v>
      </c>
      <c r="AN8" t="s">
        <v>18</v>
      </c>
      <c r="AO8" t="s">
        <v>18</v>
      </c>
      <c r="AP8" s="7"/>
      <c r="AQ8" s="7"/>
      <c r="AR8" s="7"/>
      <c r="AS8" s="24"/>
      <c r="AT8" s="24"/>
      <c r="AX8" s="12"/>
    </row>
    <row r="9" spans="1:50" customFormat="1" x14ac:dyDescent="0.3">
      <c r="A9">
        <v>2</v>
      </c>
      <c r="B9" t="s">
        <v>58</v>
      </c>
      <c r="C9" s="20">
        <v>43643.438935185186</v>
      </c>
      <c r="D9">
        <v>1</v>
      </c>
      <c r="E9" t="s">
        <v>24</v>
      </c>
      <c r="F9">
        <v>1</v>
      </c>
      <c r="G9">
        <v>6.0529999999999999</v>
      </c>
      <c r="H9">
        <v>1938</v>
      </c>
      <c r="I9">
        <v>2.4470000000000001</v>
      </c>
      <c r="J9" t="s">
        <v>18</v>
      </c>
      <c r="K9" t="s">
        <v>18</v>
      </c>
      <c r="L9" t="s">
        <v>18</v>
      </c>
      <c r="M9" t="s">
        <v>18</v>
      </c>
      <c r="O9">
        <v>2</v>
      </c>
      <c r="P9" t="s">
        <v>58</v>
      </c>
      <c r="Q9" s="20">
        <v>43643.438935185186</v>
      </c>
      <c r="R9">
        <v>1</v>
      </c>
      <c r="S9" t="s">
        <v>24</v>
      </c>
      <c r="T9">
        <v>1</v>
      </c>
      <c r="U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C9">
        <v>2</v>
      </c>
      <c r="AD9" t="s">
        <v>58</v>
      </c>
      <c r="AE9" s="20">
        <v>43643.438935185186</v>
      </c>
      <c r="AF9">
        <v>1</v>
      </c>
      <c r="AG9" t="s">
        <v>24</v>
      </c>
      <c r="AH9">
        <v>1</v>
      </c>
      <c r="AI9">
        <v>12.141</v>
      </c>
      <c r="AJ9">
        <v>1815</v>
      </c>
      <c r="AK9">
        <v>372.26799999999997</v>
      </c>
      <c r="AL9" t="s">
        <v>18</v>
      </c>
      <c r="AM9" t="s">
        <v>18</v>
      </c>
      <c r="AN9" t="s">
        <v>18</v>
      </c>
      <c r="AO9" t="s">
        <v>18</v>
      </c>
      <c r="AP9" s="7"/>
      <c r="AQ9" s="7"/>
      <c r="AR9" s="7"/>
      <c r="AS9" s="24"/>
      <c r="AT9" s="24"/>
      <c r="AX9" s="12"/>
    </row>
    <row r="10" spans="1:50" customFormat="1" x14ac:dyDescent="0.3">
      <c r="A10">
        <v>3</v>
      </c>
      <c r="B10" t="s">
        <v>59</v>
      </c>
      <c r="C10" s="20">
        <v>43643.460162037038</v>
      </c>
      <c r="D10">
        <v>1</v>
      </c>
      <c r="E10" t="s">
        <v>24</v>
      </c>
      <c r="F10">
        <v>1</v>
      </c>
      <c r="G10">
        <v>6.0529999999999999</v>
      </c>
      <c r="H10">
        <v>1641</v>
      </c>
      <c r="I10">
        <v>1.77</v>
      </c>
      <c r="J10" t="s">
        <v>18</v>
      </c>
      <c r="K10" t="s">
        <v>18</v>
      </c>
      <c r="L10" t="s">
        <v>18</v>
      </c>
      <c r="M10" t="s">
        <v>18</v>
      </c>
      <c r="O10">
        <v>3</v>
      </c>
      <c r="P10" t="s">
        <v>59</v>
      </c>
      <c r="Q10" s="20">
        <v>43643.460162037038</v>
      </c>
      <c r="R10">
        <v>1</v>
      </c>
      <c r="S10" t="s">
        <v>24</v>
      </c>
      <c r="T10">
        <v>1</v>
      </c>
      <c r="U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C10">
        <v>3</v>
      </c>
      <c r="AD10" t="s">
        <v>59</v>
      </c>
      <c r="AE10" s="20">
        <v>43643.460162037038</v>
      </c>
      <c r="AF10">
        <v>1</v>
      </c>
      <c r="AG10" t="s">
        <v>24</v>
      </c>
      <c r="AH10">
        <v>1</v>
      </c>
      <c r="AI10">
        <v>12.148</v>
      </c>
      <c r="AJ10">
        <v>1922</v>
      </c>
      <c r="AK10">
        <v>390.71499999999997</v>
      </c>
      <c r="AL10" t="s">
        <v>18</v>
      </c>
      <c r="AM10" t="s">
        <v>18</v>
      </c>
      <c r="AN10" t="s">
        <v>18</v>
      </c>
      <c r="AO10" t="s">
        <v>18</v>
      </c>
      <c r="AP10" s="7"/>
      <c r="AQ10" s="7"/>
      <c r="AR10" s="7"/>
      <c r="AS10" s="24"/>
      <c r="AT10" s="24"/>
      <c r="AX10" s="12"/>
    </row>
    <row r="11" spans="1:50" customFormat="1" x14ac:dyDescent="0.3">
      <c r="A11">
        <v>18</v>
      </c>
      <c r="B11" t="s">
        <v>60</v>
      </c>
      <c r="C11" s="13">
        <v>43644.386655092596</v>
      </c>
      <c r="D11" s="13" t="s">
        <v>25</v>
      </c>
      <c r="E11" s="7" t="s">
        <v>17</v>
      </c>
      <c r="F11">
        <v>0</v>
      </c>
      <c r="G11">
        <v>6.085</v>
      </c>
      <c r="H11">
        <v>1915</v>
      </c>
      <c r="I11">
        <v>2.395</v>
      </c>
      <c r="J11" t="s">
        <v>18</v>
      </c>
      <c r="K11" t="s">
        <v>18</v>
      </c>
      <c r="L11" t="s">
        <v>18</v>
      </c>
      <c r="M11" s="7" t="s">
        <v>18</v>
      </c>
      <c r="N11" s="7"/>
      <c r="O11" s="7">
        <v>18</v>
      </c>
      <c r="P11" s="7" t="s">
        <v>60</v>
      </c>
      <c r="Q11" s="20">
        <v>43644.386655092596</v>
      </c>
      <c r="R11" t="s">
        <v>25</v>
      </c>
      <c r="S11" s="9" t="s">
        <v>17</v>
      </c>
      <c r="T11">
        <v>0</v>
      </c>
      <c r="U11" t="s">
        <v>18</v>
      </c>
      <c r="V11" t="s">
        <v>18</v>
      </c>
      <c r="W11" t="s">
        <v>18</v>
      </c>
      <c r="X11" s="17" t="s">
        <v>18</v>
      </c>
      <c r="Y11" s="17" t="s">
        <v>18</v>
      </c>
      <c r="Z11" t="s">
        <v>18</v>
      </c>
      <c r="AA11" t="s">
        <v>18</v>
      </c>
      <c r="AC11" s="7">
        <v>18</v>
      </c>
      <c r="AD11" s="7" t="s">
        <v>60</v>
      </c>
      <c r="AE11" s="20">
        <v>43644.386655092596</v>
      </c>
      <c r="AF11" t="s">
        <v>25</v>
      </c>
      <c r="AG11" s="9" t="s">
        <v>17</v>
      </c>
      <c r="AH11">
        <v>0</v>
      </c>
      <c r="AI11">
        <v>12.202999999999999</v>
      </c>
      <c r="AJ11">
        <v>2514</v>
      </c>
      <c r="AK11">
        <v>492.72300000000001</v>
      </c>
      <c r="AL11" s="17" t="s">
        <v>18</v>
      </c>
      <c r="AM11" s="17" t="s">
        <v>18</v>
      </c>
      <c r="AN11" t="s">
        <v>18</v>
      </c>
      <c r="AO11" t="s">
        <v>18</v>
      </c>
    </row>
    <row r="12" spans="1:50" customFormat="1" x14ac:dyDescent="0.3">
      <c r="A12">
        <v>19</v>
      </c>
      <c r="B12" t="s">
        <v>61</v>
      </c>
      <c r="C12" s="13">
        <v>43648.387372685182</v>
      </c>
      <c r="D12" s="13" t="s">
        <v>25</v>
      </c>
      <c r="E12" s="7" t="s">
        <v>17</v>
      </c>
      <c r="F12">
        <v>0</v>
      </c>
      <c r="G12">
        <v>6.0880000000000001</v>
      </c>
      <c r="H12">
        <v>2022</v>
      </c>
      <c r="I12">
        <v>2.6389999999999998</v>
      </c>
      <c r="J12" t="s">
        <v>18</v>
      </c>
      <c r="K12" t="s">
        <v>18</v>
      </c>
      <c r="L12" t="s">
        <v>18</v>
      </c>
      <c r="M12" s="7" t="s">
        <v>18</v>
      </c>
      <c r="N12" s="7"/>
      <c r="O12" s="7">
        <v>19</v>
      </c>
      <c r="P12" s="7" t="s">
        <v>61</v>
      </c>
      <c r="Q12" s="20">
        <v>43648.387372685182</v>
      </c>
      <c r="R12" t="s">
        <v>25</v>
      </c>
      <c r="S12" s="9" t="s">
        <v>17</v>
      </c>
      <c r="T12">
        <v>0</v>
      </c>
      <c r="U12" t="s">
        <v>18</v>
      </c>
      <c r="V12" t="s">
        <v>18</v>
      </c>
      <c r="W12" t="s">
        <v>18</v>
      </c>
      <c r="X12" s="17" t="s">
        <v>18</v>
      </c>
      <c r="Y12" s="17" t="s">
        <v>18</v>
      </c>
      <c r="Z12" t="s">
        <v>18</v>
      </c>
      <c r="AA12" t="s">
        <v>18</v>
      </c>
      <c r="AC12" s="7">
        <v>19</v>
      </c>
      <c r="AD12" s="7" t="s">
        <v>61</v>
      </c>
      <c r="AE12" s="20">
        <v>43648.387372685182</v>
      </c>
      <c r="AF12" t="s">
        <v>25</v>
      </c>
      <c r="AG12" s="9" t="s">
        <v>17</v>
      </c>
      <c r="AH12">
        <v>0</v>
      </c>
      <c r="AI12">
        <v>12.167</v>
      </c>
      <c r="AJ12">
        <v>2175</v>
      </c>
      <c r="AK12">
        <v>434.25400000000002</v>
      </c>
      <c r="AL12" s="17" t="s">
        <v>18</v>
      </c>
      <c r="AM12" s="17" t="s">
        <v>18</v>
      </c>
      <c r="AN12" t="s">
        <v>18</v>
      </c>
      <c r="AO12" t="s">
        <v>18</v>
      </c>
    </row>
    <row r="13" spans="1:50" customFormat="1" x14ac:dyDescent="0.3">
      <c r="C13" s="20"/>
      <c r="H13" s="12"/>
      <c r="Q13" s="20"/>
      <c r="AE13" s="20"/>
      <c r="AJ13" s="12"/>
      <c r="AS13" s="20"/>
      <c r="AX13" s="12"/>
    </row>
    <row r="14" spans="1:50" customFormat="1" x14ac:dyDescent="0.3">
      <c r="C14" s="20"/>
      <c r="H14" s="12"/>
      <c r="Q14" s="20"/>
      <c r="AE14" s="20"/>
      <c r="AJ14" s="12"/>
      <c r="AS14" s="20"/>
      <c r="AX14" s="12"/>
    </row>
    <row r="17" spans="7:37" x14ac:dyDescent="0.3">
      <c r="G17" s="20" t="s">
        <v>39</v>
      </c>
      <c r="I17">
        <v>1.8</v>
      </c>
      <c r="AI17" s="20" t="s">
        <v>39</v>
      </c>
      <c r="AK17">
        <v>400</v>
      </c>
    </row>
    <row r="18" spans="7:37" x14ac:dyDescent="0.3">
      <c r="G18" t="s">
        <v>40</v>
      </c>
      <c r="I18">
        <f>AVERAGE(I5:I12)</f>
        <v>2.5456666666666661</v>
      </c>
      <c r="AI18" t="s">
        <v>40</v>
      </c>
      <c r="AK18">
        <f>AVERAGE(AK5:AK12)</f>
        <v>407.54725000000002</v>
      </c>
    </row>
    <row r="19" spans="7:37" x14ac:dyDescent="0.3">
      <c r="G19" t="s">
        <v>41</v>
      </c>
      <c r="I19">
        <f>STDEV(I5:I12)</f>
        <v>0.50028938292419234</v>
      </c>
      <c r="AI19" t="s">
        <v>41</v>
      </c>
      <c r="AK19">
        <f>STDEV(AK5:AK12)</f>
        <v>42.683224144353758</v>
      </c>
    </row>
    <row r="20" spans="7:37" x14ac:dyDescent="0.3">
      <c r="G20" t="s">
        <v>42</v>
      </c>
      <c r="I20">
        <f>100*I19/I18</f>
        <v>19.652588042065961</v>
      </c>
      <c r="AI20" t="s">
        <v>42</v>
      </c>
      <c r="AK20">
        <f>100*AK19/AK18</f>
        <v>10.47319645620324</v>
      </c>
    </row>
    <row r="21" spans="7:37" x14ac:dyDescent="0.3">
      <c r="G21" t="s">
        <v>43</v>
      </c>
      <c r="H21" s="28"/>
      <c r="I21" s="28">
        <f t="shared" ref="I21" si="0">TINV(0.02,6)</f>
        <v>3.1426684032909828</v>
      </c>
      <c r="AI21" t="s">
        <v>43</v>
      </c>
      <c r="AJ21" s="28"/>
      <c r="AK21" s="28">
        <f t="shared" ref="AK21" si="1">TINV(0.02,6)</f>
        <v>3.1426684032909828</v>
      </c>
    </row>
    <row r="22" spans="7:37" x14ac:dyDescent="0.3">
      <c r="G22" s="29" t="s">
        <v>44</v>
      </c>
      <c r="H22" s="30"/>
      <c r="I22" s="30">
        <f>I19*I21</f>
        <v>1.5722436362178027</v>
      </c>
      <c r="AI22" s="29" t="s">
        <v>44</v>
      </c>
      <c r="AJ22" s="30"/>
      <c r="AK22" s="30">
        <f>AK19*AK21</f>
        <v>134.13921986904737</v>
      </c>
    </row>
    <row r="23" spans="7:37" x14ac:dyDescent="0.3">
      <c r="G23" s="29" t="s">
        <v>45</v>
      </c>
      <c r="H23" s="30"/>
      <c r="I23" s="30">
        <f>10*I19</f>
        <v>5.0028938292419234</v>
      </c>
      <c r="AI23" s="29" t="s">
        <v>45</v>
      </c>
      <c r="AJ23" s="30"/>
      <c r="AK23" s="30">
        <f>10*AK19</f>
        <v>426.83224144353755</v>
      </c>
    </row>
    <row r="24" spans="7:37" x14ac:dyDescent="0.3">
      <c r="G24" t="s">
        <v>46</v>
      </c>
      <c r="H24" s="31"/>
      <c r="I24" s="31">
        <f>100*(I18-I17)/I17</f>
        <v>41.425925925925888</v>
      </c>
      <c r="AI24" t="s">
        <v>46</v>
      </c>
      <c r="AJ24" s="31"/>
      <c r="AK24" s="31">
        <f>100*(AK18-AK17)/AK17</f>
        <v>1.8868125000000049</v>
      </c>
    </row>
    <row r="25" spans="7:37" x14ac:dyDescent="0.3">
      <c r="G25" t="s">
        <v>47</v>
      </c>
      <c r="H25" s="31"/>
      <c r="I25" s="31">
        <f>I17/I22</f>
        <v>1.1448607318456629</v>
      </c>
      <c r="AI25" t="s">
        <v>47</v>
      </c>
      <c r="AJ25" s="31"/>
      <c r="AK25" s="31">
        <f>AK17/AK22</f>
        <v>2.981976489728341</v>
      </c>
    </row>
    <row r="26" spans="7:37" x14ac:dyDescent="0.3">
      <c r="G26" t="s">
        <v>48</v>
      </c>
      <c r="H26" s="31"/>
      <c r="I26" s="31">
        <f>100*I18/I17</f>
        <v>141.4259259259259</v>
      </c>
      <c r="AI26" t="s">
        <v>48</v>
      </c>
      <c r="AJ26" s="31"/>
      <c r="AK26" s="31">
        <f>100*AK18/AK17</f>
        <v>101.88681249999999</v>
      </c>
    </row>
    <row r="27" spans="7:37" x14ac:dyDescent="0.3">
      <c r="G27" t="s">
        <v>49</v>
      </c>
      <c r="H27" s="31"/>
      <c r="I27" s="31">
        <f>I18/I19</f>
        <v>5.0883883479342291</v>
      </c>
      <c r="AI27" t="s">
        <v>49</v>
      </c>
      <c r="AJ27" s="31"/>
      <c r="AK27" s="31">
        <f>AK18/AK19</f>
        <v>9.5481833476703599</v>
      </c>
    </row>
  </sheetData>
  <printOptions gridLines="1"/>
  <pageMargins left="0.7" right="0.7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headspace to dissolved calc</vt:lpstr>
      <vt:lpstr>summary CH4</vt:lpstr>
      <vt:lpstr>summary CO2</vt:lpstr>
      <vt:lpstr>MDL 29apr15</vt:lpstr>
      <vt:lpstr>MDL 10aug16</vt:lpstr>
      <vt:lpstr>MDL 13jul17</vt:lpstr>
      <vt:lpstr>MDL 15aug18</vt:lpstr>
      <vt:lpstr>MDL 16may19</vt:lpstr>
      <vt:lpstr>MDL 26jun19</vt:lpstr>
      <vt:lpstr>MDL 03feb22</vt:lpstr>
      <vt:lpstr>rolling 2015</vt:lpstr>
      <vt:lpstr>rolling 2016</vt:lpstr>
      <vt:lpstr>rolling 2017</vt:lpstr>
      <vt:lpstr>rolling 2018</vt:lpstr>
      <vt:lpstr>rolling 2019</vt:lpstr>
      <vt:lpstr>rolling 2020</vt:lpstr>
      <vt:lpstr>rolling 2021</vt:lpstr>
      <vt:lpstr>rolling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Alex Hounshell</cp:lastModifiedBy>
  <cp:lastPrinted>2019-05-01T15:22:53Z</cp:lastPrinted>
  <dcterms:created xsi:type="dcterms:W3CDTF">2018-10-02T15:43:24Z</dcterms:created>
  <dcterms:modified xsi:type="dcterms:W3CDTF">2022-06-30T19:02:30Z</dcterms:modified>
</cp:coreProperties>
</file>