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95e4f0f07ac9838/Desktop/Alab_QAQC/2023/TNTP/"/>
    </mc:Choice>
  </mc:AlternateContent>
  <xr:revisionPtr revIDLastSave="109" documentId="8_{5DF809A1-738F-4009-827A-36BE99837D82}" xr6:coauthVersionLast="47" xr6:coauthVersionMax="47" xr10:uidLastSave="{77AEE9EA-FB08-47A2-81EE-5802134B4552}"/>
  <bookViews>
    <workbookView xWindow="28680" yWindow="-120" windowWidth="29040" windowHeight="15840" xr2:uid="{00000000-000D-0000-FFFF-FFFF00000000}"/>
  </bookViews>
  <sheets>
    <sheet name="Data for Export" sheetId="23" r:id="rId1"/>
    <sheet name="QAQC" sheetId="18" r:id="rId2"/>
    <sheet name="method checks" sheetId="17" r:id="rId3"/>
    <sheet name="rolling spiked blank 250" sheetId="2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26" i="18" l="1"/>
  <c r="AJ126" i="18" s="1"/>
  <c r="AM125" i="18"/>
  <c r="AN125" i="18" s="1"/>
  <c r="AK124" i="18"/>
  <c r="AL124" i="18" s="1"/>
  <c r="AM255" i="18"/>
  <c r="Y66" i="18"/>
  <c r="X66" i="18"/>
  <c r="AC65" i="18"/>
  <c r="AB65" i="18"/>
  <c r="Z64" i="18"/>
  <c r="AA64" i="18" s="1"/>
  <c r="Y81" i="18"/>
  <c r="X81" i="18"/>
  <c r="AC80" i="18"/>
  <c r="AB80" i="18"/>
  <c r="Z79" i="18"/>
  <c r="AA79" i="18" s="1"/>
  <c r="X96" i="18"/>
  <c r="Y96" i="18" s="1"/>
  <c r="AB95" i="18"/>
  <c r="AC95" i="18" s="1"/>
  <c r="AA94" i="18"/>
  <c r="Z94" i="18"/>
  <c r="X111" i="18"/>
  <c r="Y111" i="18" s="1"/>
  <c r="AC110" i="18"/>
  <c r="AB110" i="18"/>
  <c r="Z109" i="18"/>
  <c r="AA109" i="18" s="1"/>
  <c r="X126" i="18"/>
  <c r="Y126" i="18" s="1"/>
  <c r="AB125" i="18"/>
  <c r="AC125" i="18" s="1"/>
  <c r="Z124" i="18"/>
  <c r="AA124" i="18" s="1"/>
  <c r="AJ165" i="18"/>
  <c r="AI165" i="18"/>
  <c r="AM164" i="18"/>
  <c r="AN164" i="18" s="1"/>
  <c r="AK163" i="18"/>
  <c r="AL163" i="18" s="1"/>
  <c r="AI180" i="18"/>
  <c r="AJ180" i="18" s="1"/>
  <c r="AM179" i="18"/>
  <c r="AN179" i="18" s="1"/>
  <c r="AK178" i="18"/>
  <c r="AL178" i="18" s="1"/>
  <c r="X165" i="18"/>
  <c r="Y165" i="18" s="1"/>
  <c r="AB164" i="18"/>
  <c r="AC164" i="18" s="1"/>
  <c r="Z163" i="18"/>
  <c r="AA163" i="18" s="1"/>
  <c r="X180" i="18"/>
  <c r="Y180" i="18" s="1"/>
  <c r="AB179" i="18"/>
  <c r="AC179" i="18" s="1"/>
  <c r="Z178" i="18"/>
  <c r="AA178" i="18" s="1"/>
  <c r="AK223" i="18"/>
  <c r="AL223" i="18" s="1"/>
  <c r="Z223" i="18"/>
  <c r="AA223" i="18"/>
  <c r="Z208" i="18"/>
  <c r="AA208" i="18" s="1"/>
  <c r="Z193" i="18"/>
  <c r="AA193" i="18" s="1"/>
  <c r="Y195" i="18"/>
  <c r="X195" i="18"/>
  <c r="AB194" i="18"/>
  <c r="AC194" i="18" s="1"/>
  <c r="AJ195" i="18"/>
  <c r="AI195" i="18"/>
  <c r="AN194" i="18"/>
  <c r="AM194" i="18"/>
  <c r="AK193" i="18"/>
  <c r="AL193" i="18" s="1"/>
  <c r="AJ210" i="18"/>
  <c r="AI210" i="18"/>
  <c r="AM209" i="18"/>
  <c r="AN209" i="18" s="1"/>
  <c r="AK208" i="18"/>
  <c r="AL208" i="18" s="1"/>
  <c r="X210" i="18"/>
  <c r="Y210" i="18" s="1"/>
  <c r="AC209" i="18"/>
  <c r="AB209" i="18"/>
  <c r="AI225" i="18"/>
  <c r="AJ225" i="18" s="1"/>
  <c r="AM224" i="18"/>
  <c r="AN224" i="18" s="1"/>
  <c r="Y225" i="18"/>
  <c r="X225" i="18"/>
  <c r="AC224" i="18"/>
  <c r="AB224" i="18"/>
  <c r="AK254" i="18"/>
  <c r="AN255" i="18"/>
  <c r="AB255" i="18"/>
  <c r="Z254" i="18"/>
  <c r="AL254" i="18"/>
  <c r="AK238" i="18"/>
  <c r="AL238" i="18" s="1"/>
  <c r="AM239" i="18"/>
  <c r="AN239" i="18"/>
  <c r="AI240" i="18"/>
  <c r="AJ240" i="18" s="1"/>
  <c r="AC255" i="18"/>
  <c r="AA254" i="18"/>
  <c r="Z238" i="18"/>
  <c r="AA238" i="18" s="1"/>
  <c r="AB239" i="18"/>
  <c r="AC239" i="18" s="1"/>
  <c r="X240" i="18"/>
  <c r="Y240" i="18" s="1"/>
  <c r="AJ266" i="18"/>
  <c r="AI266" i="18"/>
  <c r="AJ265" i="18"/>
  <c r="AI265" i="18"/>
  <c r="AJ264" i="18"/>
  <c r="AI264" i="18"/>
  <c r="AI263" i="18"/>
  <c r="AJ263" i="18" s="1"/>
  <c r="AJ262" i="18"/>
  <c r="AI262" i="18"/>
  <c r="AJ261" i="18"/>
  <c r="AI261" i="18"/>
  <c r="AJ260" i="18"/>
  <c r="AI260" i="18"/>
  <c r="X266" i="18"/>
  <c r="Y266" i="18" s="1"/>
  <c r="X265" i="18"/>
  <c r="Y265" i="18" s="1"/>
  <c r="X264" i="18"/>
  <c r="Y264" i="18" s="1"/>
  <c r="Y263" i="18"/>
  <c r="X263" i="18"/>
  <c r="X262" i="18"/>
  <c r="Y262" i="18" s="1"/>
  <c r="X261" i="18"/>
  <c r="Y261" i="18" s="1"/>
  <c r="X260" i="18"/>
  <c r="Y260" i="18" s="1"/>
  <c r="Q258" i="18"/>
  <c r="U110" i="22"/>
  <c r="V110" i="22" s="1"/>
  <c r="W110" i="22"/>
  <c r="AF110" i="22"/>
  <c r="AG110" i="22"/>
  <c r="AH110" i="22"/>
  <c r="U111" i="22"/>
  <c r="W111" i="22" s="1"/>
  <c r="V111" i="22"/>
  <c r="AF111" i="22"/>
  <c r="AG111" i="22"/>
  <c r="AH111" i="22"/>
  <c r="U112" i="22"/>
  <c r="V112" i="22"/>
  <c r="W112" i="22"/>
  <c r="AF112" i="22"/>
  <c r="AG112" i="22" s="1"/>
  <c r="U113" i="22"/>
  <c r="V113" i="22" s="1"/>
  <c r="W113" i="22"/>
  <c r="AF113" i="22"/>
  <c r="AG113" i="22"/>
  <c r="AH113" i="22"/>
  <c r="U114" i="22"/>
  <c r="V114" i="22"/>
  <c r="W114" i="22"/>
  <c r="AF114" i="22"/>
  <c r="AG114" i="22"/>
  <c r="AH114" i="22"/>
  <c r="U260" i="18"/>
  <c r="V260" i="18"/>
  <c r="W260" i="18"/>
  <c r="AF260" i="18"/>
  <c r="AG260" i="18"/>
  <c r="AH260" i="18"/>
  <c r="U261" i="18"/>
  <c r="W261" i="18" s="1"/>
  <c r="AF261" i="18"/>
  <c r="AG261" i="18"/>
  <c r="AH261" i="18"/>
  <c r="U262" i="18"/>
  <c r="W262" i="18" s="1"/>
  <c r="V262" i="18"/>
  <c r="AF262" i="18"/>
  <c r="AG262" i="18" s="1"/>
  <c r="U263" i="18"/>
  <c r="V263" i="18"/>
  <c r="W263" i="18"/>
  <c r="AF263" i="18"/>
  <c r="AG263" i="18" s="1"/>
  <c r="U264" i="18"/>
  <c r="W264" i="18" s="1"/>
  <c r="V264" i="18"/>
  <c r="AF264" i="18"/>
  <c r="AG264" i="18"/>
  <c r="AH264" i="18"/>
  <c r="U265" i="18"/>
  <c r="W265" i="18" s="1"/>
  <c r="AF265" i="18"/>
  <c r="AG265" i="18" s="1"/>
  <c r="AH265" i="18"/>
  <c r="U266" i="18"/>
  <c r="W266" i="18" s="1"/>
  <c r="V266" i="18"/>
  <c r="AF266" i="18"/>
  <c r="AG266" i="18" s="1"/>
  <c r="AH266" i="18"/>
  <c r="U267" i="18"/>
  <c r="V267" i="18"/>
  <c r="W267" i="18"/>
  <c r="AF267" i="18"/>
  <c r="AG267" i="18" s="1"/>
  <c r="U268" i="18"/>
  <c r="W268" i="18" s="1"/>
  <c r="V268" i="18"/>
  <c r="AF268" i="18"/>
  <c r="AG268" i="18"/>
  <c r="AH268" i="18"/>
  <c r="U269" i="18"/>
  <c r="W269" i="18" s="1"/>
  <c r="AF269" i="18"/>
  <c r="AG269" i="18" s="1"/>
  <c r="AH269" i="18"/>
  <c r="U74" i="22"/>
  <c r="V74" i="22" s="1"/>
  <c r="AF74" i="22"/>
  <c r="AG74" i="22" s="1"/>
  <c r="U75" i="22"/>
  <c r="W75" i="22" s="1"/>
  <c r="V75" i="22"/>
  <c r="AF75" i="22"/>
  <c r="AG75" i="22" s="1"/>
  <c r="U76" i="22"/>
  <c r="V76" i="22" s="1"/>
  <c r="AF76" i="22"/>
  <c r="AG76" i="22" s="1"/>
  <c r="U77" i="22"/>
  <c r="V77" i="22" s="1"/>
  <c r="AF77" i="22"/>
  <c r="AG77" i="22" s="1"/>
  <c r="U78" i="22"/>
  <c r="V78" i="22"/>
  <c r="W78" i="22"/>
  <c r="AF78" i="22"/>
  <c r="AH78" i="22" s="1"/>
  <c r="U79" i="22"/>
  <c r="V79" i="22" s="1"/>
  <c r="AF79" i="22"/>
  <c r="AG79" i="22" s="1"/>
  <c r="U80" i="22"/>
  <c r="V80" i="22" s="1"/>
  <c r="AF80" i="22"/>
  <c r="AG80" i="22" s="1"/>
  <c r="U81" i="22"/>
  <c r="V81" i="22" s="1"/>
  <c r="AF81" i="22"/>
  <c r="AG81" i="22" s="1"/>
  <c r="AH81" i="22"/>
  <c r="U82" i="22"/>
  <c r="V82" i="22" s="1"/>
  <c r="AF82" i="22"/>
  <c r="AG82" i="22" s="1"/>
  <c r="U83" i="22"/>
  <c r="V83" i="22" s="1"/>
  <c r="AF83" i="22"/>
  <c r="AG83" i="22" s="1"/>
  <c r="U84" i="22"/>
  <c r="V84" i="22" s="1"/>
  <c r="AF84" i="22"/>
  <c r="AG84" i="22" s="1"/>
  <c r="U85" i="22"/>
  <c r="V85" i="22" s="1"/>
  <c r="AF85" i="22"/>
  <c r="AG85" i="22" s="1"/>
  <c r="U86" i="22"/>
  <c r="V86" i="22" s="1"/>
  <c r="AF86" i="22"/>
  <c r="AH86" i="22" s="1"/>
  <c r="U87" i="22"/>
  <c r="V87" i="22" s="1"/>
  <c r="W87" i="22"/>
  <c r="AF87" i="22"/>
  <c r="AH87" i="22" s="1"/>
  <c r="U88" i="22"/>
  <c r="V88" i="22" s="1"/>
  <c r="AF88" i="22"/>
  <c r="AG88" i="22" s="1"/>
  <c r="U89" i="22"/>
  <c r="V89" i="22" s="1"/>
  <c r="AF89" i="22"/>
  <c r="AG89" i="22" s="1"/>
  <c r="U90" i="22"/>
  <c r="V90" i="22" s="1"/>
  <c r="AF90" i="22"/>
  <c r="AG90" i="22" s="1"/>
  <c r="U91" i="22"/>
  <c r="V91" i="22" s="1"/>
  <c r="AF91" i="22"/>
  <c r="AH91" i="22" s="1"/>
  <c r="U92" i="22"/>
  <c r="V92" i="22" s="1"/>
  <c r="AF92" i="22"/>
  <c r="AG92" i="22" s="1"/>
  <c r="U93" i="22"/>
  <c r="V93" i="22" s="1"/>
  <c r="AF93" i="22"/>
  <c r="AG93" i="22" s="1"/>
  <c r="U94" i="22"/>
  <c r="V94" i="22" s="1"/>
  <c r="AF94" i="22"/>
  <c r="AG94" i="22" s="1"/>
  <c r="U95" i="22"/>
  <c r="V95" i="22" s="1"/>
  <c r="AF95" i="22"/>
  <c r="AH95" i="22" s="1"/>
  <c r="U96" i="22"/>
  <c r="V96" i="22" s="1"/>
  <c r="AF96" i="22"/>
  <c r="AG96" i="22" s="1"/>
  <c r="U97" i="22"/>
  <c r="V97" i="22" s="1"/>
  <c r="AF97" i="22"/>
  <c r="AG97" i="22" s="1"/>
  <c r="U98" i="22"/>
  <c r="V98" i="22" s="1"/>
  <c r="AF98" i="22"/>
  <c r="AG98" i="22" s="1"/>
  <c r="U99" i="22"/>
  <c r="V99" i="22" s="1"/>
  <c r="AF99" i="22"/>
  <c r="AH99" i="22" s="1"/>
  <c r="U100" i="22"/>
  <c r="V100" i="22" s="1"/>
  <c r="AF100" i="22"/>
  <c r="AG100" i="22" s="1"/>
  <c r="U101" i="22"/>
  <c r="V101" i="22" s="1"/>
  <c r="AF101" i="22"/>
  <c r="AG101" i="22" s="1"/>
  <c r="U102" i="22"/>
  <c r="V102" i="22" s="1"/>
  <c r="AF102" i="22"/>
  <c r="AG102" i="22" s="1"/>
  <c r="U103" i="22"/>
  <c r="W103" i="22" s="1"/>
  <c r="AF103" i="22"/>
  <c r="AG103" i="22" s="1"/>
  <c r="U104" i="22"/>
  <c r="V104" i="22" s="1"/>
  <c r="AF104" i="22"/>
  <c r="AG104" i="22" s="1"/>
  <c r="U105" i="22"/>
  <c r="V105" i="22" s="1"/>
  <c r="AF105" i="22"/>
  <c r="AG105" i="22" s="1"/>
  <c r="U106" i="22"/>
  <c r="V106" i="22" s="1"/>
  <c r="AF106" i="22"/>
  <c r="AG106" i="22" s="1"/>
  <c r="AH106" i="22"/>
  <c r="U107" i="22"/>
  <c r="W107" i="22" s="1"/>
  <c r="AF107" i="22"/>
  <c r="AH107" i="22" s="1"/>
  <c r="U108" i="22"/>
  <c r="V108" i="22" s="1"/>
  <c r="AF108" i="22"/>
  <c r="AG108" i="22" s="1"/>
  <c r="U109" i="22"/>
  <c r="V109" i="22" s="1"/>
  <c r="AF109" i="22"/>
  <c r="AG109" i="22" s="1"/>
  <c r="AH112" i="22" l="1"/>
  <c r="V107" i="22"/>
  <c r="AG78" i="22"/>
  <c r="AH105" i="22"/>
  <c r="W94" i="22"/>
  <c r="AH102" i="22"/>
  <c r="AG99" i="22"/>
  <c r="AG86" i="22"/>
  <c r="W83" i="22"/>
  <c r="W102" i="22"/>
  <c r="AG95" i="22"/>
  <c r="AH74" i="22"/>
  <c r="W98" i="22"/>
  <c r="AG91" i="22"/>
  <c r="AH98" i="22"/>
  <c r="AH94" i="22"/>
  <c r="W82" i="22"/>
  <c r="AH109" i="22"/>
  <c r="W90" i="22"/>
  <c r="AG87" i="22"/>
  <c r="W86" i="22"/>
  <c r="W79" i="22"/>
  <c r="AH77" i="22"/>
  <c r="AH89" i="22"/>
  <c r="AH85" i="22"/>
  <c r="W106" i="22"/>
  <c r="W99" i="22"/>
  <c r="W95" i="22"/>
  <c r="W91" i="22"/>
  <c r="AH82" i="22"/>
  <c r="AG107" i="22"/>
  <c r="V103" i="22"/>
  <c r="AH101" i="22"/>
  <c r="AH97" i="22"/>
  <c r="AH93" i="22"/>
  <c r="V269" i="18"/>
  <c r="AH267" i="18"/>
  <c r="V265" i="18"/>
  <c r="AH263" i="18"/>
  <c r="V261" i="18"/>
  <c r="AH262" i="18"/>
  <c r="W108" i="22"/>
  <c r="W104" i="22"/>
  <c r="W100" i="22"/>
  <c r="W96" i="22"/>
  <c r="W92" i="22"/>
  <c r="W88" i="22"/>
  <c r="W84" i="22"/>
  <c r="W80" i="22"/>
  <c r="W76" i="22"/>
  <c r="AH90" i="22"/>
  <c r="W109" i="22"/>
  <c r="W105" i="22"/>
  <c r="W101" i="22"/>
  <c r="W97" i="22"/>
  <c r="W93" i="22"/>
  <c r="W89" i="22"/>
  <c r="W85" i="22"/>
  <c r="W81" i="22"/>
  <c r="W77" i="22"/>
  <c r="AH103" i="22"/>
  <c r="AH83" i="22"/>
  <c r="AH79" i="22"/>
  <c r="AH75" i="22"/>
  <c r="W74" i="22"/>
  <c r="AH108" i="22"/>
  <c r="AH104" i="22"/>
  <c r="AH100" i="22"/>
  <c r="AH96" i="22"/>
  <c r="AH92" i="22"/>
  <c r="AH88" i="22"/>
  <c r="AH84" i="22"/>
  <c r="AH80" i="22"/>
  <c r="AH76" i="22"/>
  <c r="Q141" i="18"/>
  <c r="U230" i="18"/>
  <c r="W230" i="18" s="1"/>
  <c r="V230" i="18"/>
  <c r="AF230" i="18"/>
  <c r="AG230" i="18"/>
  <c r="AH230" i="18"/>
  <c r="U231" i="18"/>
  <c r="V231" i="18"/>
  <c r="W231" i="18"/>
  <c r="AF231" i="18"/>
  <c r="AG231" i="18" s="1"/>
  <c r="U232" i="18"/>
  <c r="V232" i="18" s="1"/>
  <c r="AF232" i="18"/>
  <c r="AG232" i="18" s="1"/>
  <c r="U233" i="18"/>
  <c r="V233" i="18" s="1"/>
  <c r="AF233" i="18"/>
  <c r="AG233" i="18"/>
  <c r="AH233" i="18"/>
  <c r="U234" i="18"/>
  <c r="W234" i="18" s="1"/>
  <c r="V234" i="18"/>
  <c r="AF234" i="18"/>
  <c r="AG234" i="18" s="1"/>
  <c r="U235" i="18"/>
  <c r="V235" i="18"/>
  <c r="W235" i="18"/>
  <c r="AF235" i="18"/>
  <c r="AG235" i="18" s="1"/>
  <c r="U236" i="18"/>
  <c r="V236" i="18" s="1"/>
  <c r="AF236" i="18"/>
  <c r="AG236" i="18" s="1"/>
  <c r="U237" i="18"/>
  <c r="W237" i="18" s="1"/>
  <c r="V237" i="18"/>
  <c r="AF237" i="18"/>
  <c r="AG237" i="18" s="1"/>
  <c r="AH237" i="18"/>
  <c r="U238" i="18"/>
  <c r="V238" i="18"/>
  <c r="W238" i="18"/>
  <c r="AF238" i="18"/>
  <c r="AG238" i="18" s="1"/>
  <c r="U239" i="18"/>
  <c r="W239" i="18" s="1"/>
  <c r="V239" i="18"/>
  <c r="AF239" i="18"/>
  <c r="AG239" i="18"/>
  <c r="AH239" i="18"/>
  <c r="U240" i="18"/>
  <c r="V240" i="18" s="1"/>
  <c r="AF240" i="18"/>
  <c r="AG240" i="18" s="1"/>
  <c r="U241" i="18"/>
  <c r="W241" i="18" s="1"/>
  <c r="V241" i="18"/>
  <c r="AF241" i="18"/>
  <c r="AG241" i="18" s="1"/>
  <c r="U242" i="18"/>
  <c r="V242" i="18"/>
  <c r="W242" i="18"/>
  <c r="AF242" i="18"/>
  <c r="AG242" i="18" s="1"/>
  <c r="U243" i="18"/>
  <c r="W243" i="18" s="1"/>
  <c r="AF243" i="18"/>
  <c r="AG243" i="18" s="1"/>
  <c r="U244" i="18"/>
  <c r="W244" i="18" s="1"/>
  <c r="AF244" i="18"/>
  <c r="AG244" i="18" s="1"/>
  <c r="U245" i="18"/>
  <c r="W245" i="18" s="1"/>
  <c r="V245" i="18"/>
  <c r="AF245" i="18"/>
  <c r="AG245" i="18" s="1"/>
  <c r="U246" i="18"/>
  <c r="V246" i="18" s="1"/>
  <c r="AF246" i="18"/>
  <c r="AG246" i="18" s="1"/>
  <c r="U247" i="18"/>
  <c r="W247" i="18" s="1"/>
  <c r="V247" i="18"/>
  <c r="AF247" i="18"/>
  <c r="AG247" i="18" s="1"/>
  <c r="U248" i="18"/>
  <c r="W248" i="18" s="1"/>
  <c r="AF248" i="18"/>
  <c r="AG248" i="18" s="1"/>
  <c r="U249" i="18"/>
  <c r="W249" i="18" s="1"/>
  <c r="V249" i="18"/>
  <c r="AF249" i="18"/>
  <c r="AG249" i="18" s="1"/>
  <c r="AH249" i="18"/>
  <c r="U250" i="18"/>
  <c r="V250" i="18" s="1"/>
  <c r="AF250" i="18"/>
  <c r="AG250" i="18" s="1"/>
  <c r="U251" i="18"/>
  <c r="W251" i="18" s="1"/>
  <c r="V251" i="18"/>
  <c r="AF251" i="18"/>
  <c r="AG251" i="18" s="1"/>
  <c r="AH251" i="18"/>
  <c r="U252" i="18"/>
  <c r="W252" i="18" s="1"/>
  <c r="AF252" i="18"/>
  <c r="AG252" i="18" s="1"/>
  <c r="U253" i="18"/>
  <c r="W253" i="18" s="1"/>
  <c r="V253" i="18"/>
  <c r="AF253" i="18"/>
  <c r="AG253" i="18" s="1"/>
  <c r="AH253" i="18"/>
  <c r="U254" i="18"/>
  <c r="V254" i="18" s="1"/>
  <c r="AF254" i="18"/>
  <c r="AG254" i="18" s="1"/>
  <c r="U255" i="18"/>
  <c r="V255" i="18" s="1"/>
  <c r="AF255" i="18"/>
  <c r="AG255" i="18" s="1"/>
  <c r="AH255" i="18"/>
  <c r="U256" i="18"/>
  <c r="W256" i="18" s="1"/>
  <c r="V256" i="18"/>
  <c r="AF256" i="18"/>
  <c r="AG256" i="18" s="1"/>
  <c r="U257" i="18"/>
  <c r="V257" i="18" s="1"/>
  <c r="AF257" i="18"/>
  <c r="AG257" i="18" s="1"/>
  <c r="AH257" i="18"/>
  <c r="U258" i="18"/>
  <c r="V258" i="18" s="1"/>
  <c r="AF258" i="18"/>
  <c r="AG258" i="18" s="1"/>
  <c r="U259" i="18"/>
  <c r="V259" i="18" s="1"/>
  <c r="AF259" i="18"/>
  <c r="AG259" i="18" s="1"/>
  <c r="AH259" i="18"/>
  <c r="Q5" i="18"/>
  <c r="Q25" i="18"/>
  <c r="U229" i="18"/>
  <c r="V229" i="18" s="1"/>
  <c r="W229" i="18"/>
  <c r="AF229" i="18"/>
  <c r="AG229" i="18" s="1"/>
  <c r="W259" i="18" l="1"/>
  <c r="W257" i="18"/>
  <c r="W255" i="18"/>
  <c r="W246" i="18"/>
  <c r="V244" i="18"/>
  <c r="AH241" i="18"/>
  <c r="V248" i="18"/>
  <c r="AH258" i="18"/>
  <c r="V252" i="18"/>
  <c r="AH247" i="18"/>
  <c r="AH245" i="18"/>
  <c r="W232" i="18"/>
  <c r="V243" i="18"/>
  <c r="AH243" i="18"/>
  <c r="W240" i="18"/>
  <c r="W236" i="18"/>
  <c r="AH254" i="18"/>
  <c r="AH250" i="18"/>
  <c r="AH246" i="18"/>
  <c r="AH242" i="18"/>
  <c r="AH238" i="18"/>
  <c r="AH234" i="18"/>
  <c r="W233" i="18"/>
  <c r="AH235" i="18"/>
  <c r="AH231" i="18"/>
  <c r="W258" i="18"/>
  <c r="W254" i="18"/>
  <c r="W250" i="18"/>
  <c r="AH256" i="18"/>
  <c r="AH252" i="18"/>
  <c r="AH248" i="18"/>
  <c r="AH244" i="18"/>
  <c r="AH240" i="18"/>
  <c r="AH236" i="18"/>
  <c r="AH232" i="18"/>
  <c r="AH229" i="18"/>
  <c r="U69" i="22"/>
  <c r="V69" i="22" s="1"/>
  <c r="AF69" i="22"/>
  <c r="AG69" i="22" s="1"/>
  <c r="U70" i="22"/>
  <c r="W70" i="22" s="1"/>
  <c r="AF70" i="22"/>
  <c r="AG70" i="22" s="1"/>
  <c r="U71" i="22"/>
  <c r="W71" i="22" s="1"/>
  <c r="AF71" i="22"/>
  <c r="AG71" i="22" s="1"/>
  <c r="U72" i="22"/>
  <c r="V72" i="22" s="1"/>
  <c r="AF72" i="22"/>
  <c r="AG72" i="22" s="1"/>
  <c r="U73" i="22"/>
  <c r="V73" i="22" s="1"/>
  <c r="AF73" i="22"/>
  <c r="AG73" i="22" s="1"/>
  <c r="AH70" i="22" l="1"/>
  <c r="V70" i="22"/>
  <c r="W72" i="22"/>
  <c r="V71" i="22"/>
  <c r="AH73" i="22"/>
  <c r="AH69" i="22"/>
  <c r="AH72" i="22"/>
  <c r="W73" i="22"/>
  <c r="W69" i="22"/>
  <c r="AH71" i="22"/>
  <c r="U59" i="22"/>
  <c r="V59" i="22" s="1"/>
  <c r="AF59" i="22"/>
  <c r="AG59" i="22" s="1"/>
  <c r="U60" i="22"/>
  <c r="W60" i="22" s="1"/>
  <c r="AF60" i="22"/>
  <c r="AG60" i="22" s="1"/>
  <c r="U61" i="22"/>
  <c r="V61" i="22" s="1"/>
  <c r="AF61" i="22"/>
  <c r="AH61" i="22" s="1"/>
  <c r="U62" i="22"/>
  <c r="V62" i="22" s="1"/>
  <c r="AF62" i="22"/>
  <c r="AH62" i="22" s="1"/>
  <c r="U63" i="22"/>
  <c r="V63" i="22" s="1"/>
  <c r="AF63" i="22"/>
  <c r="AG63" i="22" s="1"/>
  <c r="U64" i="22"/>
  <c r="V64" i="22" s="1"/>
  <c r="W64" i="22"/>
  <c r="AF64" i="22"/>
  <c r="AG64" i="22" s="1"/>
  <c r="U65" i="22"/>
  <c r="V65" i="22" s="1"/>
  <c r="AF65" i="22"/>
  <c r="AH65" i="22" s="1"/>
  <c r="U66" i="22"/>
  <c r="V66" i="22" s="1"/>
  <c r="AF66" i="22"/>
  <c r="AG66" i="22" s="1"/>
  <c r="U67" i="22"/>
  <c r="V67" i="22" s="1"/>
  <c r="AF67" i="22"/>
  <c r="AG67" i="22" s="1"/>
  <c r="U68" i="22"/>
  <c r="V68" i="22" s="1"/>
  <c r="AF68" i="22"/>
  <c r="AH68" i="22" s="1"/>
  <c r="AG62" i="22" l="1"/>
  <c r="W59" i="22"/>
  <c r="W66" i="22"/>
  <c r="AH59" i="22"/>
  <c r="AG68" i="22"/>
  <c r="AH64" i="22"/>
  <c r="V60" i="22"/>
  <c r="W62" i="22"/>
  <c r="W61" i="22"/>
  <c r="AG65" i="22"/>
  <c r="AH66" i="22"/>
  <c r="W65" i="22"/>
  <c r="W68" i="22"/>
  <c r="AH63" i="22"/>
  <c r="AG61" i="22"/>
  <c r="AH67" i="22"/>
  <c r="AH60" i="22"/>
  <c r="W67" i="22"/>
  <c r="W63" i="22"/>
  <c r="U228" i="18"/>
  <c r="V228" i="18" s="1"/>
  <c r="AF228" i="18"/>
  <c r="AG228" i="18" s="1"/>
  <c r="AH228" i="18" l="1"/>
  <c r="W228" i="18"/>
  <c r="AF58" i="22"/>
  <c r="AH58" i="22" s="1"/>
  <c r="U58" i="22"/>
  <c r="W58" i="22" s="1"/>
  <c r="AF57" i="22"/>
  <c r="AH57" i="22" s="1"/>
  <c r="U57" i="22"/>
  <c r="W57" i="22" s="1"/>
  <c r="AF56" i="22"/>
  <c r="AG56" i="22" s="1"/>
  <c r="U56" i="22"/>
  <c r="V56" i="22" s="1"/>
  <c r="AF55" i="22"/>
  <c r="AH55" i="22" s="1"/>
  <c r="U55" i="22"/>
  <c r="V55" i="22" s="1"/>
  <c r="AF54" i="22"/>
  <c r="AG54" i="22" s="1"/>
  <c r="U54" i="22"/>
  <c r="W54" i="22" s="1"/>
  <c r="AF28" i="17"/>
  <c r="AG28" i="17" s="1"/>
  <c r="U28" i="17"/>
  <c r="W28" i="17" s="1"/>
  <c r="AF27" i="17"/>
  <c r="AH27" i="17" s="1"/>
  <c r="U27" i="17"/>
  <c r="W27" i="17" s="1"/>
  <c r="AF26" i="17"/>
  <c r="AG26" i="17" s="1"/>
  <c r="U26" i="17"/>
  <c r="W26" i="17" s="1"/>
  <c r="AF25" i="17"/>
  <c r="AH25" i="17" s="1"/>
  <c r="U25" i="17"/>
  <c r="W25" i="17" s="1"/>
  <c r="AF24" i="17"/>
  <c r="AG24" i="17" s="1"/>
  <c r="U24" i="17"/>
  <c r="W24" i="17" s="1"/>
  <c r="AF7" i="17"/>
  <c r="AG7" i="17" s="1"/>
  <c r="U7" i="17"/>
  <c r="V7" i="17" s="1"/>
  <c r="AF6" i="17"/>
  <c r="AH6" i="17" s="1"/>
  <c r="U6" i="17"/>
  <c r="W6" i="17" s="1"/>
  <c r="AF5" i="17"/>
  <c r="AH5" i="17" s="1"/>
  <c r="U5" i="17"/>
  <c r="V5" i="17" s="1"/>
  <c r="AF4" i="17"/>
  <c r="AH4" i="17" s="1"/>
  <c r="U4" i="17"/>
  <c r="W4" i="17" s="1"/>
  <c r="AF3" i="17"/>
  <c r="AH3" i="17" s="1"/>
  <c r="U3" i="17"/>
  <c r="W3" i="17" s="1"/>
  <c r="AF3" i="18"/>
  <c r="U3" i="18"/>
  <c r="W5" i="17" l="1"/>
  <c r="AH24" i="17"/>
  <c r="AH7" i="17"/>
  <c r="W56" i="22"/>
  <c r="AG57" i="22"/>
  <c r="AG58" i="22"/>
  <c r="W55" i="22"/>
  <c r="AG3" i="17"/>
  <c r="V26" i="17"/>
  <c r="AH28" i="17"/>
  <c r="AG4" i="17"/>
  <c r="W7" i="17"/>
  <c r="AH54" i="22"/>
  <c r="V3" i="17"/>
  <c r="AG27" i="17"/>
  <c r="AG25" i="17"/>
  <c r="V58" i="22"/>
  <c r="AG55" i="22"/>
  <c r="V57" i="22"/>
  <c r="V54" i="22"/>
  <c r="AH56" i="22"/>
  <c r="V25" i="17"/>
  <c r="V24" i="17"/>
  <c r="AH26" i="17"/>
  <c r="V28" i="17"/>
  <c r="V27" i="17"/>
  <c r="AG6" i="17"/>
  <c r="V4" i="17"/>
  <c r="AG5" i="17"/>
  <c r="V6" i="17"/>
  <c r="J11" i="17"/>
  <c r="J12" i="17"/>
  <c r="J14" i="17"/>
  <c r="O11" i="17"/>
  <c r="O12" i="17"/>
  <c r="O16" i="17" s="1"/>
  <c r="O14" i="17"/>
  <c r="P12" i="17"/>
  <c r="P11" i="17"/>
  <c r="K12" i="17"/>
  <c r="K11" i="17"/>
  <c r="P33" i="17"/>
  <c r="P32" i="17"/>
  <c r="K33" i="17"/>
  <c r="K32" i="17"/>
  <c r="P54" i="17"/>
  <c r="K54" i="17"/>
  <c r="P53" i="17"/>
  <c r="K53" i="17"/>
  <c r="U28" i="18"/>
  <c r="V28" i="18" s="1"/>
  <c r="W28" i="18" s="1"/>
  <c r="AF28" i="18"/>
  <c r="AG28" i="18" s="1"/>
  <c r="AH28" i="18" s="1"/>
  <c r="AF4" i="18"/>
  <c r="AG4" i="18" s="1"/>
  <c r="AF5" i="18"/>
  <c r="AG5" i="18" s="1"/>
  <c r="AF6" i="18"/>
  <c r="AG6" i="18" s="1"/>
  <c r="AF7" i="18"/>
  <c r="AG7" i="18" s="1"/>
  <c r="AF8" i="18"/>
  <c r="AG8" i="18" s="1"/>
  <c r="AF9" i="18"/>
  <c r="AG9" i="18" s="1"/>
  <c r="AF10" i="18"/>
  <c r="AG10" i="18" s="1"/>
  <c r="AF11" i="18"/>
  <c r="AG11" i="18" s="1"/>
  <c r="AF12" i="18"/>
  <c r="AG12" i="18" s="1"/>
  <c r="AF13" i="18"/>
  <c r="AG13" i="18" s="1"/>
  <c r="AF14" i="18"/>
  <c r="AG14" i="18" s="1"/>
  <c r="AF15" i="18"/>
  <c r="AG15" i="18" s="1"/>
  <c r="AF16" i="18"/>
  <c r="AG16" i="18" s="1"/>
  <c r="AF17" i="18"/>
  <c r="AG17" i="18" s="1"/>
  <c r="AF18" i="18"/>
  <c r="AG18" i="18" s="1"/>
  <c r="AF19" i="18"/>
  <c r="AG19" i="18" s="1"/>
  <c r="AF20" i="18"/>
  <c r="AG20" i="18" s="1"/>
  <c r="AF21" i="18"/>
  <c r="AG21" i="18" s="1"/>
  <c r="AF22" i="18"/>
  <c r="AG22" i="18" s="1"/>
  <c r="AF23" i="18"/>
  <c r="AG23" i="18" s="1"/>
  <c r="AF24" i="18"/>
  <c r="AG24" i="18" s="1"/>
  <c r="AF25" i="18"/>
  <c r="AG25" i="18" s="1"/>
  <c r="AF26" i="18"/>
  <c r="AG26" i="18" s="1"/>
  <c r="AF27" i="18"/>
  <c r="AG27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G45" i="18" s="1"/>
  <c r="AF46" i="18"/>
  <c r="AG46" i="18" s="1"/>
  <c r="AF47" i="18"/>
  <c r="AG47" i="18" s="1"/>
  <c r="AF48" i="18"/>
  <c r="AG48" i="18" s="1"/>
  <c r="AF49" i="18"/>
  <c r="AF50" i="18"/>
  <c r="AG50" i="18" s="1"/>
  <c r="AF51" i="18"/>
  <c r="AG51" i="18" s="1"/>
  <c r="AF52" i="18"/>
  <c r="AG52" i="18" s="1"/>
  <c r="AF53" i="18"/>
  <c r="AG53" i="18" s="1"/>
  <c r="AF54" i="18"/>
  <c r="AG54" i="18" s="1"/>
  <c r="AF55" i="18"/>
  <c r="AG55" i="18" s="1"/>
  <c r="AF56" i="18"/>
  <c r="AG56" i="18" s="1"/>
  <c r="AF57" i="18"/>
  <c r="AG57" i="18" s="1"/>
  <c r="AF58" i="18"/>
  <c r="AG58" i="18" s="1"/>
  <c r="AF59" i="18"/>
  <c r="AG59" i="18" s="1"/>
  <c r="AF60" i="18"/>
  <c r="AG60" i="18" s="1"/>
  <c r="AF61" i="18"/>
  <c r="AG61" i="18" s="1"/>
  <c r="AF62" i="18"/>
  <c r="AG62" i="18" s="1"/>
  <c r="AF63" i="18"/>
  <c r="AF64" i="18"/>
  <c r="AG64" i="18" s="1"/>
  <c r="AF65" i="18"/>
  <c r="AF66" i="18"/>
  <c r="AF67" i="18"/>
  <c r="AG67" i="18" s="1"/>
  <c r="AF68" i="18"/>
  <c r="AG68" i="18" s="1"/>
  <c r="AF69" i="18"/>
  <c r="AG69" i="18" s="1"/>
  <c r="AF70" i="18"/>
  <c r="AG70" i="18" s="1"/>
  <c r="AF71" i="18"/>
  <c r="AG71" i="18" s="1"/>
  <c r="AF72" i="18"/>
  <c r="AG72" i="18" s="1"/>
  <c r="AF73" i="18"/>
  <c r="AG73" i="18" s="1"/>
  <c r="AF74" i="18"/>
  <c r="AG74" i="18" s="1"/>
  <c r="AF75" i="18"/>
  <c r="AG75" i="18" s="1"/>
  <c r="AF76" i="18"/>
  <c r="AG76" i="18" s="1"/>
  <c r="AF77" i="18"/>
  <c r="AG77" i="18" s="1"/>
  <c r="AF78" i="18"/>
  <c r="AG78" i="18" s="1"/>
  <c r="AF79" i="18"/>
  <c r="AG79" i="18" s="1"/>
  <c r="AF80" i="18"/>
  <c r="AG80" i="18" s="1"/>
  <c r="AF81" i="18"/>
  <c r="AG81" i="18" s="1"/>
  <c r="AF82" i="18"/>
  <c r="AG82" i="18" s="1"/>
  <c r="AF83" i="18"/>
  <c r="AG83" i="18" s="1"/>
  <c r="AF84" i="18"/>
  <c r="AG84" i="18" s="1"/>
  <c r="AF85" i="18"/>
  <c r="AG85" i="18" s="1"/>
  <c r="AF86" i="18"/>
  <c r="AG86" i="18" s="1"/>
  <c r="AF87" i="18"/>
  <c r="AG87" i="18" s="1"/>
  <c r="AF88" i="18"/>
  <c r="AG88" i="18" s="1"/>
  <c r="AF89" i="18"/>
  <c r="AF90" i="18"/>
  <c r="AG90" i="18" s="1"/>
  <c r="AF91" i="18"/>
  <c r="AG91" i="18" s="1"/>
  <c r="AF92" i="18"/>
  <c r="AG92" i="18" s="1"/>
  <c r="AF93" i="18"/>
  <c r="AG93" i="18" s="1"/>
  <c r="AF94" i="18"/>
  <c r="AG94" i="18" s="1"/>
  <c r="AF95" i="18"/>
  <c r="AG95" i="18" s="1"/>
  <c r="AF96" i="18"/>
  <c r="AG96" i="18" s="1"/>
  <c r="AF97" i="18"/>
  <c r="AF98" i="18"/>
  <c r="AG98" i="18" s="1"/>
  <c r="AF99" i="18"/>
  <c r="AG99" i="18" s="1"/>
  <c r="AF100" i="18"/>
  <c r="AG100" i="18" s="1"/>
  <c r="AF101" i="18"/>
  <c r="AG101" i="18" s="1"/>
  <c r="AF102" i="18"/>
  <c r="AG102" i="18" s="1"/>
  <c r="AF103" i="18"/>
  <c r="AG103" i="18" s="1"/>
  <c r="AF104" i="18"/>
  <c r="AG104" i="18" s="1"/>
  <c r="AF105" i="18"/>
  <c r="AG105" i="18" s="1"/>
  <c r="AF106" i="18"/>
  <c r="AG106" i="18" s="1"/>
  <c r="AF107" i="18"/>
  <c r="AG107" i="18" s="1"/>
  <c r="AF108" i="18"/>
  <c r="AG108" i="18" s="1"/>
  <c r="AF109" i="18"/>
  <c r="AG109" i="18" s="1"/>
  <c r="AF110" i="18"/>
  <c r="AG110" i="18" s="1"/>
  <c r="AF111" i="18"/>
  <c r="AG111" i="18" s="1"/>
  <c r="AF112" i="18"/>
  <c r="AG112" i="18" s="1"/>
  <c r="AF113" i="18"/>
  <c r="AG113" i="18" s="1"/>
  <c r="AF114" i="18"/>
  <c r="AG114" i="18" s="1"/>
  <c r="AF115" i="18"/>
  <c r="AG115" i="18" s="1"/>
  <c r="AF116" i="18"/>
  <c r="AG116" i="18" s="1"/>
  <c r="AF117" i="18"/>
  <c r="AG117" i="18" s="1"/>
  <c r="AF118" i="18"/>
  <c r="AG118" i="18" s="1"/>
  <c r="AF119" i="18"/>
  <c r="AG119" i="18" s="1"/>
  <c r="AF120" i="18"/>
  <c r="AG120" i="18" s="1"/>
  <c r="AF121" i="18"/>
  <c r="AF122" i="18"/>
  <c r="AG122" i="18" s="1"/>
  <c r="AF123" i="18"/>
  <c r="AG123" i="18" s="1"/>
  <c r="AF124" i="18"/>
  <c r="AG124" i="18" s="1"/>
  <c r="AF125" i="18"/>
  <c r="AG125" i="18" s="1"/>
  <c r="AF126" i="18"/>
  <c r="AG126" i="18" s="1"/>
  <c r="AF127" i="18"/>
  <c r="AG127" i="18" s="1"/>
  <c r="AF128" i="18"/>
  <c r="AG128" i="18" s="1"/>
  <c r="AF129" i="18"/>
  <c r="AF130" i="18"/>
  <c r="AG130" i="18" s="1"/>
  <c r="AF131" i="18"/>
  <c r="AG131" i="18" s="1"/>
  <c r="AF132" i="18"/>
  <c r="AG132" i="18" s="1"/>
  <c r="AF133" i="18"/>
  <c r="AG133" i="18" s="1"/>
  <c r="AF134" i="18"/>
  <c r="AG134" i="18" s="1"/>
  <c r="AF135" i="18"/>
  <c r="AG135" i="18" s="1"/>
  <c r="AF136" i="18"/>
  <c r="AG136" i="18" s="1"/>
  <c r="AF137" i="18"/>
  <c r="AG137" i="18" s="1"/>
  <c r="AF138" i="18"/>
  <c r="AG138" i="18" s="1"/>
  <c r="AF139" i="18"/>
  <c r="AG139" i="18" s="1"/>
  <c r="AF140" i="18"/>
  <c r="AG140" i="18" s="1"/>
  <c r="AF141" i="18"/>
  <c r="AG141" i="18" s="1"/>
  <c r="AF142" i="18"/>
  <c r="AG142" i="18" s="1"/>
  <c r="AF143" i="18"/>
  <c r="AG143" i="18" s="1"/>
  <c r="AF144" i="18"/>
  <c r="AG144" i="18" s="1"/>
  <c r="AF145" i="18"/>
  <c r="AG145" i="18" s="1"/>
  <c r="AF146" i="18"/>
  <c r="AG146" i="18" s="1"/>
  <c r="AF147" i="18"/>
  <c r="AG147" i="18" s="1"/>
  <c r="AF148" i="18"/>
  <c r="AG148" i="18" s="1"/>
  <c r="AF149" i="18"/>
  <c r="AG149" i="18" s="1"/>
  <c r="AF150" i="18"/>
  <c r="AG150" i="18" s="1"/>
  <c r="AF151" i="18"/>
  <c r="AG151" i="18" s="1"/>
  <c r="AF152" i="18"/>
  <c r="AG152" i="18" s="1"/>
  <c r="AF153" i="18"/>
  <c r="AF154" i="18"/>
  <c r="AG154" i="18" s="1"/>
  <c r="AF155" i="18"/>
  <c r="AG155" i="18" s="1"/>
  <c r="AF156" i="18"/>
  <c r="AG156" i="18" s="1"/>
  <c r="AF157" i="18"/>
  <c r="AG157" i="18" s="1"/>
  <c r="AF158" i="18"/>
  <c r="AG158" i="18" s="1"/>
  <c r="AF159" i="18"/>
  <c r="AG159" i="18" s="1"/>
  <c r="AF160" i="18"/>
  <c r="AG160" i="18" s="1"/>
  <c r="AF161" i="18"/>
  <c r="AF162" i="18"/>
  <c r="AG162" i="18" s="1"/>
  <c r="AF163" i="18"/>
  <c r="AG163" i="18" s="1"/>
  <c r="AF164" i="18"/>
  <c r="AG164" i="18" s="1"/>
  <c r="AF165" i="18"/>
  <c r="AG165" i="18" s="1"/>
  <c r="AF166" i="18"/>
  <c r="AG166" i="18" s="1"/>
  <c r="AF167" i="18"/>
  <c r="AG167" i="18" s="1"/>
  <c r="AF168" i="18"/>
  <c r="AG168" i="18" s="1"/>
  <c r="AF169" i="18"/>
  <c r="AG169" i="18" s="1"/>
  <c r="AF170" i="18"/>
  <c r="AG170" i="18" s="1"/>
  <c r="AF171" i="18"/>
  <c r="AG171" i="18" s="1"/>
  <c r="AF172" i="18"/>
  <c r="AG172" i="18" s="1"/>
  <c r="AF173" i="18"/>
  <c r="AG173" i="18" s="1"/>
  <c r="AF174" i="18"/>
  <c r="AG174" i="18" s="1"/>
  <c r="AF175" i="18"/>
  <c r="AG175" i="18" s="1"/>
  <c r="AF176" i="18"/>
  <c r="AG176" i="18" s="1"/>
  <c r="AF177" i="18"/>
  <c r="AG177" i="18" s="1"/>
  <c r="AF178" i="18"/>
  <c r="AG178" i="18" s="1"/>
  <c r="AF179" i="18"/>
  <c r="AG179" i="18" s="1"/>
  <c r="AF180" i="18"/>
  <c r="AG180" i="18" s="1"/>
  <c r="AF181" i="18"/>
  <c r="AG181" i="18" s="1"/>
  <c r="AF182" i="18"/>
  <c r="AG182" i="18" s="1"/>
  <c r="AF183" i="18"/>
  <c r="AG183" i="18" s="1"/>
  <c r="AF184" i="18"/>
  <c r="AG184" i="18" s="1"/>
  <c r="AF185" i="18"/>
  <c r="AF186" i="18"/>
  <c r="AG186" i="18" s="1"/>
  <c r="AF187" i="18"/>
  <c r="AG187" i="18" s="1"/>
  <c r="AF188" i="18"/>
  <c r="AG188" i="18" s="1"/>
  <c r="AF189" i="18"/>
  <c r="AG189" i="18" s="1"/>
  <c r="AF190" i="18"/>
  <c r="AG190" i="18" s="1"/>
  <c r="AF191" i="18"/>
  <c r="AG191" i="18" s="1"/>
  <c r="AF192" i="18"/>
  <c r="AG192" i="18" s="1"/>
  <c r="AF193" i="18"/>
  <c r="AF194" i="18"/>
  <c r="AG194" i="18" s="1"/>
  <c r="AF195" i="18"/>
  <c r="AG195" i="18" s="1"/>
  <c r="AF196" i="18"/>
  <c r="AG196" i="18" s="1"/>
  <c r="AF197" i="18"/>
  <c r="AG197" i="18" s="1"/>
  <c r="AF198" i="18"/>
  <c r="AG198" i="18" s="1"/>
  <c r="AF199" i="18"/>
  <c r="AG199" i="18" s="1"/>
  <c r="AF200" i="18"/>
  <c r="AG200" i="18" s="1"/>
  <c r="AF201" i="18"/>
  <c r="AG201" i="18" s="1"/>
  <c r="AF202" i="18"/>
  <c r="AG202" i="18" s="1"/>
  <c r="AF203" i="18"/>
  <c r="AG203" i="18" s="1"/>
  <c r="AF204" i="18"/>
  <c r="AG204" i="18" s="1"/>
  <c r="AF205" i="18"/>
  <c r="AG205" i="18" s="1"/>
  <c r="AF206" i="18"/>
  <c r="AG206" i="18" s="1"/>
  <c r="AF207" i="18"/>
  <c r="AG207" i="18" s="1"/>
  <c r="AF208" i="18"/>
  <c r="AG208" i="18" s="1"/>
  <c r="AF209" i="18"/>
  <c r="AG209" i="18" s="1"/>
  <c r="AF210" i="18"/>
  <c r="AG210" i="18" s="1"/>
  <c r="AF211" i="18"/>
  <c r="AG211" i="18" s="1"/>
  <c r="AF212" i="18"/>
  <c r="AG212" i="18" s="1"/>
  <c r="AF213" i="18"/>
  <c r="AG213" i="18" s="1"/>
  <c r="AF214" i="18"/>
  <c r="AG214" i="18" s="1"/>
  <c r="AF215" i="18"/>
  <c r="AG215" i="18" s="1"/>
  <c r="AF216" i="18"/>
  <c r="AG216" i="18" s="1"/>
  <c r="AF217" i="18"/>
  <c r="AG217" i="18" s="1"/>
  <c r="AF218" i="18"/>
  <c r="AG218" i="18" s="1"/>
  <c r="AF219" i="18"/>
  <c r="AG219" i="18" s="1"/>
  <c r="AF220" i="18"/>
  <c r="AG220" i="18" s="1"/>
  <c r="AF221" i="18"/>
  <c r="AG221" i="18" s="1"/>
  <c r="AF222" i="18"/>
  <c r="AG222" i="18" s="1"/>
  <c r="AF223" i="18"/>
  <c r="AF224" i="18"/>
  <c r="AH224" i="18" s="1"/>
  <c r="AF225" i="18"/>
  <c r="AH225" i="18" s="1"/>
  <c r="AF226" i="18"/>
  <c r="AG226" i="18" s="1"/>
  <c r="AF227" i="18"/>
  <c r="AG227" i="18" s="1"/>
  <c r="AG3" i="18"/>
  <c r="U4" i="18"/>
  <c r="V4" i="18" s="1"/>
  <c r="U5" i="18"/>
  <c r="V5" i="18" s="1"/>
  <c r="U6" i="18"/>
  <c r="V6" i="18" s="1"/>
  <c r="U7" i="18"/>
  <c r="V7" i="18" s="1"/>
  <c r="U8" i="18"/>
  <c r="V8" i="18" s="1"/>
  <c r="U9" i="18"/>
  <c r="V9" i="18" s="1"/>
  <c r="U10" i="18"/>
  <c r="V10" i="18" s="1"/>
  <c r="U11" i="18"/>
  <c r="V11" i="18" s="1"/>
  <c r="U12" i="18"/>
  <c r="V12" i="18" s="1"/>
  <c r="U13" i="18"/>
  <c r="V13" i="18" s="1"/>
  <c r="U14" i="18"/>
  <c r="V14" i="18" s="1"/>
  <c r="U15" i="18"/>
  <c r="V15" i="18" s="1"/>
  <c r="U16" i="18"/>
  <c r="V16" i="18" s="1"/>
  <c r="U17" i="18"/>
  <c r="V17" i="18" s="1"/>
  <c r="U18" i="18"/>
  <c r="V18" i="18" s="1"/>
  <c r="U19" i="18"/>
  <c r="V19" i="18" s="1"/>
  <c r="U20" i="18"/>
  <c r="V20" i="18" s="1"/>
  <c r="U21" i="18"/>
  <c r="V21" i="18" s="1"/>
  <c r="U22" i="18"/>
  <c r="V22" i="18" s="1"/>
  <c r="U23" i="18"/>
  <c r="V23" i="18" s="1"/>
  <c r="U24" i="18"/>
  <c r="V24" i="18" s="1"/>
  <c r="U25" i="18"/>
  <c r="V25" i="18" s="1"/>
  <c r="U26" i="18"/>
  <c r="V26" i="18" s="1"/>
  <c r="U27" i="18"/>
  <c r="V27" i="18" s="1"/>
  <c r="U39" i="18"/>
  <c r="V39" i="18" s="1"/>
  <c r="U40" i="18"/>
  <c r="V40" i="18" s="1"/>
  <c r="U41" i="18"/>
  <c r="V41" i="18" s="1"/>
  <c r="U42" i="18"/>
  <c r="V42" i="18" s="1"/>
  <c r="U43" i="18"/>
  <c r="V43" i="18" s="1"/>
  <c r="U44" i="18"/>
  <c r="V44" i="18" s="1"/>
  <c r="U45" i="18"/>
  <c r="V45" i="18" s="1"/>
  <c r="U46" i="18"/>
  <c r="V46" i="18" s="1"/>
  <c r="U47" i="18"/>
  <c r="V47" i="18" s="1"/>
  <c r="U48" i="18"/>
  <c r="V48" i="18" s="1"/>
  <c r="U49" i="18"/>
  <c r="V49" i="18" s="1"/>
  <c r="U50" i="18"/>
  <c r="V50" i="18" s="1"/>
  <c r="U51" i="18"/>
  <c r="V51" i="18" s="1"/>
  <c r="U52" i="18"/>
  <c r="V52" i="18" s="1"/>
  <c r="U53" i="18"/>
  <c r="V53" i="18" s="1"/>
  <c r="U54" i="18"/>
  <c r="V54" i="18" s="1"/>
  <c r="U55" i="18"/>
  <c r="V55" i="18" s="1"/>
  <c r="U56" i="18"/>
  <c r="V56" i="18" s="1"/>
  <c r="U57" i="18"/>
  <c r="V57" i="18" s="1"/>
  <c r="U58" i="18"/>
  <c r="V58" i="18" s="1"/>
  <c r="U59" i="18"/>
  <c r="V59" i="18" s="1"/>
  <c r="U60" i="18"/>
  <c r="V60" i="18" s="1"/>
  <c r="U61" i="18"/>
  <c r="V61" i="18" s="1"/>
  <c r="U62" i="18"/>
  <c r="V62" i="18" s="1"/>
  <c r="U63" i="18"/>
  <c r="V63" i="18" s="1"/>
  <c r="U64" i="18"/>
  <c r="V64" i="18" s="1"/>
  <c r="U65" i="18"/>
  <c r="V65" i="18" s="1"/>
  <c r="U66" i="18"/>
  <c r="V66" i="18" s="1"/>
  <c r="U67" i="18"/>
  <c r="V67" i="18" s="1"/>
  <c r="U68" i="18"/>
  <c r="V68" i="18" s="1"/>
  <c r="U69" i="18"/>
  <c r="V69" i="18" s="1"/>
  <c r="U70" i="18"/>
  <c r="V70" i="18" s="1"/>
  <c r="U71" i="18"/>
  <c r="V71" i="18" s="1"/>
  <c r="U72" i="18"/>
  <c r="V72" i="18" s="1"/>
  <c r="U73" i="18"/>
  <c r="V73" i="18" s="1"/>
  <c r="U74" i="18"/>
  <c r="V74" i="18" s="1"/>
  <c r="U75" i="18"/>
  <c r="V75" i="18" s="1"/>
  <c r="U76" i="18"/>
  <c r="V76" i="18" s="1"/>
  <c r="U77" i="18"/>
  <c r="V77" i="18" s="1"/>
  <c r="U78" i="18"/>
  <c r="V78" i="18" s="1"/>
  <c r="U79" i="18"/>
  <c r="V79" i="18" s="1"/>
  <c r="U80" i="18"/>
  <c r="V80" i="18" s="1"/>
  <c r="U81" i="18"/>
  <c r="V81" i="18" s="1"/>
  <c r="U82" i="18"/>
  <c r="V82" i="18" s="1"/>
  <c r="U83" i="18"/>
  <c r="V83" i="18" s="1"/>
  <c r="U84" i="18"/>
  <c r="V84" i="18" s="1"/>
  <c r="U85" i="18"/>
  <c r="V85" i="18" s="1"/>
  <c r="U86" i="18"/>
  <c r="V86" i="18" s="1"/>
  <c r="U87" i="18"/>
  <c r="V87" i="18" s="1"/>
  <c r="U88" i="18"/>
  <c r="V88" i="18" s="1"/>
  <c r="U89" i="18"/>
  <c r="V89" i="18" s="1"/>
  <c r="U90" i="18"/>
  <c r="V90" i="18" s="1"/>
  <c r="U91" i="18"/>
  <c r="V91" i="18" s="1"/>
  <c r="U92" i="18"/>
  <c r="V92" i="18" s="1"/>
  <c r="U93" i="18"/>
  <c r="V93" i="18" s="1"/>
  <c r="U94" i="18"/>
  <c r="V94" i="18" s="1"/>
  <c r="U95" i="18"/>
  <c r="V95" i="18" s="1"/>
  <c r="U96" i="18"/>
  <c r="V96" i="18" s="1"/>
  <c r="U97" i="18"/>
  <c r="V97" i="18" s="1"/>
  <c r="U98" i="18"/>
  <c r="V98" i="18" s="1"/>
  <c r="U99" i="18"/>
  <c r="V99" i="18" s="1"/>
  <c r="U100" i="18"/>
  <c r="V100" i="18" s="1"/>
  <c r="U101" i="18"/>
  <c r="V101" i="18" s="1"/>
  <c r="U102" i="18"/>
  <c r="V102" i="18" s="1"/>
  <c r="U103" i="18"/>
  <c r="V103" i="18" s="1"/>
  <c r="U104" i="18"/>
  <c r="V104" i="18" s="1"/>
  <c r="U105" i="18"/>
  <c r="V105" i="18" s="1"/>
  <c r="U106" i="18"/>
  <c r="V106" i="18" s="1"/>
  <c r="U107" i="18"/>
  <c r="V107" i="18" s="1"/>
  <c r="U108" i="18"/>
  <c r="V108" i="18" s="1"/>
  <c r="U109" i="18"/>
  <c r="V109" i="18" s="1"/>
  <c r="U110" i="18"/>
  <c r="V110" i="18" s="1"/>
  <c r="U111" i="18"/>
  <c r="V111" i="18" s="1"/>
  <c r="U112" i="18"/>
  <c r="V112" i="18" s="1"/>
  <c r="U113" i="18"/>
  <c r="V113" i="18" s="1"/>
  <c r="U114" i="18"/>
  <c r="V114" i="18" s="1"/>
  <c r="U115" i="18"/>
  <c r="V115" i="18" s="1"/>
  <c r="U116" i="18"/>
  <c r="V116" i="18" s="1"/>
  <c r="U117" i="18"/>
  <c r="V117" i="18" s="1"/>
  <c r="U118" i="18"/>
  <c r="V118" i="18" s="1"/>
  <c r="U119" i="18"/>
  <c r="V119" i="18" s="1"/>
  <c r="U120" i="18"/>
  <c r="V120" i="18" s="1"/>
  <c r="U121" i="18"/>
  <c r="V121" i="18" s="1"/>
  <c r="U122" i="18"/>
  <c r="V122" i="18" s="1"/>
  <c r="U123" i="18"/>
  <c r="V123" i="18" s="1"/>
  <c r="U124" i="18"/>
  <c r="V124" i="18" s="1"/>
  <c r="U125" i="18"/>
  <c r="V125" i="18" s="1"/>
  <c r="U126" i="18"/>
  <c r="V126" i="18" s="1"/>
  <c r="U127" i="18"/>
  <c r="V127" i="18" s="1"/>
  <c r="U128" i="18"/>
  <c r="V128" i="18" s="1"/>
  <c r="U129" i="18"/>
  <c r="V129" i="18" s="1"/>
  <c r="U130" i="18"/>
  <c r="V130" i="18" s="1"/>
  <c r="U131" i="18"/>
  <c r="V131" i="18" s="1"/>
  <c r="U132" i="18"/>
  <c r="V132" i="18" s="1"/>
  <c r="U133" i="18"/>
  <c r="V133" i="18" s="1"/>
  <c r="U134" i="18"/>
  <c r="V134" i="18" s="1"/>
  <c r="U135" i="18"/>
  <c r="V135" i="18" s="1"/>
  <c r="U136" i="18"/>
  <c r="V136" i="18" s="1"/>
  <c r="U137" i="18"/>
  <c r="V137" i="18" s="1"/>
  <c r="U138" i="18"/>
  <c r="V138" i="18" s="1"/>
  <c r="U139" i="18"/>
  <c r="V139" i="18" s="1"/>
  <c r="U140" i="18"/>
  <c r="V140" i="18" s="1"/>
  <c r="U141" i="18"/>
  <c r="V141" i="18" s="1"/>
  <c r="U142" i="18"/>
  <c r="V142" i="18" s="1"/>
  <c r="U143" i="18"/>
  <c r="V143" i="18" s="1"/>
  <c r="U144" i="18"/>
  <c r="V144" i="18" s="1"/>
  <c r="U145" i="18"/>
  <c r="V145" i="18" s="1"/>
  <c r="U146" i="18"/>
  <c r="V146" i="18" s="1"/>
  <c r="U147" i="18"/>
  <c r="V147" i="18" s="1"/>
  <c r="U148" i="18"/>
  <c r="V148" i="18" s="1"/>
  <c r="U149" i="18"/>
  <c r="V149" i="18" s="1"/>
  <c r="U150" i="18"/>
  <c r="V150" i="18" s="1"/>
  <c r="U151" i="18"/>
  <c r="V151" i="18" s="1"/>
  <c r="U152" i="18"/>
  <c r="V152" i="18" s="1"/>
  <c r="U153" i="18"/>
  <c r="V153" i="18" s="1"/>
  <c r="U154" i="18"/>
  <c r="V154" i="18" s="1"/>
  <c r="U155" i="18"/>
  <c r="V155" i="18" s="1"/>
  <c r="U156" i="18"/>
  <c r="V156" i="18" s="1"/>
  <c r="U157" i="18"/>
  <c r="V157" i="18" s="1"/>
  <c r="U158" i="18"/>
  <c r="V158" i="18" s="1"/>
  <c r="U159" i="18"/>
  <c r="V159" i="18" s="1"/>
  <c r="U160" i="18"/>
  <c r="V160" i="18" s="1"/>
  <c r="U161" i="18"/>
  <c r="V161" i="18" s="1"/>
  <c r="U162" i="18"/>
  <c r="V162" i="18" s="1"/>
  <c r="U163" i="18"/>
  <c r="V163" i="18" s="1"/>
  <c r="U164" i="18"/>
  <c r="V164" i="18" s="1"/>
  <c r="U165" i="18"/>
  <c r="V165" i="18" s="1"/>
  <c r="U166" i="18"/>
  <c r="V166" i="18" s="1"/>
  <c r="U167" i="18"/>
  <c r="V167" i="18" s="1"/>
  <c r="U168" i="18"/>
  <c r="V168" i="18" s="1"/>
  <c r="U169" i="18"/>
  <c r="V169" i="18" s="1"/>
  <c r="U170" i="18"/>
  <c r="V170" i="18" s="1"/>
  <c r="U171" i="18"/>
  <c r="V171" i="18" s="1"/>
  <c r="U172" i="18"/>
  <c r="V172" i="18" s="1"/>
  <c r="U173" i="18"/>
  <c r="V173" i="18" s="1"/>
  <c r="U174" i="18"/>
  <c r="V174" i="18" s="1"/>
  <c r="U175" i="18"/>
  <c r="V175" i="18" s="1"/>
  <c r="U176" i="18"/>
  <c r="V176" i="18" s="1"/>
  <c r="U177" i="18"/>
  <c r="V177" i="18" s="1"/>
  <c r="U178" i="18"/>
  <c r="V178" i="18" s="1"/>
  <c r="U179" i="18"/>
  <c r="V179" i="18" s="1"/>
  <c r="U180" i="18"/>
  <c r="V180" i="18" s="1"/>
  <c r="U181" i="18"/>
  <c r="V181" i="18" s="1"/>
  <c r="U182" i="18"/>
  <c r="V182" i="18" s="1"/>
  <c r="U183" i="18"/>
  <c r="V183" i="18" s="1"/>
  <c r="U184" i="18"/>
  <c r="V184" i="18" s="1"/>
  <c r="U185" i="18"/>
  <c r="V185" i="18" s="1"/>
  <c r="U186" i="18"/>
  <c r="V186" i="18" s="1"/>
  <c r="U187" i="18"/>
  <c r="V187" i="18" s="1"/>
  <c r="U188" i="18"/>
  <c r="V188" i="18" s="1"/>
  <c r="U189" i="18"/>
  <c r="V189" i="18" s="1"/>
  <c r="U190" i="18"/>
  <c r="V190" i="18" s="1"/>
  <c r="U191" i="18"/>
  <c r="V191" i="18" s="1"/>
  <c r="U192" i="18"/>
  <c r="V192" i="18" s="1"/>
  <c r="U193" i="18"/>
  <c r="V193" i="18" s="1"/>
  <c r="U194" i="18"/>
  <c r="V194" i="18" s="1"/>
  <c r="U195" i="18"/>
  <c r="V195" i="18" s="1"/>
  <c r="U196" i="18"/>
  <c r="V196" i="18" s="1"/>
  <c r="U197" i="18"/>
  <c r="V197" i="18" s="1"/>
  <c r="U198" i="18"/>
  <c r="V198" i="18" s="1"/>
  <c r="U199" i="18"/>
  <c r="V199" i="18" s="1"/>
  <c r="U200" i="18"/>
  <c r="V200" i="18" s="1"/>
  <c r="U201" i="18"/>
  <c r="V201" i="18" s="1"/>
  <c r="U202" i="18"/>
  <c r="V202" i="18" s="1"/>
  <c r="U203" i="18"/>
  <c r="V203" i="18" s="1"/>
  <c r="U204" i="18"/>
  <c r="V204" i="18" s="1"/>
  <c r="U205" i="18"/>
  <c r="V205" i="18" s="1"/>
  <c r="U206" i="18"/>
  <c r="V206" i="18" s="1"/>
  <c r="U207" i="18"/>
  <c r="V207" i="18" s="1"/>
  <c r="U208" i="18"/>
  <c r="V208" i="18" s="1"/>
  <c r="U209" i="18"/>
  <c r="V209" i="18" s="1"/>
  <c r="U210" i="18"/>
  <c r="V210" i="18" s="1"/>
  <c r="U211" i="18"/>
  <c r="V211" i="18" s="1"/>
  <c r="U212" i="18"/>
  <c r="V212" i="18" s="1"/>
  <c r="U213" i="18"/>
  <c r="V213" i="18" s="1"/>
  <c r="U214" i="18"/>
  <c r="V214" i="18" s="1"/>
  <c r="U215" i="18"/>
  <c r="V215" i="18" s="1"/>
  <c r="U216" i="18"/>
  <c r="V216" i="18" s="1"/>
  <c r="U217" i="18"/>
  <c r="V217" i="18" s="1"/>
  <c r="U218" i="18"/>
  <c r="V218" i="18" s="1"/>
  <c r="U219" i="18"/>
  <c r="V219" i="18" s="1"/>
  <c r="U220" i="18"/>
  <c r="V220" i="18" s="1"/>
  <c r="U221" i="18"/>
  <c r="V221" i="18" s="1"/>
  <c r="U222" i="18"/>
  <c r="W222" i="18" s="1"/>
  <c r="U223" i="18"/>
  <c r="V223" i="18" s="1"/>
  <c r="U224" i="18"/>
  <c r="V224" i="18" s="1"/>
  <c r="U225" i="18"/>
  <c r="V225" i="18" s="1"/>
  <c r="U226" i="18"/>
  <c r="V226" i="18" s="1"/>
  <c r="U227" i="18"/>
  <c r="V227" i="18" s="1"/>
  <c r="V3" i="18"/>
  <c r="W3" i="18" s="1"/>
  <c r="AG41" i="18"/>
  <c r="AG49" i="18"/>
  <c r="AG63" i="18"/>
  <c r="AG65" i="18"/>
  <c r="AG66" i="18"/>
  <c r="AG89" i="18"/>
  <c r="AG97" i="18"/>
  <c r="AG121" i="18"/>
  <c r="AG129" i="18"/>
  <c r="AG153" i="18"/>
  <c r="AG161" i="18"/>
  <c r="AG185" i="18"/>
  <c r="AG193" i="18"/>
  <c r="AG223" i="18"/>
  <c r="J13" i="17" l="1"/>
  <c r="AG225" i="18"/>
  <c r="W226" i="18"/>
  <c r="AH220" i="18"/>
  <c r="O15" i="17"/>
  <c r="O13" i="17"/>
  <c r="J16" i="17"/>
  <c r="O20" i="17"/>
  <c r="W219" i="18"/>
  <c r="AG224" i="18"/>
  <c r="J20" i="17"/>
  <c r="J15" i="17"/>
  <c r="V222" i="18"/>
  <c r="W223" i="18"/>
  <c r="W227" i="18"/>
  <c r="W218" i="18"/>
  <c r="AH221" i="18"/>
  <c r="W224" i="18"/>
  <c r="W220" i="18"/>
  <c r="AH226" i="18"/>
  <c r="AH222" i="18"/>
  <c r="AH218" i="18"/>
  <c r="W225" i="18"/>
  <c r="W221" i="18"/>
  <c r="AH227" i="18"/>
  <c r="AH223" i="18"/>
  <c r="AH219" i="18"/>
  <c r="P59" i="17"/>
  <c r="K59" i="17"/>
  <c r="K38" i="17"/>
  <c r="P38" i="17"/>
  <c r="AF49" i="17" l="1"/>
  <c r="AH49" i="17" s="1"/>
  <c r="U49" i="17"/>
  <c r="W49" i="17" s="1"/>
  <c r="AF48" i="17"/>
  <c r="AH48" i="17" s="1"/>
  <c r="U48" i="17"/>
  <c r="W48" i="17" s="1"/>
  <c r="AF47" i="17"/>
  <c r="AH47" i="17" s="1"/>
  <c r="U47" i="17"/>
  <c r="V47" i="17" s="1"/>
  <c r="AF46" i="17"/>
  <c r="AH46" i="17" s="1"/>
  <c r="U46" i="17"/>
  <c r="W46" i="17" s="1"/>
  <c r="AF45" i="17"/>
  <c r="AH45" i="17" s="1"/>
  <c r="U45" i="17"/>
  <c r="W45" i="17" s="1"/>
  <c r="AF53" i="22"/>
  <c r="AG53" i="22" s="1"/>
  <c r="U53" i="22"/>
  <c r="W53" i="22" s="1"/>
  <c r="AF52" i="22"/>
  <c r="AG52" i="22" s="1"/>
  <c r="U52" i="22"/>
  <c r="V52" i="22" s="1"/>
  <c r="AF51" i="22"/>
  <c r="AH51" i="22" s="1"/>
  <c r="U51" i="22"/>
  <c r="W51" i="22" s="1"/>
  <c r="AF50" i="22"/>
  <c r="AH50" i="22" s="1"/>
  <c r="U50" i="22"/>
  <c r="W50" i="22" s="1"/>
  <c r="AF49" i="22"/>
  <c r="AG49" i="22" s="1"/>
  <c r="U49" i="22"/>
  <c r="V49" i="22" s="1"/>
  <c r="AF48" i="22"/>
  <c r="AH48" i="22" s="1"/>
  <c r="U48" i="22"/>
  <c r="W48" i="22" s="1"/>
  <c r="AF47" i="22"/>
  <c r="AH47" i="22" s="1"/>
  <c r="U47" i="22"/>
  <c r="V47" i="22" s="1"/>
  <c r="AF46" i="22"/>
  <c r="AG46" i="22" s="1"/>
  <c r="U46" i="22"/>
  <c r="V46" i="22" s="1"/>
  <c r="AF45" i="22"/>
  <c r="AH45" i="22" s="1"/>
  <c r="U45" i="22"/>
  <c r="V45" i="22" s="1"/>
  <c r="AF44" i="22"/>
  <c r="AH44" i="22" s="1"/>
  <c r="U44" i="22"/>
  <c r="W44" i="22" s="1"/>
  <c r="W21" i="18"/>
  <c r="W22" i="18"/>
  <c r="AH22" i="18"/>
  <c r="W23" i="18"/>
  <c r="W24" i="18"/>
  <c r="AH24" i="18"/>
  <c r="W25" i="18"/>
  <c r="W26" i="18"/>
  <c r="AH26" i="18"/>
  <c r="W47" i="17" l="1"/>
  <c r="W53" i="17" s="1"/>
  <c r="W59" i="17" s="1"/>
  <c r="AG47" i="22"/>
  <c r="AH49" i="22"/>
  <c r="V53" i="22"/>
  <c r="AG45" i="22"/>
  <c r="AG48" i="17"/>
  <c r="W52" i="22"/>
  <c r="W33" i="17"/>
  <c r="W32" i="17"/>
  <c r="W38" i="17" s="1"/>
  <c r="AG47" i="17"/>
  <c r="AH53" i="22"/>
  <c r="AH54" i="17"/>
  <c r="AH53" i="17"/>
  <c r="AG44" i="22"/>
  <c r="W47" i="22"/>
  <c r="W49" i="22"/>
  <c r="W46" i="22"/>
  <c r="AG48" i="22"/>
  <c r="AG46" i="17"/>
  <c r="W27" i="18"/>
  <c r="V46" i="17"/>
  <c r="V45" i="17"/>
  <c r="V49" i="17"/>
  <c r="V48" i="17"/>
  <c r="AG45" i="17"/>
  <c r="AG49" i="17"/>
  <c r="V50" i="22"/>
  <c r="AH52" i="22"/>
  <c r="V51" i="22"/>
  <c r="AG51" i="22"/>
  <c r="AG50" i="22"/>
  <c r="W45" i="22"/>
  <c r="V44" i="22"/>
  <c r="AH46" i="22"/>
  <c r="V48" i="22"/>
  <c r="AH25" i="18"/>
  <c r="AH21" i="18"/>
  <c r="AH27" i="18"/>
  <c r="AH23" i="18"/>
  <c r="P131" i="22"/>
  <c r="K131" i="22"/>
  <c r="P130" i="22"/>
  <c r="K130" i="22"/>
  <c r="P129" i="22"/>
  <c r="K129" i="22"/>
  <c r="AP121" i="22"/>
  <c r="P121" i="22"/>
  <c r="K121" i="22"/>
  <c r="K134" i="22" s="1"/>
  <c r="AP120" i="22"/>
  <c r="P120" i="22"/>
  <c r="K120" i="22"/>
  <c r="AF43" i="22"/>
  <c r="AH43" i="22" s="1"/>
  <c r="U43" i="22"/>
  <c r="V43" i="22" s="1"/>
  <c r="AF42" i="22"/>
  <c r="AH42" i="22" s="1"/>
  <c r="U42" i="22"/>
  <c r="V42" i="22" s="1"/>
  <c r="AF41" i="22"/>
  <c r="AH41" i="22" s="1"/>
  <c r="U41" i="22"/>
  <c r="V41" i="22" s="1"/>
  <c r="AF40" i="22"/>
  <c r="AH40" i="22" s="1"/>
  <c r="U40" i="22"/>
  <c r="W40" i="22" s="1"/>
  <c r="AF39" i="22"/>
  <c r="AG39" i="22" s="1"/>
  <c r="U39" i="22"/>
  <c r="V39" i="22" s="1"/>
  <c r="AF23" i="22"/>
  <c r="AG23" i="22" s="1"/>
  <c r="U23" i="22"/>
  <c r="V23" i="22" s="1"/>
  <c r="AF22" i="22"/>
  <c r="AH22" i="22" s="1"/>
  <c r="U22" i="22"/>
  <c r="W22" i="22" s="1"/>
  <c r="AF21" i="22"/>
  <c r="AH21" i="22" s="1"/>
  <c r="U21" i="22"/>
  <c r="V21" i="22" s="1"/>
  <c r="AF20" i="22"/>
  <c r="AG20" i="22" s="1"/>
  <c r="U20" i="22"/>
  <c r="V20" i="22" s="1"/>
  <c r="AF19" i="22"/>
  <c r="AG19" i="22" s="1"/>
  <c r="U19" i="22"/>
  <c r="V19" i="22" s="1"/>
  <c r="AF18" i="22"/>
  <c r="AH18" i="22" s="1"/>
  <c r="Y18" i="22"/>
  <c r="U18" i="22"/>
  <c r="V18" i="22" s="1"/>
  <c r="W43" i="22" l="1"/>
  <c r="AG43" i="22"/>
  <c r="AH39" i="22"/>
  <c r="W20" i="22"/>
  <c r="W18" i="22"/>
  <c r="W54" i="17"/>
  <c r="AG21" i="22"/>
  <c r="W39" i="22"/>
  <c r="AH33" i="17"/>
  <c r="AH32" i="17"/>
  <c r="AH38" i="17" s="1"/>
  <c r="AH131" i="22"/>
  <c r="AH130" i="22"/>
  <c r="W42" i="22"/>
  <c r="AH20" i="22"/>
  <c r="W23" i="22"/>
  <c r="AG40" i="22"/>
  <c r="W19" i="22"/>
  <c r="P125" i="22"/>
  <c r="K125" i="22"/>
  <c r="K123" i="22"/>
  <c r="K126" i="22"/>
  <c r="K127" i="22"/>
  <c r="P126" i="22"/>
  <c r="K133" i="22"/>
  <c r="K135" i="22" s="1"/>
  <c r="P133" i="22"/>
  <c r="P135" i="22" s="1"/>
  <c r="AH23" i="22"/>
  <c r="AG18" i="22"/>
  <c r="W21" i="22"/>
  <c r="AG41" i="22"/>
  <c r="W41" i="22"/>
  <c r="AG42" i="22"/>
  <c r="AH19" i="22"/>
  <c r="V40" i="22"/>
  <c r="AG22" i="22"/>
  <c r="K122" i="22"/>
  <c r="K124" i="22"/>
  <c r="P122" i="22"/>
  <c r="P124" i="22"/>
  <c r="P134" i="22"/>
  <c r="P123" i="22"/>
  <c r="P127" i="22"/>
  <c r="V22" i="22"/>
  <c r="AH129" i="22"/>
  <c r="AH141" i="22" s="1"/>
  <c r="W139" i="22" l="1"/>
  <c r="W143" i="22" s="1"/>
  <c r="W138" i="22"/>
  <c r="W146" i="22" s="1"/>
  <c r="AH138" i="22"/>
  <c r="AH146" i="22" s="1"/>
  <c r="W129" i="22"/>
  <c r="W141" i="22" s="1"/>
  <c r="W142" i="22" s="1"/>
  <c r="W145" i="22" s="1"/>
  <c r="W131" i="22"/>
  <c r="W121" i="22"/>
  <c r="W134" i="22" s="1"/>
  <c r="W120" i="22"/>
  <c r="W130" i="22"/>
  <c r="AH139" i="22"/>
  <c r="AH142" i="22" s="1"/>
  <c r="AH145" i="22" s="1"/>
  <c r="AH121" i="22"/>
  <c r="AH120" i="22"/>
  <c r="W140" i="22" l="1"/>
  <c r="W147" i="22"/>
  <c r="W144" i="22"/>
  <c r="W126" i="22"/>
  <c r="W123" i="22"/>
  <c r="AH144" i="22"/>
  <c r="W125" i="22"/>
  <c r="W127" i="22"/>
  <c r="W124" i="22"/>
  <c r="W133" i="22"/>
  <c r="W135" i="22" s="1"/>
  <c r="W122" i="22"/>
  <c r="AH143" i="22"/>
  <c r="AH147" i="22"/>
  <c r="AH140" i="22"/>
  <c r="AH126" i="22"/>
  <c r="AH124" i="22"/>
  <c r="AH127" i="22"/>
  <c r="AH125" i="22"/>
  <c r="AH123" i="22"/>
  <c r="AH134" i="22"/>
  <c r="AH122" i="22"/>
  <c r="AH133" i="22"/>
  <c r="AH135" i="22" s="1"/>
  <c r="AH69" i="18" l="1"/>
  <c r="AH123" i="18"/>
  <c r="AH127" i="18"/>
  <c r="AH131" i="18"/>
  <c r="AH135" i="18"/>
  <c r="AH139" i="18"/>
  <c r="AH143" i="18"/>
  <c r="AI143" i="18" s="1"/>
  <c r="AJ143" i="18" s="1"/>
  <c r="AH147" i="18"/>
  <c r="AI147" i="18" s="1"/>
  <c r="AJ147" i="18" s="1"/>
  <c r="AH151" i="18"/>
  <c r="AH155" i="18"/>
  <c r="AH159" i="18"/>
  <c r="AH163" i="18"/>
  <c r="AH167" i="18"/>
  <c r="AH171" i="18"/>
  <c r="AH179" i="18"/>
  <c r="AH187" i="18"/>
  <c r="AH195" i="18"/>
  <c r="AH203" i="18"/>
  <c r="AH211" i="18"/>
  <c r="W54" i="18"/>
  <c r="W60" i="18"/>
  <c r="W68" i="18"/>
  <c r="W69" i="18"/>
  <c r="W73" i="18"/>
  <c r="W74" i="18"/>
  <c r="W80" i="18"/>
  <c r="W84" i="18"/>
  <c r="W88" i="18"/>
  <c r="W89" i="18"/>
  <c r="W92" i="18"/>
  <c r="W93" i="18"/>
  <c r="W98" i="18"/>
  <c r="W104" i="18"/>
  <c r="W106" i="18"/>
  <c r="W110" i="18"/>
  <c r="W114" i="18"/>
  <c r="W116" i="18"/>
  <c r="W117" i="18"/>
  <c r="W120" i="18"/>
  <c r="W122" i="18"/>
  <c r="W124" i="18"/>
  <c r="W125" i="18"/>
  <c r="W128" i="18"/>
  <c r="W133" i="18"/>
  <c r="W136" i="18"/>
  <c r="W140" i="18"/>
  <c r="W146" i="18"/>
  <c r="X146" i="18" s="1"/>
  <c r="Y146" i="18" s="1"/>
  <c r="W154" i="18"/>
  <c r="W161" i="18"/>
  <c r="W162" i="18"/>
  <c r="W168" i="18"/>
  <c r="W172" i="18"/>
  <c r="W174" i="18"/>
  <c r="W176" i="18"/>
  <c r="W178" i="18"/>
  <c r="W180" i="18"/>
  <c r="W181" i="18"/>
  <c r="W182" i="18"/>
  <c r="W184" i="18"/>
  <c r="W188" i="18"/>
  <c r="W190" i="18"/>
  <c r="W192" i="18"/>
  <c r="W196" i="18"/>
  <c r="W200" i="18"/>
  <c r="W202" i="18"/>
  <c r="W204" i="18"/>
  <c r="W205" i="18"/>
  <c r="W206" i="18"/>
  <c r="W209" i="18"/>
  <c r="W212" i="18"/>
  <c r="W213" i="18"/>
  <c r="W214" i="18"/>
  <c r="W216" i="18" l="1"/>
  <c r="W193" i="18"/>
  <c r="W156" i="18"/>
  <c r="W150" i="18"/>
  <c r="W149" i="18"/>
  <c r="X149" i="18" s="1"/>
  <c r="Y149" i="18" s="1"/>
  <c r="W109" i="18"/>
  <c r="W77" i="18"/>
  <c r="W70" i="18"/>
  <c r="W130" i="18"/>
  <c r="W56" i="18"/>
  <c r="AH117" i="18"/>
  <c r="W118" i="18"/>
  <c r="AH101" i="18"/>
  <c r="W134" i="18"/>
  <c r="W100" i="18"/>
  <c r="W217" i="18"/>
  <c r="W194" i="18"/>
  <c r="AH19" i="18"/>
  <c r="AH162" i="18"/>
  <c r="W210" i="18"/>
  <c r="W201" i="18"/>
  <c r="W197" i="18"/>
  <c r="W144" i="18"/>
  <c r="X144" i="18" s="1"/>
  <c r="Y144" i="18" s="1"/>
  <c r="AH210" i="18"/>
  <c r="AH194" i="18"/>
  <c r="AH178" i="18"/>
  <c r="AH138" i="18"/>
  <c r="AH114" i="18"/>
  <c r="AH61" i="18"/>
  <c r="W153" i="18"/>
  <c r="W148" i="18"/>
  <c r="X148" i="18" s="1"/>
  <c r="Y148" i="18" s="1"/>
  <c r="W53" i="18"/>
  <c r="AH207" i="18"/>
  <c r="AH191" i="18"/>
  <c r="AH175" i="18"/>
  <c r="AH109" i="18"/>
  <c r="AH53" i="18"/>
  <c r="W129" i="18"/>
  <c r="AH154" i="18"/>
  <c r="AH106" i="18"/>
  <c r="AH45" i="18"/>
  <c r="W186" i="18"/>
  <c r="W102" i="18"/>
  <c r="W85" i="18"/>
  <c r="W81" i="18"/>
  <c r="AH130" i="18"/>
  <c r="W137" i="18"/>
  <c r="W165" i="18"/>
  <c r="W142" i="18"/>
  <c r="W112" i="18"/>
  <c r="W61" i="18"/>
  <c r="AH202" i="18"/>
  <c r="AH186" i="18"/>
  <c r="AH170" i="18"/>
  <c r="AH93" i="18"/>
  <c r="AH15" i="18"/>
  <c r="AH215" i="18"/>
  <c r="AH199" i="18"/>
  <c r="AH183" i="18"/>
  <c r="AH146" i="18"/>
  <c r="AI146" i="18" s="1"/>
  <c r="AJ146" i="18" s="1"/>
  <c r="AH85" i="18"/>
  <c r="AH13" i="18"/>
  <c r="W198" i="18"/>
  <c r="W160" i="18"/>
  <c r="W76" i="18"/>
  <c r="W66" i="18"/>
  <c r="W169" i="18"/>
  <c r="W164" i="18"/>
  <c r="W49" i="18"/>
  <c r="AH122" i="18"/>
  <c r="AH77" i="18"/>
  <c r="W132" i="18"/>
  <c r="W58" i="18"/>
  <c r="AH216" i="18"/>
  <c r="AH208" i="18"/>
  <c r="AH200" i="18"/>
  <c r="AH192" i="18"/>
  <c r="AH184" i="18"/>
  <c r="AH176" i="18"/>
  <c r="AH168" i="18"/>
  <c r="AH160" i="18"/>
  <c r="AH152" i="18"/>
  <c r="AH144" i="18"/>
  <c r="AI144" i="18" s="1"/>
  <c r="AJ144" i="18" s="1"/>
  <c r="AH136" i="18"/>
  <c r="AH128" i="18"/>
  <c r="AH120" i="18"/>
  <c r="AH112" i="18"/>
  <c r="AH104" i="18"/>
  <c r="AH96" i="18"/>
  <c r="AI96" i="18" s="1"/>
  <c r="AJ96" i="18" s="1"/>
  <c r="AH88" i="18"/>
  <c r="AH80" i="18"/>
  <c r="AH72" i="18"/>
  <c r="AH64" i="18"/>
  <c r="AH56" i="18"/>
  <c r="AH48" i="18"/>
  <c r="W157" i="18"/>
  <c r="W113" i="18"/>
  <c r="W57" i="18"/>
  <c r="W42" i="18"/>
  <c r="W48" i="18"/>
  <c r="AH214" i="18"/>
  <c r="AH206" i="18"/>
  <c r="AH198" i="18"/>
  <c r="AH190" i="18"/>
  <c r="AH182" i="18"/>
  <c r="AH174" i="18"/>
  <c r="AH166" i="18"/>
  <c r="AH158" i="18"/>
  <c r="AH150" i="18"/>
  <c r="AH142" i="18"/>
  <c r="AH134" i="18"/>
  <c r="AH126" i="18"/>
  <c r="AH118" i="18"/>
  <c r="AH110" i="18"/>
  <c r="AM110" i="18" s="1"/>
  <c r="AN110" i="18" s="1"/>
  <c r="AH102" i="18"/>
  <c r="AH94" i="18"/>
  <c r="AH86" i="18"/>
  <c r="AH78" i="18"/>
  <c r="AH70" i="18"/>
  <c r="AH62" i="18"/>
  <c r="AH54" i="18"/>
  <c r="AH46" i="18"/>
  <c r="W138" i="18"/>
  <c r="W108" i="18"/>
  <c r="W121" i="18"/>
  <c r="W208" i="18"/>
  <c r="W189" i="18"/>
  <c r="W170" i="18"/>
  <c r="W45" i="18"/>
  <c r="W152" i="18"/>
  <c r="W185" i="18"/>
  <c r="W177" i="18"/>
  <c r="W166" i="18"/>
  <c r="W158" i="18"/>
  <c r="W141" i="18"/>
  <c r="W97" i="18"/>
  <c r="W78" i="18"/>
  <c r="W65" i="18"/>
  <c r="W50" i="18"/>
  <c r="W173" i="18"/>
  <c r="W145" i="18"/>
  <c r="X145" i="18" s="1"/>
  <c r="Y145" i="18" s="1"/>
  <c r="W96" i="18"/>
  <c r="W64" i="18"/>
  <c r="AH217" i="18"/>
  <c r="AH209" i="18"/>
  <c r="AH201" i="18"/>
  <c r="AH193" i="18"/>
  <c r="AH185" i="18"/>
  <c r="AH177" i="18"/>
  <c r="AH169" i="18"/>
  <c r="AH161" i="18"/>
  <c r="AH153" i="18"/>
  <c r="AH145" i="18"/>
  <c r="AI145" i="18" s="1"/>
  <c r="AJ145" i="18" s="1"/>
  <c r="AH137" i="18"/>
  <c r="AH129" i="18"/>
  <c r="AH121" i="18"/>
  <c r="AH113" i="18"/>
  <c r="AH105" i="18"/>
  <c r="AH97" i="18"/>
  <c r="AH89" i="18"/>
  <c r="AH81" i="18"/>
  <c r="AI81" i="18" s="1"/>
  <c r="AJ81" i="18" s="1"/>
  <c r="AH73" i="18"/>
  <c r="AH65" i="18"/>
  <c r="AH57" i="18"/>
  <c r="AH49" i="18"/>
  <c r="AH41" i="18"/>
  <c r="AH119" i="18"/>
  <c r="AH115" i="18"/>
  <c r="AH111" i="18"/>
  <c r="AI111" i="18" s="1"/>
  <c r="AJ111" i="18" s="1"/>
  <c r="AH107" i="18"/>
  <c r="AH103" i="18"/>
  <c r="AH99" i="18"/>
  <c r="AH95" i="18"/>
  <c r="AM95" i="18" s="1"/>
  <c r="AN95" i="18" s="1"/>
  <c r="AH91" i="18"/>
  <c r="AH87" i="18"/>
  <c r="AH83" i="18"/>
  <c r="AH79" i="18"/>
  <c r="AH75" i="18"/>
  <c r="AH71" i="18"/>
  <c r="AH67" i="18"/>
  <c r="AH63" i="18"/>
  <c r="AH59" i="18"/>
  <c r="AH55" i="18"/>
  <c r="AH51" i="18"/>
  <c r="AH47" i="18"/>
  <c r="AH43" i="18"/>
  <c r="AH39" i="18"/>
  <c r="AH98" i="18"/>
  <c r="AH90" i="18"/>
  <c r="AH82" i="18"/>
  <c r="AH74" i="18"/>
  <c r="AH66" i="18"/>
  <c r="AI66" i="18" s="1"/>
  <c r="AJ66" i="18" s="1"/>
  <c r="AH58" i="18"/>
  <c r="AH50" i="18"/>
  <c r="AH42" i="18"/>
  <c r="AH213" i="18"/>
  <c r="AH205" i="18"/>
  <c r="AH197" i="18"/>
  <c r="AH189" i="18"/>
  <c r="AH181" i="18"/>
  <c r="AH173" i="18"/>
  <c r="AH165" i="18"/>
  <c r="AH157" i="18"/>
  <c r="AH149" i="18"/>
  <c r="AI149" i="18" s="1"/>
  <c r="AJ149" i="18" s="1"/>
  <c r="AH141" i="18"/>
  <c r="AH133" i="18"/>
  <c r="AH125" i="18"/>
  <c r="W105" i="18"/>
  <c r="W94" i="18"/>
  <c r="W72" i="18"/>
  <c r="W62" i="18"/>
  <c r="W52" i="18"/>
  <c r="W44" i="18"/>
  <c r="AH212" i="18"/>
  <c r="AH204" i="18"/>
  <c r="AH196" i="18"/>
  <c r="AH188" i="18"/>
  <c r="AH180" i="18"/>
  <c r="AH172" i="18"/>
  <c r="AH164" i="18"/>
  <c r="AH156" i="18"/>
  <c r="AH148" i="18"/>
  <c r="AI148" i="18" s="1"/>
  <c r="AJ148" i="18" s="1"/>
  <c r="AH140" i="18"/>
  <c r="AH132" i="18"/>
  <c r="AH124" i="18"/>
  <c r="AH116" i="18"/>
  <c r="AH108" i="18"/>
  <c r="AH100" i="18"/>
  <c r="AH92" i="18"/>
  <c r="AH84" i="18"/>
  <c r="AH76" i="18"/>
  <c r="AH68" i="18"/>
  <c r="AH60" i="18"/>
  <c r="AH52" i="18"/>
  <c r="AH44" i="18"/>
  <c r="AH40" i="18"/>
  <c r="W101" i="18"/>
  <c r="W86" i="18"/>
  <c r="AH18" i="18"/>
  <c r="AH14" i="18"/>
  <c r="AH17" i="18"/>
  <c r="AH20" i="18"/>
  <c r="AH16" i="18"/>
  <c r="W126" i="18"/>
  <c r="W90" i="18"/>
  <c r="W82" i="18"/>
  <c r="W46" i="18"/>
  <c r="W215" i="18"/>
  <c r="W211" i="18"/>
  <c r="W207" i="18"/>
  <c r="W203" i="18"/>
  <c r="W199" i="18"/>
  <c r="W195" i="18"/>
  <c r="W191" i="18"/>
  <c r="W187" i="18"/>
  <c r="W183" i="18"/>
  <c r="W179" i="18"/>
  <c r="W175" i="18"/>
  <c r="W171" i="18"/>
  <c r="W167" i="18"/>
  <c r="W163" i="18"/>
  <c r="W159" i="18"/>
  <c r="W155" i="18"/>
  <c r="W151" i="18"/>
  <c r="W147" i="18"/>
  <c r="X147" i="18" s="1"/>
  <c r="Y147" i="18" s="1"/>
  <c r="W143" i="18"/>
  <c r="X143" i="18" s="1"/>
  <c r="Y143" i="18" s="1"/>
  <c r="W139" i="18"/>
  <c r="W135" i="18"/>
  <c r="W131" i="18"/>
  <c r="W127" i="18"/>
  <c r="W123" i="18"/>
  <c r="W119" i="18"/>
  <c r="W115" i="18"/>
  <c r="W111" i="18"/>
  <c r="W107" i="18"/>
  <c r="W103" i="18"/>
  <c r="W99" i="18"/>
  <c r="W95" i="18"/>
  <c r="W91" i="18"/>
  <c r="W87" i="18"/>
  <c r="W83" i="18"/>
  <c r="W79" i="18"/>
  <c r="W75" i="18"/>
  <c r="W71" i="18"/>
  <c r="W67" i="18"/>
  <c r="W63" i="18"/>
  <c r="W59" i="18"/>
  <c r="W55" i="18"/>
  <c r="W51" i="18"/>
  <c r="W47" i="18"/>
  <c r="W43" i="18"/>
  <c r="AK79" i="18" l="1"/>
  <c r="AL79" i="18" s="1"/>
  <c r="AK64" i="18"/>
  <c r="AL64" i="18" s="1"/>
  <c r="AK94" i="18"/>
  <c r="AL94" i="18" s="1"/>
  <c r="AK109" i="18"/>
  <c r="AL109" i="18" s="1"/>
  <c r="AM65" i="18"/>
  <c r="AN65" i="18" s="1"/>
  <c r="AM80" i="18"/>
  <c r="AN80" i="18" s="1"/>
  <c r="AH56" i="17"/>
  <c r="AH59" i="17"/>
  <c r="W56" i="17"/>
  <c r="AH35" i="17"/>
  <c r="W35" i="17"/>
  <c r="W20" i="17"/>
  <c r="AH55" i="17" l="1"/>
  <c r="AH62" i="17"/>
  <c r="W62" i="17"/>
  <c r="W41" i="17"/>
  <c r="W55" i="17"/>
  <c r="AH41" i="17"/>
  <c r="W34" i="17"/>
  <c r="AH57" i="17"/>
  <c r="AH58" i="17"/>
  <c r="W57" i="17"/>
  <c r="W58" i="17"/>
  <c r="AH34" i="17"/>
  <c r="AH36" i="17"/>
  <c r="AH37" i="17"/>
  <c r="W36" i="17"/>
  <c r="W37" i="17"/>
  <c r="P56" i="17" l="1"/>
  <c r="K56" i="17"/>
  <c r="P58" i="17"/>
  <c r="K58" i="17"/>
  <c r="P35" i="17"/>
  <c r="K35" i="17"/>
  <c r="P37" i="17"/>
  <c r="K37" i="17"/>
  <c r="K41" i="17"/>
  <c r="K62" i="17" l="1"/>
  <c r="P62" i="17"/>
  <c r="P41" i="17"/>
  <c r="K57" i="17"/>
  <c r="P57" i="17"/>
  <c r="P55" i="17"/>
  <c r="K55" i="17"/>
  <c r="K36" i="17"/>
  <c r="P36" i="17"/>
  <c r="P34" i="17"/>
  <c r="K34" i="17"/>
  <c r="P14" i="17" l="1"/>
  <c r="K14" i="17"/>
  <c r="W20" i="18" l="1"/>
  <c r="W14" i="18"/>
  <c r="AH12" i="18"/>
  <c r="AH11" i="18"/>
  <c r="AH10" i="18"/>
  <c r="AH9" i="18"/>
  <c r="W8" i="18"/>
  <c r="AH7" i="18"/>
  <c r="W6" i="18"/>
  <c r="AH5" i="18"/>
  <c r="W4" i="18"/>
  <c r="AH3" i="18"/>
  <c r="AH6" i="18" l="1"/>
  <c r="W19" i="18"/>
  <c r="W13" i="18"/>
  <c r="W5" i="18"/>
  <c r="AH8" i="18"/>
  <c r="W39" i="18"/>
  <c r="W9" i="18"/>
  <c r="W7" i="18"/>
  <c r="W41" i="18"/>
  <c r="AH4" i="18"/>
  <c r="W11" i="18"/>
  <c r="W17" i="18"/>
  <c r="W15" i="18"/>
  <c r="W10" i="18"/>
  <c r="W12" i="18"/>
  <c r="W16" i="18"/>
  <c r="W18" i="18"/>
  <c r="W40" i="18"/>
  <c r="K16" i="17" l="1"/>
  <c r="P13" i="17" l="1"/>
  <c r="P20" i="17"/>
  <c r="K13" i="17"/>
  <c r="K20" i="17"/>
  <c r="P15" i="17"/>
  <c r="P16" i="17"/>
  <c r="K15" i="17"/>
  <c r="AH20" i="17"/>
</calcChain>
</file>

<file path=xl/sharedStrings.xml><?xml version="1.0" encoding="utf-8"?>
<sst xmlns="http://schemas.openxmlformats.org/spreadsheetml/2006/main" count="2768" uniqueCount="354">
  <si>
    <t>Detection Date</t>
  </si>
  <si>
    <t>Run File Name</t>
  </si>
  <si>
    <t>Sample ID</t>
  </si>
  <si>
    <t>Cup Number</t>
  </si>
  <si>
    <t>Auto Dilution Factor</t>
  </si>
  <si>
    <t>Manual Dilution Factor</t>
  </si>
  <si>
    <t>Analyte Name</t>
  </si>
  <si>
    <t>Concentration Units</t>
  </si>
  <si>
    <t>Peak Height</t>
  </si>
  <si>
    <t>Peak Area</t>
  </si>
  <si>
    <t>Peak Concentration</t>
  </si>
  <si>
    <t>S3</t>
  </si>
  <si>
    <t>S1</t>
  </si>
  <si>
    <t>S2</t>
  </si>
  <si>
    <t>cal std 0</t>
  </si>
  <si>
    <t>Column efficiency</t>
  </si>
  <si>
    <t>Analyst QUALITY CODE PO4-P:</t>
  </si>
  <si>
    <t>Analyst NOTES:</t>
  </si>
  <si>
    <t>PO4-P- % Error in check stds</t>
  </si>
  <si>
    <t>PO4-P- DQO (&lt;=20%)</t>
  </si>
  <si>
    <t>PO4-P- RPD of duplicates</t>
  </si>
  <si>
    <t>PO4-P- DQO (&lt;=20% if conc&gt;LOQ)</t>
  </si>
  <si>
    <t>PO4-P- PR of spikes</t>
  </si>
  <si>
    <t>PO4-P- DQO (80-120%) if conc&gt;LOQ</t>
  </si>
  <si>
    <t>NO3-N- % Error in check stds</t>
  </si>
  <si>
    <t>NO3-N- DQO (&lt;=20%)</t>
  </si>
  <si>
    <t>NO3-N- RPD of duplicates</t>
  </si>
  <si>
    <t>NO3-N- DQO (&lt;=20% if conc&gt;LOQ)</t>
  </si>
  <si>
    <t>NO3-N- PR of spikes</t>
  </si>
  <si>
    <t>NO3-N- DQO (80-120%) if conc&gt;LOQ</t>
  </si>
  <si>
    <t>MEANS</t>
  </si>
  <si>
    <t>DIGESTION CHECK - is organic material completely converted to inorganic?</t>
  </si>
  <si>
    <t>Known Conc</t>
  </si>
  <si>
    <t>DILUTION BY OXIDATION REAGENT</t>
  </si>
  <si>
    <t>PO4-P-- determined concentration</t>
  </si>
  <si>
    <t>PO4-P-- blank corrected</t>
  </si>
  <si>
    <t>PO4-P-- dilution corrected</t>
  </si>
  <si>
    <t>NO3-N-- determined concentration</t>
  </si>
  <si>
    <t>NO3-N-- blank corrected</t>
  </si>
  <si>
    <t>NO3-N-- dilution corrected</t>
  </si>
  <si>
    <t>Mean</t>
  </si>
  <si>
    <t>Std Dev</t>
  </si>
  <si>
    <t>CV or %RSD</t>
  </si>
  <si>
    <t>T value</t>
  </si>
  <si>
    <t>MDL</t>
  </si>
  <si>
    <t>LOQ</t>
  </si>
  <si>
    <t>Error as %</t>
  </si>
  <si>
    <t>Known/MDL</t>
  </si>
  <si>
    <t>Mean PR</t>
  </si>
  <si>
    <t>S/N</t>
  </si>
  <si>
    <t>Analyst QUALITY CODE NO3-N:</t>
  </si>
  <si>
    <t>TP</t>
  </si>
  <si>
    <t>ug P/L</t>
  </si>
  <si>
    <t>TN</t>
  </si>
  <si>
    <t>ug N/L</t>
  </si>
  <si>
    <t>nitrate in water</t>
  </si>
  <si>
    <t>nitrite in water</t>
  </si>
  <si>
    <t>water</t>
  </si>
  <si>
    <t>cal std 150</t>
  </si>
  <si>
    <t>cal std 100</t>
  </si>
  <si>
    <t>cal std 50</t>
  </si>
  <si>
    <t>cal std 25</t>
  </si>
  <si>
    <t>cal std 10</t>
  </si>
  <si>
    <t>cal std 5</t>
  </si>
  <si>
    <t>cal std 2.5</t>
  </si>
  <si>
    <t>BLANKS-digested type I reagent grade water</t>
  </si>
  <si>
    <t>SPIKED BLANKS- used for MDL determination (250 ul spiking soln 1000/10000 into 10 ml sample)</t>
  </si>
  <si>
    <t>Sample30</t>
  </si>
  <si>
    <t>Sample31</t>
  </si>
  <si>
    <t>Sample32</t>
  </si>
  <si>
    <t>Sample33</t>
  </si>
  <si>
    <t>Sample34</t>
  </si>
  <si>
    <t>OM_1-14-2021_12-13-03PM.OMN</t>
  </si>
  <si>
    <t>spiked blank</t>
  </si>
  <si>
    <t>Sample 033</t>
  </si>
  <si>
    <t>Sample 034</t>
  </si>
  <si>
    <t>OM_10-29-2020_11-50-32AM.OMN</t>
  </si>
  <si>
    <t>Sample 028</t>
  </si>
  <si>
    <t>Sample 029</t>
  </si>
  <si>
    <t>Sample 030</t>
  </si>
  <si>
    <t>Sample 031</t>
  </si>
  <si>
    <t>Sample 032</t>
  </si>
  <si>
    <t>OM_12-1-2020_11-34-15AM.OMN</t>
  </si>
  <si>
    <t>reworked calibration</t>
  </si>
  <si>
    <t>CORRECTED</t>
  </si>
  <si>
    <t>PO4-P-- whatever we're using</t>
  </si>
  <si>
    <t>NO3-N-- whatever we're using</t>
  </si>
  <si>
    <t>Observation #</t>
  </si>
  <si>
    <t>TNTP 27Jan2020 HLW WW BB edit.omn</t>
  </si>
  <si>
    <t>Sample 010</t>
  </si>
  <si>
    <t>Total Phosphorus</t>
  </si>
  <si>
    <t>ppb</t>
  </si>
  <si>
    <t>Total Nitrogen</t>
  </si>
  <si>
    <t>OM_2-10-2020_11-56-35AM WWedits.omn</t>
  </si>
  <si>
    <t>17Feb2020 HLW edited.omn</t>
  </si>
  <si>
    <t>OM_3-2-2020_01-12-06PM brn edit.omn</t>
  </si>
  <si>
    <t>OM_3-26-2020_01-54-43PM.OMN</t>
  </si>
  <si>
    <t>OM_3-31-2020_11-13-11AM.OMN</t>
  </si>
  <si>
    <t>spiked blank + 250 uL</t>
  </si>
  <si>
    <t>OM_10-15-2020_10-22-59AMedit1.omn</t>
  </si>
  <si>
    <t>using modeled decline in efficiency</t>
  </si>
  <si>
    <t>OBSERVATION #</t>
  </si>
  <si>
    <t>Min</t>
  </si>
  <si>
    <t>Std</t>
  </si>
  <si>
    <t>Max</t>
  </si>
  <si>
    <t>CV</t>
  </si>
  <si>
    <t>Warning Limits</t>
  </si>
  <si>
    <t>Xbar + 2SD</t>
  </si>
  <si>
    <t>Xbar - 2SD</t>
  </si>
  <si>
    <t>Control Limits</t>
  </si>
  <si>
    <t>Xbar + 3SD</t>
  </si>
  <si>
    <t>Xbar - 3SD</t>
  </si>
  <si>
    <t>Count</t>
  </si>
  <si>
    <t>99th percentile.inc</t>
  </si>
  <si>
    <t>Maximum</t>
  </si>
  <si>
    <t xml:space="preserve"> </t>
  </si>
  <si>
    <t>Known</t>
  </si>
  <si>
    <t>ratio mean/mdl</t>
  </si>
  <si>
    <t>dye</t>
  </si>
  <si>
    <t>S16</t>
  </si>
  <si>
    <t>bisulfate carrier</t>
  </si>
  <si>
    <t>S4</t>
  </si>
  <si>
    <t>OM_6-10-2021_10-17-10AM.OMN</t>
  </si>
  <si>
    <t>OM_2-23-2022_11-17-46AM edit 1.omn</t>
  </si>
  <si>
    <t>Vial 030</t>
  </si>
  <si>
    <t>Vial 031</t>
  </si>
  <si>
    <t>Vial 032</t>
  </si>
  <si>
    <t>Vial 033</t>
  </si>
  <si>
    <t>Vial 034</t>
  </si>
  <si>
    <t>one sample T-test</t>
  </si>
  <si>
    <t>p value</t>
  </si>
  <si>
    <t>Different from 0?</t>
  </si>
  <si>
    <t>OM_4-13-2022_11-02-03AM.OMN</t>
  </si>
  <si>
    <t>spike blank1</t>
  </si>
  <si>
    <t>spike blank2</t>
  </si>
  <si>
    <t>spike blank3</t>
  </si>
  <si>
    <t>spike blank4</t>
  </si>
  <si>
    <t>spike blank 5</t>
  </si>
  <si>
    <t>bisulfate</t>
  </si>
  <si>
    <t>OM_3-23-2022_02-00-59PM.OMN</t>
  </si>
  <si>
    <t>spiked blank 1</t>
  </si>
  <si>
    <t>spiked blank 2</t>
  </si>
  <si>
    <t>spiked blank 3</t>
  </si>
  <si>
    <t>spiked blank 4</t>
  </si>
  <si>
    <t>spiked blank 5</t>
  </si>
  <si>
    <t>OM_5-4-2022_10-40-30AM.OMN</t>
  </si>
  <si>
    <t>spikeblank1</t>
  </si>
  <si>
    <t>spikeblank2</t>
  </si>
  <si>
    <t>spikeblank3</t>
  </si>
  <si>
    <t>spikeblank4</t>
  </si>
  <si>
    <t>spikeblank5</t>
  </si>
  <si>
    <t>OM_2-15-2024_10-06-50AM.OMN</t>
  </si>
  <si>
    <t>spk1</t>
  </si>
  <si>
    <t>spk2</t>
  </si>
  <si>
    <t>spk3</t>
  </si>
  <si>
    <t>spk4</t>
  </si>
  <si>
    <t>spk5</t>
  </si>
  <si>
    <t>DUP S75</t>
  </si>
  <si>
    <t>SPK S80</t>
  </si>
  <si>
    <t>DUP S85</t>
  </si>
  <si>
    <t>SPK S90</t>
  </si>
  <si>
    <t>SPK S100</t>
  </si>
  <si>
    <t>OM_2-29-2024_10-43-41AM.OMN</t>
  </si>
  <si>
    <t>DUP S5</t>
  </si>
  <si>
    <t>SPK S10</t>
  </si>
  <si>
    <t>empty  vial</t>
  </si>
  <si>
    <t>OM_2-22-2023_11-17-20AM BRN edit.omn</t>
  </si>
  <si>
    <t>spkblank</t>
  </si>
  <si>
    <t>OM_2-22-2023_04-26-39PM BRN edit.omn</t>
  </si>
  <si>
    <t>OM_3-15-2023_12-40-40PM.OMN</t>
  </si>
  <si>
    <t>OM_3-20-2023_10-53-22AM.OMN</t>
  </si>
  <si>
    <t>spik1</t>
  </si>
  <si>
    <t>spike2</t>
  </si>
  <si>
    <t>spike3</t>
  </si>
  <si>
    <t>spike4</t>
  </si>
  <si>
    <t>spike5</t>
  </si>
  <si>
    <t>OM_3-22-2023_10-55-57AM.OMN</t>
  </si>
  <si>
    <t>spkblank1</t>
  </si>
  <si>
    <t>spkblank2</t>
  </si>
  <si>
    <t>spkblank3</t>
  </si>
  <si>
    <t>spkblank4</t>
  </si>
  <si>
    <t>spkblank5</t>
  </si>
  <si>
    <t>OM_2-8-2024_11-23-10AM.OMN</t>
  </si>
  <si>
    <t>OM_3-6-2024_10-12-39AM edit2.omn</t>
  </si>
  <si>
    <t>waterblankd</t>
  </si>
  <si>
    <t>waterlblank</t>
  </si>
  <si>
    <t>waterbalnks</t>
  </si>
  <si>
    <t>waterblank</t>
  </si>
  <si>
    <t>digest</t>
  </si>
  <si>
    <t>F100 12SEP23 ISCOA</t>
  </si>
  <si>
    <t>C100 1JUN23 0.1</t>
  </si>
  <si>
    <t>F50 22MAY23 0.1</t>
  </si>
  <si>
    <t>C50 9AUG23 20</t>
  </si>
  <si>
    <t>C300 1JUN23 0.1</t>
  </si>
  <si>
    <t>C50 9AUG23 6</t>
  </si>
  <si>
    <t>C50 30JUN23 20</t>
  </si>
  <si>
    <t>B50 22MAY23 6</t>
  </si>
  <si>
    <t>C50 1JUN23 6</t>
  </si>
  <si>
    <t>B50 22MAY23 0.1</t>
  </si>
  <si>
    <t>CHECK 25/250</t>
  </si>
  <si>
    <t>WATER</t>
  </si>
  <si>
    <t>BISULFATE</t>
  </si>
  <si>
    <t>B50 12APR23 0.1</t>
  </si>
  <si>
    <t>F50 22MAY23 1.6</t>
  </si>
  <si>
    <t>F100 12SEP23 0.1</t>
  </si>
  <si>
    <t>F50 12SEP23 9</t>
  </si>
  <si>
    <t>C50 1JUN23 9</t>
  </si>
  <si>
    <t>F50 16MAY23 6.2</t>
  </si>
  <si>
    <t>F50 12SEP23 1.6</t>
  </si>
  <si>
    <t>F50 16MAY23 9</t>
  </si>
  <si>
    <t>F50 4APR23 9</t>
  </si>
  <si>
    <t>C50 4MAY23 20</t>
  </si>
  <si>
    <t>DUP VIAL 51</t>
  </si>
  <si>
    <t>SPK VIAL 56</t>
  </si>
  <si>
    <t>F50 1MAY23 6.2</t>
  </si>
  <si>
    <t>F50 5JUN23 5</t>
  </si>
  <si>
    <t>F50 16MAY23 0.1</t>
  </si>
  <si>
    <t>F50 3FEB23 9</t>
  </si>
  <si>
    <t>F50 5JUN23 6.2</t>
  </si>
  <si>
    <t>C50 9AUG23 9</t>
  </si>
  <si>
    <t>F50 22MAY23 8</t>
  </si>
  <si>
    <t>F50 3FEB23 6.2</t>
  </si>
  <si>
    <t>F50 22MAY23 5</t>
  </si>
  <si>
    <t>F50 16MAY23 5</t>
  </si>
  <si>
    <t>DUP VIAL 63</t>
  </si>
  <si>
    <t>SPK VIAL 68</t>
  </si>
  <si>
    <t>C50 4MAY23 0.1</t>
  </si>
  <si>
    <t>F50 4APR23 0.1</t>
  </si>
  <si>
    <t>B50 8MAY23 0.1</t>
  </si>
  <si>
    <t>F50 8MAY23 0.1</t>
  </si>
  <si>
    <t>C50 4MAY23 6</t>
  </si>
  <si>
    <t>C301 4MAY23 SMB</t>
  </si>
  <si>
    <t>F100 22MAY23 0.1</t>
  </si>
  <si>
    <t>F50 18APR23 8</t>
  </si>
  <si>
    <t>C50 30JUN23 9</t>
  </si>
  <si>
    <t>F100 16MAY23 0.1</t>
  </si>
  <si>
    <t>DUP VIAL 75</t>
  </si>
  <si>
    <t>SPK VIAL 80</t>
  </si>
  <si>
    <t>B50 21MAR23 9</t>
  </si>
  <si>
    <t>B50 5SEP23 0.1</t>
  </si>
  <si>
    <t>F100 18SEP23 ISCOA</t>
  </si>
  <si>
    <t>B50 22MAY23 9</t>
  </si>
  <si>
    <t>F200 4APR23 0.1</t>
  </si>
  <si>
    <t>F50 16MAY23 1.6</t>
  </si>
  <si>
    <t>F50 12SEP23 3.8</t>
  </si>
  <si>
    <t>F100.1 5JUN23 ISCOA</t>
  </si>
  <si>
    <t>F50 4APR23 8</t>
  </si>
  <si>
    <t>B50 1MAY23 6</t>
  </si>
  <si>
    <t>DUP VIAL 87</t>
  </si>
  <si>
    <t>SPK VIAL 92</t>
  </si>
  <si>
    <t>C50 9AUG23 0.1</t>
  </si>
  <si>
    <t>B50 12APR23 3</t>
  </si>
  <si>
    <t>F100 14JUN23 0.1</t>
  </si>
  <si>
    <t>F50 18APR23 0.1</t>
  </si>
  <si>
    <t>F50 4APR23 1.6</t>
  </si>
  <si>
    <t>F50 22MAY23 9</t>
  </si>
  <si>
    <t>C50 4MAY23 9</t>
  </si>
  <si>
    <t>F100 8MAY23 ISCO</t>
  </si>
  <si>
    <t>F50 3FEB23 5</t>
  </si>
  <si>
    <t>C50 1JUN23 0.1</t>
  </si>
  <si>
    <t>DUP VIAL 99</t>
  </si>
  <si>
    <t>SPK VIAL 104</t>
  </si>
  <si>
    <t>NITRITE</t>
  </si>
  <si>
    <t>NITRATE</t>
  </si>
  <si>
    <t>CHECK 1500</t>
  </si>
  <si>
    <t>CHK 1000</t>
  </si>
  <si>
    <t>CHK 500</t>
  </si>
  <si>
    <t>CHK250</t>
  </si>
  <si>
    <t>CHK100</t>
  </si>
  <si>
    <t>CHK50</t>
  </si>
  <si>
    <t>CHK25</t>
  </si>
  <si>
    <t xml:space="preserve">CHK 0 </t>
  </si>
  <si>
    <t>F50 1MAY23 1.6</t>
  </si>
  <si>
    <t>F50 3FEB23 8</t>
  </si>
  <si>
    <t>F50 4APR23 6.2</t>
  </si>
  <si>
    <t>F100 18APR23 0.1</t>
  </si>
  <si>
    <t>F50 5SEP23 8</t>
  </si>
  <si>
    <t>F50 3FEB23 0.1</t>
  </si>
  <si>
    <t>B50 24APR23 9</t>
  </si>
  <si>
    <t>F50 18APR23 1.6</t>
  </si>
  <si>
    <t>C50 30JUN23 0.1</t>
  </si>
  <si>
    <t>C50 1JUN23 1.5</t>
  </si>
  <si>
    <t>DUP VIAL 111</t>
  </si>
  <si>
    <t>SPK VIAL 116</t>
  </si>
  <si>
    <t>F50 22MAY23 6.2</t>
  </si>
  <si>
    <t>F50 18APR23 3.8</t>
  </si>
  <si>
    <t>C500 4MAY23 CCT</t>
  </si>
  <si>
    <t>C400 4MAY23 TCT INTUNNEL</t>
  </si>
  <si>
    <t>B50 22MAY23 3</t>
  </si>
  <si>
    <t>C50 30JUN23 1.5</t>
  </si>
  <si>
    <t>C50 1JUN23 20</t>
  </si>
  <si>
    <t>C50 9AUG23 1.5</t>
  </si>
  <si>
    <t>C50 4MAY23 1.5</t>
  </si>
  <si>
    <t>F50 5SEP23 5</t>
  </si>
  <si>
    <t>F50 4APR23 3.8</t>
  </si>
  <si>
    <t>F50 8MAY23 6.2</t>
  </si>
  <si>
    <t>B50 8MAY23 6</t>
  </si>
  <si>
    <t>F50 18APR23 6.2</t>
  </si>
  <si>
    <t>B50 24APR23 6</t>
  </si>
  <si>
    <t>C201 4MAY23 CCS</t>
  </si>
  <si>
    <t>F100 4APR23 0.1</t>
  </si>
  <si>
    <t>B50 21MAR23 6</t>
  </si>
  <si>
    <t>F50 1MAY23 3.8</t>
  </si>
  <si>
    <t>B50 12APR23 6</t>
  </si>
  <si>
    <t>B50 5SEP23 3</t>
  </si>
  <si>
    <t>B50 21MAR23 3</t>
  </si>
  <si>
    <t>B50 1MAY23 3</t>
  </si>
  <si>
    <t>F50 5SEP23 9</t>
  </si>
  <si>
    <t>F50 1MAY23 8</t>
  </si>
  <si>
    <t>B50 5SEP23 9</t>
  </si>
  <si>
    <t>B50 24APR23 0.1</t>
  </si>
  <si>
    <t>F50 8MAY23 8</t>
  </si>
  <si>
    <t>B50 8MAY23 3</t>
  </si>
  <si>
    <t>F50 18SEP23 6.2</t>
  </si>
  <si>
    <t>dup S95</t>
  </si>
  <si>
    <t>F100.1 1AUG22 ISCOB</t>
  </si>
  <si>
    <t>B50 1MAY23 9</t>
  </si>
  <si>
    <t>F50 3FEB23 1.6</t>
  </si>
  <si>
    <t>B50 8MAY23 9</t>
  </si>
  <si>
    <t>F100 29MAY23 0.1</t>
  </si>
  <si>
    <t>B50 5SEP23 6</t>
  </si>
  <si>
    <t>F50 3FEB23 WEIR</t>
  </si>
  <si>
    <t>F50 16MAY23 8</t>
  </si>
  <si>
    <t>C50 30JUN23 6</t>
  </si>
  <si>
    <t>F50 1MAY23 9</t>
  </si>
  <si>
    <t>DUP VIAL 161</t>
  </si>
  <si>
    <t>SPK VIAL 164</t>
  </si>
  <si>
    <t>F50 5SEP23 0.1</t>
  </si>
  <si>
    <t>F50 4APR23 5</t>
  </si>
  <si>
    <t>F50 18APR23 9</t>
  </si>
  <si>
    <t>B50 24APR23 3</t>
  </si>
  <si>
    <t>F50 8MAY23 5</t>
  </si>
  <si>
    <t>F50 22MAY23 3.8</t>
  </si>
  <si>
    <t>F100 1MAY23 0.1</t>
  </si>
  <si>
    <t>B50 1MAY23 0.1</t>
  </si>
  <si>
    <t>B50 21MAR23 0.1</t>
  </si>
  <si>
    <t>F50 16MAY23 3.8</t>
  </si>
  <si>
    <t>DUP VIAL 171</t>
  </si>
  <si>
    <t>SPK VIAL176</t>
  </si>
  <si>
    <t>F50 3FEB23 3.8</t>
  </si>
  <si>
    <t>F50 1MAY23 5</t>
  </si>
  <si>
    <t>B50 12APR23 9</t>
  </si>
  <si>
    <t>F50 8MAY23 9</t>
  </si>
  <si>
    <t>F50 12SEP23 8</t>
  </si>
  <si>
    <t>F100 8MAY23 0.1</t>
  </si>
  <si>
    <t>C101 30JUN23 HPB STREAM</t>
  </si>
  <si>
    <t>F50 18APR23 5</t>
  </si>
  <si>
    <t>F100.1 5JUN23 ISCOB</t>
  </si>
  <si>
    <t>F50 1MAY23 0.1</t>
  </si>
  <si>
    <t>F100.1 8MAY23 ISCOB</t>
  </si>
  <si>
    <t>DUP VIAL 183</t>
  </si>
  <si>
    <t>SPK VIAL 188</t>
  </si>
  <si>
    <t>F100.1 1AUG22 ISCOB DIL3X</t>
  </si>
  <si>
    <t>B50 12APR23 0.1 rerun for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</si>
</sst>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</font>
    <font>
      <sz val="8"/>
      <name val="MS Sans Serif"/>
    </font>
    <font>
      <sz val="12"/>
      <name val="Arial"/>
      <family val="2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/>
    <xf numFmtId="1" fontId="18" fillId="0" borderId="0" xfId="42" applyNumberFormat="1"/>
    <xf numFmtId="14" fontId="18" fillId="0" borderId="0" xfId="42" applyNumberFormat="1"/>
    <xf numFmtId="0" fontId="1" fillId="0" borderId="0" xfId="48" applyAlignment="1">
      <alignment wrapText="1"/>
    </xf>
    <xf numFmtId="0" fontId="1" fillId="0" borderId="0" xfId="49"/>
    <xf numFmtId="14" fontId="1" fillId="0" borderId="0" xfId="48" applyNumberFormat="1"/>
    <xf numFmtId="0" fontId="1" fillId="0" borderId="0" xfId="48"/>
    <xf numFmtId="0" fontId="1" fillId="0" borderId="0" xfId="52"/>
    <xf numFmtId="164" fontId="1" fillId="0" borderId="0" xfId="52" applyNumberFormat="1"/>
    <xf numFmtId="0" fontId="0" fillId="0" borderId="0" xfId="52" applyFont="1"/>
    <xf numFmtId="0" fontId="0" fillId="0" borderId="0" xfId="48" applyFont="1"/>
    <xf numFmtId="1" fontId="0" fillId="0" borderId="0" xfId="0" applyNumberFormat="1"/>
    <xf numFmtId="0" fontId="18" fillId="0" borderId="0" xfId="53"/>
    <xf numFmtId="0" fontId="1" fillId="0" borderId="0" xfId="54" applyAlignment="1">
      <alignment wrapText="1"/>
    </xf>
    <xf numFmtId="165" fontId="0" fillId="0" borderId="0" xfId="0" applyNumberFormat="1"/>
    <xf numFmtId="0" fontId="18" fillId="0" borderId="0" xfId="53" applyAlignment="1">
      <alignment wrapText="1"/>
    </xf>
    <xf numFmtId="0" fontId="19" fillId="0" borderId="0" xfId="0" applyFont="1" applyAlignment="1">
      <alignment vertical="center"/>
    </xf>
    <xf numFmtId="0" fontId="21" fillId="0" borderId="0" xfId="55" applyFont="1" applyAlignment="1">
      <alignment horizontal="left" vertical="center"/>
    </xf>
    <xf numFmtId="4" fontId="18" fillId="0" borderId="0" xfId="53" applyNumberFormat="1" applyAlignment="1">
      <alignment vertical="center"/>
    </xf>
    <xf numFmtId="166" fontId="18" fillId="0" borderId="0" xfId="53" applyNumberFormat="1" applyAlignment="1">
      <alignment vertical="center"/>
    </xf>
    <xf numFmtId="0" fontId="22" fillId="0" borderId="0" xfId="53" applyFont="1" applyAlignment="1">
      <alignment vertical="center"/>
    </xf>
    <xf numFmtId="164" fontId="21" fillId="0" borderId="0" xfId="55" applyNumberFormat="1" applyFont="1" applyAlignment="1">
      <alignment vertical="center"/>
    </xf>
    <xf numFmtId="0" fontId="22" fillId="0" borderId="0" xfId="53" applyFont="1"/>
    <xf numFmtId="164" fontId="18" fillId="0" borderId="0" xfId="53" applyNumberFormat="1"/>
    <xf numFmtId="3" fontId="23" fillId="0" borderId="0" xfId="53" applyNumberFormat="1" applyFont="1"/>
    <xf numFmtId="1" fontId="22" fillId="0" borderId="0" xfId="53" applyNumberFormat="1" applyFont="1"/>
    <xf numFmtId="164" fontId="18" fillId="0" borderId="0" xfId="42" applyNumberFormat="1"/>
    <xf numFmtId="14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1" xfId="43" xr:uid="{00000000-0005-0000-0000-000025000000}"/>
    <cellStyle name="Normal 11 23" xfId="49" xr:uid="{00000000-0005-0000-0000-000026000000}"/>
    <cellStyle name="Normal 2" xfId="42" xr:uid="{00000000-0005-0000-0000-000027000000}"/>
    <cellStyle name="Normal 2 2" xfId="53" xr:uid="{00000000-0005-0000-0000-000028000000}"/>
    <cellStyle name="Normal 23" xfId="48" xr:uid="{00000000-0005-0000-0000-000029000000}"/>
    <cellStyle name="Normal 24" xfId="54" xr:uid="{00000000-0005-0000-0000-00002A000000}"/>
    <cellStyle name="Normal 5 2" xfId="46" xr:uid="{00000000-0005-0000-0000-00002B000000}"/>
    <cellStyle name="Normal 5 2 20" xfId="47" xr:uid="{00000000-0005-0000-0000-00002C000000}"/>
    <cellStyle name="Normal 5 2 20 3" xfId="52" xr:uid="{00000000-0005-0000-0000-00002D000000}"/>
    <cellStyle name="Normal 5 2 23" xfId="51" xr:uid="{00000000-0005-0000-0000-00002E000000}"/>
    <cellStyle name="Normal 6" xfId="55" xr:uid="{00000000-0005-0000-0000-00002F000000}"/>
    <cellStyle name="Normal 6 2" xfId="45" xr:uid="{00000000-0005-0000-0000-000030000000}"/>
    <cellStyle name="Normal 6 2 23" xfId="50" xr:uid="{00000000-0005-0000-0000-000031000000}"/>
    <cellStyle name="Normal 8 2" xfId="44" xr:uid="{00000000-0005-0000-0000-00003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TP</a:t>
            </a:r>
            <a:endParaRPr lang="en-US"/>
          </a:p>
        </c:rich>
      </c:tx>
      <c:layout>
        <c:manualLayout>
          <c:xMode val="edge"/>
          <c:yMode val="edge"/>
          <c:x val="0.4208281595229744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spiked blank 250'!$AP$18:$AP$118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</c:numCache>
            </c:numRef>
          </c:xVal>
          <c:yVal>
            <c:numRef>
              <c:f>'rolling spiked blank 250'!$W$18:$W$118</c:f>
              <c:numCache>
                <c:formatCode>General</c:formatCode>
                <c:ptCount val="101"/>
                <c:pt idx="0">
                  <c:v>18.988</c:v>
                </c:pt>
                <c:pt idx="1">
                  <c:v>25.453675199999996</c:v>
                </c:pt>
                <c:pt idx="2">
                  <c:v>24.245481600000002</c:v>
                </c:pt>
                <c:pt idx="3">
                  <c:v>28.478999999999992</c:v>
                </c:pt>
                <c:pt idx="4">
                  <c:v>23.720169799999994</c:v>
                </c:pt>
                <c:pt idx="5">
                  <c:v>23.965520000000001</c:v>
                </c:pt>
                <c:pt idx="6">
                  <c:v>24</c:v>
                </c:pt>
                <c:pt idx="7">
                  <c:v>23.8</c:v>
                </c:pt>
                <c:pt idx="8">
                  <c:v>22.9</c:v>
                </c:pt>
                <c:pt idx="9">
                  <c:v>23.1</c:v>
                </c:pt>
                <c:pt idx="10">
                  <c:v>24.1</c:v>
                </c:pt>
                <c:pt idx="11">
                  <c:v>22.4</c:v>
                </c:pt>
                <c:pt idx="12">
                  <c:v>24.1</c:v>
                </c:pt>
                <c:pt idx="13">
                  <c:v>19.2</c:v>
                </c:pt>
                <c:pt idx="14">
                  <c:v>24.1</c:v>
                </c:pt>
                <c:pt idx="15">
                  <c:v>27.7</c:v>
                </c:pt>
                <c:pt idx="16">
                  <c:v>25.496759050000001</c:v>
                </c:pt>
                <c:pt idx="17">
                  <c:v>26.692747449999999</c:v>
                </c:pt>
                <c:pt idx="18">
                  <c:v>26.991929799999994</c:v>
                </c:pt>
                <c:pt idx="19">
                  <c:v>26.991929799999994</c:v>
                </c:pt>
                <c:pt idx="20">
                  <c:v>25.496759050000001</c:v>
                </c:pt>
                <c:pt idx="21">
                  <c:v>23.5</c:v>
                </c:pt>
                <c:pt idx="22">
                  <c:v>25.1</c:v>
                </c:pt>
                <c:pt idx="23">
                  <c:v>32.700000000000003</c:v>
                </c:pt>
                <c:pt idx="24">
                  <c:v>26.2</c:v>
                </c:pt>
                <c:pt idx="25">
                  <c:v>23.8</c:v>
                </c:pt>
                <c:pt idx="26">
                  <c:v>23.3</c:v>
                </c:pt>
                <c:pt idx="27">
                  <c:v>24.5</c:v>
                </c:pt>
                <c:pt idx="28">
                  <c:v>23.9</c:v>
                </c:pt>
                <c:pt idx="29">
                  <c:v>25</c:v>
                </c:pt>
                <c:pt idx="30">
                  <c:v>23.6</c:v>
                </c:pt>
                <c:pt idx="31">
                  <c:v>24</c:v>
                </c:pt>
                <c:pt idx="32">
                  <c:v>25.4</c:v>
                </c:pt>
                <c:pt idx="33">
                  <c:v>25</c:v>
                </c:pt>
                <c:pt idx="34">
                  <c:v>26.4</c:v>
                </c:pt>
                <c:pt idx="35">
                  <c:v>25.1</c:v>
                </c:pt>
                <c:pt idx="36">
                  <c:v>23.7</c:v>
                </c:pt>
                <c:pt idx="37">
                  <c:v>22.6</c:v>
                </c:pt>
                <c:pt idx="38">
                  <c:v>22.5</c:v>
                </c:pt>
                <c:pt idx="39">
                  <c:v>25</c:v>
                </c:pt>
                <c:pt idx="40">
                  <c:v>25.8</c:v>
                </c:pt>
                <c:pt idx="41">
                  <c:v>21.4</c:v>
                </c:pt>
                <c:pt idx="42">
                  <c:v>17.399999999999999</c:v>
                </c:pt>
                <c:pt idx="43">
                  <c:v>17.2</c:v>
                </c:pt>
                <c:pt idx="44">
                  <c:v>18</c:v>
                </c:pt>
                <c:pt idx="45">
                  <c:v>18.399999999999999</c:v>
                </c:pt>
                <c:pt idx="46">
                  <c:v>30</c:v>
                </c:pt>
                <c:pt idx="47">
                  <c:v>32.4</c:v>
                </c:pt>
                <c:pt idx="48">
                  <c:v>32.700000000000003</c:v>
                </c:pt>
                <c:pt idx="49">
                  <c:v>31.6</c:v>
                </c:pt>
                <c:pt idx="50">
                  <c:v>30.8</c:v>
                </c:pt>
                <c:pt idx="51">
                  <c:v>26.5</c:v>
                </c:pt>
                <c:pt idx="52">
                  <c:v>26.2</c:v>
                </c:pt>
                <c:pt idx="53">
                  <c:v>27.7</c:v>
                </c:pt>
                <c:pt idx="54">
                  <c:v>26.4</c:v>
                </c:pt>
                <c:pt idx="55">
                  <c:v>25.4</c:v>
                </c:pt>
                <c:pt idx="56">
                  <c:v>25.7</c:v>
                </c:pt>
                <c:pt idx="57">
                  <c:v>21.7</c:v>
                </c:pt>
                <c:pt idx="58">
                  <c:v>22.4</c:v>
                </c:pt>
                <c:pt idx="59">
                  <c:v>21.2</c:v>
                </c:pt>
                <c:pt idx="60">
                  <c:v>23.5</c:v>
                </c:pt>
                <c:pt idx="61">
                  <c:v>24.1</c:v>
                </c:pt>
                <c:pt idx="62">
                  <c:v>22.8</c:v>
                </c:pt>
                <c:pt idx="63">
                  <c:v>22.9</c:v>
                </c:pt>
                <c:pt idx="64">
                  <c:v>22.7</c:v>
                </c:pt>
                <c:pt idx="65">
                  <c:v>22.5</c:v>
                </c:pt>
                <c:pt idx="66">
                  <c:v>24.7</c:v>
                </c:pt>
                <c:pt idx="67">
                  <c:v>24.7</c:v>
                </c:pt>
                <c:pt idx="68">
                  <c:v>25.5</c:v>
                </c:pt>
                <c:pt idx="69">
                  <c:v>25.6</c:v>
                </c:pt>
                <c:pt idx="70">
                  <c:v>24.8</c:v>
                </c:pt>
                <c:pt idx="71">
                  <c:v>25.9</c:v>
                </c:pt>
                <c:pt idx="72">
                  <c:v>25.2</c:v>
                </c:pt>
                <c:pt idx="73">
                  <c:v>23.7</c:v>
                </c:pt>
                <c:pt idx="74">
                  <c:v>23.4</c:v>
                </c:pt>
                <c:pt idx="75">
                  <c:v>23.3</c:v>
                </c:pt>
                <c:pt idx="76">
                  <c:v>24.2</c:v>
                </c:pt>
                <c:pt idx="77">
                  <c:v>21.6</c:v>
                </c:pt>
                <c:pt idx="78">
                  <c:v>22.2</c:v>
                </c:pt>
                <c:pt idx="79">
                  <c:v>19.100000000000001</c:v>
                </c:pt>
                <c:pt idx="80">
                  <c:v>22.2</c:v>
                </c:pt>
                <c:pt idx="81">
                  <c:v>21.4</c:v>
                </c:pt>
                <c:pt idx="82">
                  <c:v>20.9</c:v>
                </c:pt>
                <c:pt idx="83">
                  <c:v>21.7</c:v>
                </c:pt>
                <c:pt idx="84">
                  <c:v>22.7</c:v>
                </c:pt>
                <c:pt idx="85">
                  <c:v>20.8</c:v>
                </c:pt>
                <c:pt idx="86">
                  <c:v>21.7</c:v>
                </c:pt>
                <c:pt idx="87">
                  <c:v>19.5</c:v>
                </c:pt>
                <c:pt idx="88">
                  <c:v>19.5</c:v>
                </c:pt>
                <c:pt idx="89">
                  <c:v>22.9</c:v>
                </c:pt>
                <c:pt idx="90">
                  <c:v>20.6</c:v>
                </c:pt>
                <c:pt idx="91">
                  <c:v>21.5</c:v>
                </c:pt>
                <c:pt idx="92">
                  <c:v>22.5</c:v>
                </c:pt>
                <c:pt idx="93">
                  <c:v>21.9</c:v>
                </c:pt>
                <c:pt idx="94">
                  <c:v>23</c:v>
                </c:pt>
                <c:pt idx="95">
                  <c:v>22.4</c:v>
                </c:pt>
                <c:pt idx="96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EB-4FB7-8CCA-81D896CA664D}"/>
            </c:ext>
          </c:extLst>
        </c:ser>
        <c:ser>
          <c:idx val="1"/>
          <c:order val="1"/>
          <c:tx>
            <c:v>UWL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250'!$W$124,'rolling spiked blank 250'!$W$124)</c:f>
              <c:numCache>
                <c:formatCode>#,##0.00</c:formatCode>
                <c:ptCount val="2"/>
                <c:pt idx="0">
                  <c:v>30.024931024924548</c:v>
                </c:pt>
                <c:pt idx="1">
                  <c:v>30.024931024924548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EB-4FB7-8CCA-81D896CA664D}"/>
            </c:ext>
          </c:extLst>
        </c:ser>
        <c:ser>
          <c:idx val="2"/>
          <c:order val="2"/>
          <c:tx>
            <c:v>UCL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250'!$W$126,'rolling spiked blank 250'!$W$126)</c:f>
              <c:numCache>
                <c:formatCode>#,##0.00</c:formatCode>
                <c:ptCount val="2"/>
                <c:pt idx="0">
                  <c:v>33.064602868572386</c:v>
                </c:pt>
                <c:pt idx="1">
                  <c:v>33.064602868572386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EB-4FB7-8CCA-81D896CA664D}"/>
            </c:ext>
          </c:extLst>
        </c:ser>
        <c:ser>
          <c:idx val="3"/>
          <c:order val="3"/>
          <c:tx>
            <c:v>LWL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250'!$W$125,'rolling spiked blank 250'!$W$125)</c:f>
              <c:numCache>
                <c:formatCode>#,##0.00</c:formatCode>
                <c:ptCount val="2"/>
                <c:pt idx="0">
                  <c:v>17.866243650333203</c:v>
                </c:pt>
                <c:pt idx="1">
                  <c:v>17.866243650333203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EB-4FB7-8CCA-81D896CA664D}"/>
            </c:ext>
          </c:extLst>
        </c:ser>
        <c:ser>
          <c:idx val="4"/>
          <c:order val="4"/>
          <c:tx>
            <c:v>LCL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250'!$W$127,'rolling spiked blank 250'!$W$127)</c:f>
              <c:numCache>
                <c:formatCode>#,##0.00</c:formatCode>
                <c:ptCount val="2"/>
                <c:pt idx="0">
                  <c:v>14.826571806685367</c:v>
                </c:pt>
                <c:pt idx="1">
                  <c:v>14.826571806685367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EB-4FB7-8CCA-81D896CA6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36544"/>
        <c:axId val="205059584"/>
      </c:scatterChart>
      <c:valAx>
        <c:axId val="2050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Analysis</a:t>
                </a:r>
                <a:r>
                  <a:rPr lang="en-US" baseline="0"/>
                  <a:t> Order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59584"/>
        <c:crosses val="autoZero"/>
        <c:crossBetween val="midCat"/>
      </c:valAx>
      <c:valAx>
        <c:axId val="2050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3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TN</a:t>
            </a:r>
            <a:endParaRPr lang="en-US"/>
          </a:p>
        </c:rich>
      </c:tx>
      <c:layout>
        <c:manualLayout>
          <c:xMode val="edge"/>
          <c:yMode val="edge"/>
          <c:x val="0.4208281595229744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spiked blank 250'!$AP$18:$AP$118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</c:numCache>
            </c:numRef>
          </c:xVal>
          <c:yVal>
            <c:numRef>
              <c:f>'rolling spiked blank 250'!$AH$18:$AH$118</c:f>
              <c:numCache>
                <c:formatCode>General</c:formatCode>
                <c:ptCount val="101"/>
                <c:pt idx="0">
                  <c:v>229.24153759999996</c:v>
                </c:pt>
                <c:pt idx="1">
                  <c:v>244.76334690000004</c:v>
                </c:pt>
                <c:pt idx="2">
                  <c:v>247.05528559999993</c:v>
                </c:pt>
                <c:pt idx="3">
                  <c:v>246.2892149999999</c:v>
                </c:pt>
                <c:pt idx="4">
                  <c:v>254.75407159999997</c:v>
                </c:pt>
                <c:pt idx="5">
                  <c:v>246.24919999999986</c:v>
                </c:pt>
                <c:pt idx="7">
                  <c:v>251.64358121458605</c:v>
                </c:pt>
                <c:pt idx="8">
                  <c:v>227.2878064954233</c:v>
                </c:pt>
                <c:pt idx="9">
                  <c:v>205.5903123585334</c:v>
                </c:pt>
                <c:pt idx="10">
                  <c:v>254.98932883751976</c:v>
                </c:pt>
                <c:pt idx="11">
                  <c:v>230</c:v>
                </c:pt>
                <c:pt idx="12">
                  <c:v>262</c:v>
                </c:pt>
                <c:pt idx="13">
                  <c:v>249</c:v>
                </c:pt>
                <c:pt idx="14">
                  <c:v>212</c:v>
                </c:pt>
                <c:pt idx="15">
                  <c:v>246</c:v>
                </c:pt>
                <c:pt idx="16">
                  <c:v>181.08211395999999</c:v>
                </c:pt>
                <c:pt idx="17">
                  <c:v>239.41496399999997</c:v>
                </c:pt>
                <c:pt idx="18">
                  <c:v>281.12024783999993</c:v>
                </c:pt>
                <c:pt idx="19">
                  <c:v>267.82266900000002</c:v>
                </c:pt>
                <c:pt idx="20">
                  <c:v>223.36999050999995</c:v>
                </c:pt>
                <c:pt idx="21">
                  <c:v>237</c:v>
                </c:pt>
                <c:pt idx="22">
                  <c:v>241</c:v>
                </c:pt>
                <c:pt idx="23">
                  <c:v>240</c:v>
                </c:pt>
                <c:pt idx="24">
                  <c:v>306</c:v>
                </c:pt>
                <c:pt idx="25">
                  <c:v>272</c:v>
                </c:pt>
                <c:pt idx="26">
                  <c:v>178</c:v>
                </c:pt>
                <c:pt idx="27">
                  <c:v>183</c:v>
                </c:pt>
                <c:pt idx="28">
                  <c:v>172</c:v>
                </c:pt>
                <c:pt idx="29">
                  <c:v>185</c:v>
                </c:pt>
                <c:pt idx="30">
                  <c:v>195</c:v>
                </c:pt>
                <c:pt idx="31">
                  <c:v>210</c:v>
                </c:pt>
                <c:pt idx="32">
                  <c:v>224</c:v>
                </c:pt>
                <c:pt idx="33">
                  <c:v>218</c:v>
                </c:pt>
                <c:pt idx="34">
                  <c:v>223</c:v>
                </c:pt>
                <c:pt idx="35">
                  <c:v>216</c:v>
                </c:pt>
                <c:pt idx="36">
                  <c:v>174</c:v>
                </c:pt>
                <c:pt idx="37">
                  <c:v>230</c:v>
                </c:pt>
                <c:pt idx="38">
                  <c:v>230</c:v>
                </c:pt>
                <c:pt idx="39">
                  <c:v>229</c:v>
                </c:pt>
                <c:pt idx="40">
                  <c:v>257</c:v>
                </c:pt>
                <c:pt idx="41">
                  <c:v>155</c:v>
                </c:pt>
                <c:pt idx="42">
                  <c:v>148</c:v>
                </c:pt>
                <c:pt idx="43">
                  <c:v>210</c:v>
                </c:pt>
                <c:pt idx="44">
                  <c:v>216</c:v>
                </c:pt>
                <c:pt idx="45">
                  <c:v>194</c:v>
                </c:pt>
                <c:pt idx="46">
                  <c:v>254</c:v>
                </c:pt>
                <c:pt idx="47">
                  <c:v>256</c:v>
                </c:pt>
                <c:pt idx="48">
                  <c:v>250</c:v>
                </c:pt>
                <c:pt idx="49">
                  <c:v>250</c:v>
                </c:pt>
                <c:pt idx="50">
                  <c:v>254</c:v>
                </c:pt>
                <c:pt idx="51">
                  <c:v>245</c:v>
                </c:pt>
                <c:pt idx="52">
                  <c:v>234</c:v>
                </c:pt>
                <c:pt idx="53">
                  <c:v>251</c:v>
                </c:pt>
                <c:pt idx="54">
                  <c:v>237</c:v>
                </c:pt>
                <c:pt idx="55">
                  <c:v>253</c:v>
                </c:pt>
                <c:pt idx="56">
                  <c:v>265</c:v>
                </c:pt>
                <c:pt idx="57">
                  <c:v>252</c:v>
                </c:pt>
                <c:pt idx="58">
                  <c:v>255</c:v>
                </c:pt>
                <c:pt idx="59">
                  <c:v>230</c:v>
                </c:pt>
                <c:pt idx="60">
                  <c:v>234</c:v>
                </c:pt>
                <c:pt idx="61">
                  <c:v>225</c:v>
                </c:pt>
                <c:pt idx="62">
                  <c:v>239</c:v>
                </c:pt>
                <c:pt idx="63">
                  <c:v>222</c:v>
                </c:pt>
                <c:pt idx="64">
                  <c:v>223</c:v>
                </c:pt>
                <c:pt idx="65">
                  <c:v>215</c:v>
                </c:pt>
                <c:pt idx="66">
                  <c:v>231</c:v>
                </c:pt>
                <c:pt idx="67">
                  <c:v>193</c:v>
                </c:pt>
                <c:pt idx="68">
                  <c:v>189</c:v>
                </c:pt>
                <c:pt idx="69">
                  <c:v>191</c:v>
                </c:pt>
                <c:pt idx="70">
                  <c:v>183</c:v>
                </c:pt>
                <c:pt idx="71">
                  <c:v>197</c:v>
                </c:pt>
                <c:pt idx="72">
                  <c:v>206</c:v>
                </c:pt>
                <c:pt idx="73">
                  <c:v>214</c:v>
                </c:pt>
                <c:pt idx="74">
                  <c:v>217</c:v>
                </c:pt>
                <c:pt idx="75">
                  <c:v>220</c:v>
                </c:pt>
                <c:pt idx="76">
                  <c:v>214</c:v>
                </c:pt>
                <c:pt idx="77">
                  <c:v>257</c:v>
                </c:pt>
                <c:pt idx="78">
                  <c:v>196</c:v>
                </c:pt>
                <c:pt idx="79">
                  <c:v>192</c:v>
                </c:pt>
                <c:pt idx="80">
                  <c:v>235</c:v>
                </c:pt>
                <c:pt idx="81">
                  <c:v>179</c:v>
                </c:pt>
                <c:pt idx="82">
                  <c:v>145</c:v>
                </c:pt>
                <c:pt idx="83">
                  <c:v>197</c:v>
                </c:pt>
                <c:pt idx="84">
                  <c:v>216</c:v>
                </c:pt>
                <c:pt idx="85">
                  <c:v>218</c:v>
                </c:pt>
                <c:pt idx="86">
                  <c:v>215</c:v>
                </c:pt>
                <c:pt idx="87">
                  <c:v>191</c:v>
                </c:pt>
                <c:pt idx="88">
                  <c:v>214</c:v>
                </c:pt>
                <c:pt idx="89">
                  <c:v>266</c:v>
                </c:pt>
                <c:pt idx="90">
                  <c:v>240</c:v>
                </c:pt>
                <c:pt idx="91">
                  <c:v>213</c:v>
                </c:pt>
                <c:pt idx="92">
                  <c:v>179</c:v>
                </c:pt>
                <c:pt idx="93">
                  <c:v>191</c:v>
                </c:pt>
                <c:pt idx="94">
                  <c:v>160</c:v>
                </c:pt>
                <c:pt idx="95">
                  <c:v>197</c:v>
                </c:pt>
                <c:pt idx="96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1-46B1-B919-9888FEB5B6CC}"/>
            </c:ext>
          </c:extLst>
        </c:ser>
        <c:ser>
          <c:idx val="1"/>
          <c:order val="1"/>
          <c:tx>
            <c:v>UWL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250'!$AH$124,'rolling spiked blank 250'!$AH$124)</c:f>
              <c:numCache>
                <c:formatCode>#,##0.00</c:formatCode>
                <c:ptCount val="2"/>
                <c:pt idx="0">
                  <c:v>283.91096394635122</c:v>
                </c:pt>
                <c:pt idx="1">
                  <c:v>283.91096394635122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1-46B1-B919-9888FEB5B6CC}"/>
            </c:ext>
          </c:extLst>
        </c:ser>
        <c:ser>
          <c:idx val="2"/>
          <c:order val="2"/>
          <c:tx>
            <c:v>UCL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250'!$AH$126,'rolling spiked blank 250'!$AH$126)</c:f>
              <c:numCache>
                <c:formatCode>#,##0.00</c:formatCode>
                <c:ptCount val="2"/>
                <c:pt idx="0">
                  <c:v>314.77960388350567</c:v>
                </c:pt>
                <c:pt idx="1">
                  <c:v>314.77960388350567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81-46B1-B919-9888FEB5B6CC}"/>
            </c:ext>
          </c:extLst>
        </c:ser>
        <c:ser>
          <c:idx val="3"/>
          <c:order val="3"/>
          <c:tx>
            <c:v>LWL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250'!$AH$125,'rolling spiked blank 250'!$AH$125)</c:f>
              <c:numCache>
                <c:formatCode>#,##0.00</c:formatCode>
                <c:ptCount val="2"/>
                <c:pt idx="0">
                  <c:v>160.4364041977334</c:v>
                </c:pt>
                <c:pt idx="1">
                  <c:v>160.4364041977334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81-46B1-B919-9888FEB5B6CC}"/>
            </c:ext>
          </c:extLst>
        </c:ser>
        <c:ser>
          <c:idx val="4"/>
          <c:order val="4"/>
          <c:tx>
            <c:v>LCL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'rolling spiked blank 250'!$AP$120:$AP$121</c:f>
              <c:numCache>
                <c:formatCode>General</c:formatCode>
                <c:ptCount val="2"/>
                <c:pt idx="0">
                  <c:v>1</c:v>
                </c:pt>
                <c:pt idx="1">
                  <c:v>97</c:v>
                </c:pt>
              </c:numCache>
            </c:numRef>
          </c:xVal>
          <c:yVal>
            <c:numRef>
              <c:f>('rolling spiked blank 250'!$AH$127,'rolling spiked blank 250'!$AH$127)</c:f>
              <c:numCache>
                <c:formatCode>#,##0.00</c:formatCode>
                <c:ptCount val="2"/>
                <c:pt idx="0">
                  <c:v>129.56776426057894</c:v>
                </c:pt>
                <c:pt idx="1">
                  <c:v>129.56776426057894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81-46B1-B919-9888FEB5B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36544"/>
        <c:axId val="205059584"/>
      </c:scatterChart>
      <c:valAx>
        <c:axId val="2050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Analysis</a:t>
                </a:r>
                <a:r>
                  <a:rPr lang="en-US" baseline="0"/>
                  <a:t> Order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59584"/>
        <c:crosses val="autoZero"/>
        <c:crossBetween val="midCat"/>
      </c:valAx>
      <c:valAx>
        <c:axId val="2050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3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22410</xdr:colOff>
      <xdr:row>0</xdr:row>
      <xdr:rowOff>11206</xdr:rowOff>
    </xdr:from>
    <xdr:to>
      <xdr:col>6</xdr:col>
      <xdr:colOff>287616</xdr:colOff>
      <xdr:row>14</xdr:row>
      <xdr:rowOff>102347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AC272B-FABE-4B13-AFE0-C5F7459FE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403412</xdr:colOff>
      <xdr:row>0</xdr:row>
      <xdr:rowOff>179293</xdr:rowOff>
    </xdr:from>
    <xdr:to>
      <xdr:col>20</xdr:col>
      <xdr:colOff>18677</xdr:colOff>
      <xdr:row>15</xdr:row>
      <xdr:rowOff>68728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5C1003-5519-46C4-99F5-F4E5F2370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CC75-CE92-49C1-973A-D46989CBD13D}">
  <dimension ref="A1:G148"/>
  <sheetViews>
    <sheetView tabSelected="1" zoomScaleNormal="100" workbookViewId="0">
      <selection activeCell="B147" sqref="B147"/>
    </sheetView>
  </sheetViews>
  <sheetFormatPr defaultRowHeight="14.4" x14ac:dyDescent="0.3"/>
  <cols>
    <col min="1" max="1" width="24.88671875" customWidth="1"/>
    <col min="6" max="6" width="14.6640625" bestFit="1" customWidth="1"/>
  </cols>
  <sheetData>
    <row r="1" spans="1:7" ht="40.200000000000003" x14ac:dyDescent="0.3">
      <c r="A1" t="s">
        <v>2</v>
      </c>
      <c r="B1" s="3" t="s">
        <v>36</v>
      </c>
      <c r="C1" s="3" t="s">
        <v>39</v>
      </c>
    </row>
    <row r="2" spans="1:7" x14ac:dyDescent="0.3">
      <c r="A2" t="s">
        <v>189</v>
      </c>
      <c r="B2" s="4">
        <v>59.2</v>
      </c>
      <c r="C2" s="4">
        <v>259</v>
      </c>
    </row>
    <row r="3" spans="1:7" x14ac:dyDescent="0.3">
      <c r="A3" t="s">
        <v>190</v>
      </c>
      <c r="B3" s="4">
        <v>8.73</v>
      </c>
      <c r="C3" s="4">
        <v>112</v>
      </c>
    </row>
    <row r="4" spans="1:7" x14ac:dyDescent="0.3">
      <c r="A4" t="s">
        <v>191</v>
      </c>
      <c r="B4" s="4">
        <v>27.4</v>
      </c>
      <c r="C4" s="4">
        <v>344</v>
      </c>
    </row>
    <row r="5" spans="1:7" x14ac:dyDescent="0.3">
      <c r="A5" t="s">
        <v>192</v>
      </c>
      <c r="B5" s="4">
        <v>23.8</v>
      </c>
      <c r="C5" s="4">
        <v>275</v>
      </c>
    </row>
    <row r="6" spans="1:7" x14ac:dyDescent="0.3">
      <c r="A6" t="s">
        <v>193</v>
      </c>
      <c r="B6" s="4">
        <v>5.93</v>
      </c>
      <c r="C6" s="4">
        <v>73.8</v>
      </c>
    </row>
    <row r="7" spans="1:7" x14ac:dyDescent="0.3">
      <c r="A7" t="s">
        <v>194</v>
      </c>
      <c r="B7" s="4">
        <v>9.7899999999999991</v>
      </c>
      <c r="C7" s="4">
        <v>158</v>
      </c>
    </row>
    <row r="8" spans="1:7" x14ac:dyDescent="0.3">
      <c r="A8" t="s">
        <v>195</v>
      </c>
      <c r="B8" s="4">
        <v>22.6</v>
      </c>
      <c r="C8" s="4">
        <v>227</v>
      </c>
    </row>
    <row r="9" spans="1:7" x14ac:dyDescent="0.3">
      <c r="A9" t="s">
        <v>196</v>
      </c>
      <c r="B9" s="4">
        <v>18.7</v>
      </c>
      <c r="C9" s="4">
        <v>272</v>
      </c>
    </row>
    <row r="10" spans="1:7" x14ac:dyDescent="0.3">
      <c r="A10" t="s">
        <v>197</v>
      </c>
      <c r="B10" s="4">
        <v>12</v>
      </c>
      <c r="C10" s="4">
        <v>143</v>
      </c>
    </row>
    <row r="11" spans="1:7" x14ac:dyDescent="0.3">
      <c r="A11" t="s">
        <v>198</v>
      </c>
      <c r="B11" s="4">
        <v>17.399999999999999</v>
      </c>
      <c r="C11" s="4">
        <v>182</v>
      </c>
    </row>
    <row r="12" spans="1:7" x14ac:dyDescent="0.3">
      <c r="A12" t="s">
        <v>202</v>
      </c>
      <c r="B12" s="4">
        <v>18.7</v>
      </c>
      <c r="C12" s="4">
        <v>220</v>
      </c>
      <c r="G12" s="4"/>
    </row>
    <row r="13" spans="1:7" x14ac:dyDescent="0.3">
      <c r="A13" t="s">
        <v>203</v>
      </c>
      <c r="B13" s="4">
        <v>28.8</v>
      </c>
      <c r="C13" s="4">
        <v>386</v>
      </c>
      <c r="G13" s="4"/>
    </row>
    <row r="14" spans="1:7" x14ac:dyDescent="0.3">
      <c r="A14" t="s">
        <v>204</v>
      </c>
      <c r="B14" s="4">
        <v>44</v>
      </c>
      <c r="C14" s="4">
        <v>175</v>
      </c>
    </row>
    <row r="15" spans="1:7" x14ac:dyDescent="0.3">
      <c r="A15" t="s">
        <v>205</v>
      </c>
      <c r="B15" s="4">
        <v>25</v>
      </c>
      <c r="C15" s="4">
        <v>1150</v>
      </c>
    </row>
    <row r="16" spans="1:7" x14ac:dyDescent="0.3">
      <c r="A16" t="s">
        <v>206</v>
      </c>
      <c r="B16" s="4">
        <v>12.2</v>
      </c>
      <c r="C16" s="4">
        <v>159</v>
      </c>
    </row>
    <row r="17" spans="1:3" x14ac:dyDescent="0.3">
      <c r="A17" t="s">
        <v>207</v>
      </c>
      <c r="B17" s="4">
        <v>20.7</v>
      </c>
      <c r="C17" s="4">
        <v>305</v>
      </c>
    </row>
    <row r="18" spans="1:3" x14ac:dyDescent="0.3">
      <c r="A18" t="s">
        <v>208</v>
      </c>
      <c r="B18" s="4">
        <v>39.799999999999997</v>
      </c>
      <c r="C18" s="4">
        <v>750</v>
      </c>
    </row>
    <row r="19" spans="1:3" x14ac:dyDescent="0.3">
      <c r="A19" t="s">
        <v>209</v>
      </c>
      <c r="B19" s="4">
        <v>23.9</v>
      </c>
      <c r="C19" s="4">
        <v>316</v>
      </c>
    </row>
    <row r="20" spans="1:3" x14ac:dyDescent="0.3">
      <c r="A20" t="s">
        <v>210</v>
      </c>
      <c r="B20" s="4">
        <v>25.9</v>
      </c>
      <c r="C20" s="4">
        <v>263</v>
      </c>
    </row>
    <row r="21" spans="1:3" x14ac:dyDescent="0.3">
      <c r="A21" t="s">
        <v>211</v>
      </c>
      <c r="B21" s="4">
        <v>13</v>
      </c>
      <c r="C21" s="4">
        <v>173</v>
      </c>
    </row>
    <row r="22" spans="1:3" x14ac:dyDescent="0.3">
      <c r="A22" t="s">
        <v>214</v>
      </c>
      <c r="B22" s="4">
        <v>27.4</v>
      </c>
      <c r="C22" s="4">
        <v>299</v>
      </c>
    </row>
    <row r="23" spans="1:3" x14ac:dyDescent="0.3">
      <c r="A23" t="s">
        <v>215</v>
      </c>
      <c r="B23" s="4">
        <v>21.1</v>
      </c>
      <c r="C23" s="4">
        <v>318</v>
      </c>
    </row>
    <row r="24" spans="1:3" x14ac:dyDescent="0.3">
      <c r="A24" t="s">
        <v>216</v>
      </c>
      <c r="B24" s="4">
        <v>26.6</v>
      </c>
      <c r="C24" s="4">
        <v>360</v>
      </c>
    </row>
    <row r="25" spans="1:3" x14ac:dyDescent="0.3">
      <c r="A25" t="s">
        <v>217</v>
      </c>
      <c r="B25" s="4">
        <v>25.5</v>
      </c>
      <c r="C25" s="4">
        <v>261</v>
      </c>
    </row>
    <row r="26" spans="1:3" x14ac:dyDescent="0.3">
      <c r="A26" t="s">
        <v>218</v>
      </c>
      <c r="B26" s="4">
        <v>22</v>
      </c>
      <c r="C26" s="4">
        <v>313</v>
      </c>
    </row>
    <row r="27" spans="1:3" x14ac:dyDescent="0.3">
      <c r="A27" t="s">
        <v>219</v>
      </c>
      <c r="B27" s="4">
        <v>13.5</v>
      </c>
      <c r="C27" s="4">
        <v>257</v>
      </c>
    </row>
    <row r="28" spans="1:3" x14ac:dyDescent="0.3">
      <c r="A28" t="s">
        <v>220</v>
      </c>
      <c r="B28" s="4">
        <v>23.7</v>
      </c>
      <c r="C28" s="4">
        <v>300</v>
      </c>
    </row>
    <row r="29" spans="1:3" x14ac:dyDescent="0.3">
      <c r="A29" t="s">
        <v>221</v>
      </c>
      <c r="B29" s="4">
        <v>27</v>
      </c>
      <c r="C29" s="4">
        <v>238</v>
      </c>
    </row>
    <row r="30" spans="1:3" x14ac:dyDescent="0.3">
      <c r="A30" t="s">
        <v>222</v>
      </c>
      <c r="B30" s="4">
        <v>19.2</v>
      </c>
      <c r="C30" s="4">
        <v>267</v>
      </c>
    </row>
    <row r="31" spans="1:3" x14ac:dyDescent="0.3">
      <c r="A31" t="s">
        <v>223</v>
      </c>
      <c r="B31" s="4">
        <v>23.4</v>
      </c>
      <c r="C31" s="4">
        <v>260</v>
      </c>
    </row>
    <row r="32" spans="1:3" x14ac:dyDescent="0.3">
      <c r="A32" t="s">
        <v>226</v>
      </c>
      <c r="B32" s="4">
        <v>12.7</v>
      </c>
      <c r="C32" s="4">
        <v>162</v>
      </c>
    </row>
    <row r="33" spans="1:3" x14ac:dyDescent="0.3">
      <c r="A33" t="s">
        <v>227</v>
      </c>
      <c r="B33" s="4">
        <v>24.5</v>
      </c>
      <c r="C33" s="4">
        <v>238</v>
      </c>
    </row>
    <row r="34" spans="1:3" x14ac:dyDescent="0.3">
      <c r="A34" t="s">
        <v>228</v>
      </c>
      <c r="B34" s="4">
        <v>16.399999999999999</v>
      </c>
      <c r="C34" s="4">
        <v>248</v>
      </c>
    </row>
    <row r="35" spans="1:3" x14ac:dyDescent="0.3">
      <c r="A35" t="s">
        <v>229</v>
      </c>
      <c r="B35" s="4">
        <v>26.4</v>
      </c>
      <c r="C35" s="4">
        <v>280</v>
      </c>
    </row>
    <row r="36" spans="1:3" x14ac:dyDescent="0.3">
      <c r="A36" t="s">
        <v>230</v>
      </c>
      <c r="B36" s="4">
        <v>14.1</v>
      </c>
      <c r="C36" s="4">
        <v>194</v>
      </c>
    </row>
    <row r="37" spans="1:3" x14ac:dyDescent="0.3">
      <c r="A37" t="s">
        <v>231</v>
      </c>
      <c r="B37" s="4">
        <v>8.19</v>
      </c>
      <c r="C37" s="4">
        <v>76.3</v>
      </c>
    </row>
    <row r="38" spans="1:3" x14ac:dyDescent="0.3">
      <c r="A38" t="s">
        <v>232</v>
      </c>
      <c r="B38" s="4">
        <v>42.4</v>
      </c>
      <c r="C38" s="4">
        <v>193</v>
      </c>
    </row>
    <row r="39" spans="1:3" x14ac:dyDescent="0.3">
      <c r="A39" t="s">
        <v>233</v>
      </c>
      <c r="B39" s="4">
        <v>29.5</v>
      </c>
      <c r="C39" s="4">
        <v>272</v>
      </c>
    </row>
    <row r="40" spans="1:3" x14ac:dyDescent="0.3">
      <c r="A40" t="s">
        <v>234</v>
      </c>
      <c r="B40" s="4">
        <v>14.5</v>
      </c>
      <c r="C40" s="4">
        <v>200</v>
      </c>
    </row>
    <row r="41" spans="1:3" x14ac:dyDescent="0.3">
      <c r="A41" t="s">
        <v>235</v>
      </c>
      <c r="B41" s="4">
        <v>50.3</v>
      </c>
      <c r="C41" s="4">
        <v>259</v>
      </c>
    </row>
    <row r="42" spans="1:3" x14ac:dyDescent="0.3">
      <c r="A42" t="s">
        <v>238</v>
      </c>
      <c r="B42" s="4">
        <v>19.2</v>
      </c>
      <c r="C42" s="4">
        <v>336</v>
      </c>
    </row>
    <row r="43" spans="1:3" x14ac:dyDescent="0.3">
      <c r="A43" t="s">
        <v>239</v>
      </c>
      <c r="B43" s="4">
        <v>25.1</v>
      </c>
      <c r="C43" s="4">
        <v>447</v>
      </c>
    </row>
    <row r="44" spans="1:3" x14ac:dyDescent="0.3">
      <c r="A44" t="s">
        <v>240</v>
      </c>
      <c r="B44" s="4">
        <v>88.6</v>
      </c>
      <c r="C44" s="4">
        <v>398</v>
      </c>
    </row>
    <row r="45" spans="1:3" x14ac:dyDescent="0.3">
      <c r="A45" t="s">
        <v>241</v>
      </c>
      <c r="B45" s="4">
        <v>25.9</v>
      </c>
      <c r="C45" s="4">
        <v>715</v>
      </c>
    </row>
    <row r="46" spans="1:3" x14ac:dyDescent="0.3">
      <c r="A46" t="s">
        <v>242</v>
      </c>
      <c r="B46" s="4">
        <v>70</v>
      </c>
      <c r="C46" s="4">
        <v>214</v>
      </c>
    </row>
    <row r="47" spans="1:3" x14ac:dyDescent="0.3">
      <c r="A47" t="s">
        <v>243</v>
      </c>
      <c r="B47" s="4">
        <v>29.4</v>
      </c>
      <c r="C47" s="4">
        <v>355</v>
      </c>
    </row>
    <row r="48" spans="1:3" x14ac:dyDescent="0.3">
      <c r="A48" t="s">
        <v>244</v>
      </c>
      <c r="B48" s="4">
        <v>50.7</v>
      </c>
      <c r="C48" s="4">
        <v>551</v>
      </c>
    </row>
    <row r="49" spans="1:3" x14ac:dyDescent="0.3">
      <c r="A49" t="s">
        <v>245</v>
      </c>
      <c r="B49" s="4">
        <v>138</v>
      </c>
      <c r="C49" s="4">
        <v>796</v>
      </c>
    </row>
    <row r="50" spans="1:3" x14ac:dyDescent="0.3">
      <c r="A50" t="s">
        <v>246</v>
      </c>
      <c r="B50" s="4">
        <v>28.9</v>
      </c>
      <c r="C50" s="4">
        <v>249</v>
      </c>
    </row>
    <row r="51" spans="1:3" x14ac:dyDescent="0.3">
      <c r="A51" t="s">
        <v>247</v>
      </c>
      <c r="B51" s="4">
        <v>26.7</v>
      </c>
      <c r="C51" s="4">
        <v>307</v>
      </c>
    </row>
    <row r="52" spans="1:3" x14ac:dyDescent="0.3">
      <c r="A52" t="s">
        <v>250</v>
      </c>
      <c r="B52">
        <v>7.99</v>
      </c>
      <c r="C52" s="4">
        <v>140</v>
      </c>
    </row>
    <row r="53" spans="1:3" x14ac:dyDescent="0.3">
      <c r="A53" t="s">
        <v>251</v>
      </c>
      <c r="B53" s="4">
        <v>17.600000000000001</v>
      </c>
      <c r="C53" s="4">
        <v>218</v>
      </c>
    </row>
    <row r="54" spans="1:3" x14ac:dyDescent="0.3">
      <c r="A54" t="s">
        <v>252</v>
      </c>
      <c r="B54" s="4">
        <v>82.8</v>
      </c>
      <c r="C54" s="4">
        <v>468</v>
      </c>
    </row>
    <row r="55" spans="1:3" x14ac:dyDescent="0.3">
      <c r="A55" t="s">
        <v>253</v>
      </c>
      <c r="B55" s="4">
        <v>25.9</v>
      </c>
      <c r="C55" s="4">
        <v>262</v>
      </c>
    </row>
    <row r="56" spans="1:3" x14ac:dyDescent="0.3">
      <c r="A56" t="s">
        <v>254</v>
      </c>
      <c r="B56" s="4">
        <v>25.1</v>
      </c>
      <c r="C56" s="4">
        <v>194</v>
      </c>
    </row>
    <row r="57" spans="1:3" x14ac:dyDescent="0.3">
      <c r="A57" t="s">
        <v>255</v>
      </c>
      <c r="B57" s="4">
        <v>23.6</v>
      </c>
      <c r="C57" s="4">
        <v>319</v>
      </c>
    </row>
    <row r="58" spans="1:3" x14ac:dyDescent="0.3">
      <c r="A58" t="s">
        <v>256</v>
      </c>
      <c r="B58" s="4">
        <v>15</v>
      </c>
      <c r="C58" s="4">
        <v>175</v>
      </c>
    </row>
    <row r="59" spans="1:3" x14ac:dyDescent="0.3">
      <c r="A59" t="s">
        <v>257</v>
      </c>
      <c r="B59" s="4">
        <v>115</v>
      </c>
      <c r="C59" s="4">
        <v>722</v>
      </c>
    </row>
    <row r="60" spans="1:3" x14ac:dyDescent="0.3">
      <c r="A60" t="s">
        <v>258</v>
      </c>
      <c r="B60" s="4">
        <v>26.3</v>
      </c>
      <c r="C60" s="4">
        <v>267</v>
      </c>
    </row>
    <row r="61" spans="1:3" x14ac:dyDescent="0.3">
      <c r="A61" t="s">
        <v>259</v>
      </c>
      <c r="B61" s="4">
        <v>11.3</v>
      </c>
      <c r="C61" s="4">
        <v>203</v>
      </c>
    </row>
    <row r="62" spans="1:3" x14ac:dyDescent="0.3">
      <c r="A62" t="s">
        <v>272</v>
      </c>
      <c r="B62">
        <v>31</v>
      </c>
      <c r="C62" s="4">
        <v>250</v>
      </c>
    </row>
    <row r="63" spans="1:3" x14ac:dyDescent="0.3">
      <c r="A63" t="s">
        <v>273</v>
      </c>
      <c r="B63">
        <v>27.8</v>
      </c>
      <c r="C63" s="4">
        <v>299</v>
      </c>
    </row>
    <row r="64" spans="1:3" x14ac:dyDescent="0.3">
      <c r="A64" t="s">
        <v>274</v>
      </c>
      <c r="B64">
        <v>28.6</v>
      </c>
      <c r="C64" s="4">
        <v>240</v>
      </c>
    </row>
    <row r="65" spans="1:3" x14ac:dyDescent="0.3">
      <c r="A65" t="s">
        <v>275</v>
      </c>
      <c r="B65">
        <v>40.6</v>
      </c>
      <c r="C65" s="4">
        <v>268</v>
      </c>
    </row>
    <row r="66" spans="1:3" x14ac:dyDescent="0.3">
      <c r="A66" t="s">
        <v>276</v>
      </c>
      <c r="B66">
        <v>24.6</v>
      </c>
      <c r="C66" s="4">
        <v>990</v>
      </c>
    </row>
    <row r="67" spans="1:3" x14ac:dyDescent="0.3">
      <c r="A67" t="s">
        <v>277</v>
      </c>
      <c r="B67">
        <v>24</v>
      </c>
      <c r="C67" s="4">
        <v>208</v>
      </c>
    </row>
    <row r="68" spans="1:3" x14ac:dyDescent="0.3">
      <c r="A68" t="s">
        <v>278</v>
      </c>
      <c r="B68">
        <v>20.8</v>
      </c>
      <c r="C68" s="4">
        <v>401</v>
      </c>
    </row>
    <row r="69" spans="1:3" x14ac:dyDescent="0.3">
      <c r="A69" t="s">
        <v>279</v>
      </c>
      <c r="B69">
        <v>25.1</v>
      </c>
      <c r="C69" s="4">
        <v>247</v>
      </c>
    </row>
    <row r="70" spans="1:3" x14ac:dyDescent="0.3">
      <c r="A70" t="s">
        <v>280</v>
      </c>
      <c r="B70">
        <v>9.07</v>
      </c>
      <c r="C70" s="4">
        <v>202</v>
      </c>
    </row>
    <row r="71" spans="1:3" x14ac:dyDescent="0.3">
      <c r="A71" t="s">
        <v>281</v>
      </c>
      <c r="B71">
        <v>11.4</v>
      </c>
      <c r="C71" s="4">
        <v>160</v>
      </c>
    </row>
    <row r="72" spans="1:3" x14ac:dyDescent="0.3">
      <c r="A72" t="s">
        <v>284</v>
      </c>
      <c r="B72">
        <v>21.6</v>
      </c>
      <c r="C72" s="4">
        <v>286</v>
      </c>
    </row>
    <row r="73" spans="1:3" x14ac:dyDescent="0.3">
      <c r="A73" t="s">
        <v>285</v>
      </c>
      <c r="B73">
        <v>24.6</v>
      </c>
      <c r="C73" s="4">
        <v>225</v>
      </c>
    </row>
    <row r="74" spans="1:3" x14ac:dyDescent="0.3">
      <c r="A74" t="s">
        <v>286</v>
      </c>
      <c r="B74">
        <v>10.1</v>
      </c>
      <c r="C74" s="4">
        <v>144</v>
      </c>
    </row>
    <row r="75" spans="1:3" x14ac:dyDescent="0.3">
      <c r="A75" t="s">
        <v>287</v>
      </c>
      <c r="B75">
        <v>26.9</v>
      </c>
      <c r="C75" s="4">
        <v>107</v>
      </c>
    </row>
    <row r="76" spans="1:3" x14ac:dyDescent="0.3">
      <c r="A76" t="s">
        <v>288</v>
      </c>
      <c r="B76">
        <v>13</v>
      </c>
      <c r="C76" s="4">
        <v>240</v>
      </c>
    </row>
    <row r="77" spans="1:3" x14ac:dyDescent="0.3">
      <c r="A77" t="s">
        <v>289</v>
      </c>
      <c r="B77">
        <v>7.74</v>
      </c>
      <c r="C77" s="4">
        <v>169</v>
      </c>
    </row>
    <row r="78" spans="1:3" x14ac:dyDescent="0.3">
      <c r="A78" t="s">
        <v>290</v>
      </c>
      <c r="B78">
        <v>11.5</v>
      </c>
      <c r="C78" s="4">
        <v>164</v>
      </c>
    </row>
    <row r="79" spans="1:3" x14ac:dyDescent="0.3">
      <c r="A79" t="s">
        <v>291</v>
      </c>
      <c r="B79">
        <v>9.07</v>
      </c>
      <c r="C79" s="4">
        <v>192</v>
      </c>
    </row>
    <row r="80" spans="1:3" x14ac:dyDescent="0.3">
      <c r="A80" t="s">
        <v>292</v>
      </c>
      <c r="B80">
        <v>14.6</v>
      </c>
      <c r="C80" s="4">
        <v>185</v>
      </c>
    </row>
    <row r="81" spans="1:3" x14ac:dyDescent="0.3">
      <c r="A81" t="s">
        <v>293</v>
      </c>
      <c r="B81">
        <v>36.9</v>
      </c>
      <c r="C81" s="4">
        <v>764</v>
      </c>
    </row>
    <row r="82" spans="1:3" x14ac:dyDescent="0.3">
      <c r="A82" t="s">
        <v>294</v>
      </c>
      <c r="B82">
        <v>25.8</v>
      </c>
      <c r="C82" s="4">
        <v>210</v>
      </c>
    </row>
    <row r="83" spans="1:3" x14ac:dyDescent="0.3">
      <c r="A83" t="s">
        <v>295</v>
      </c>
      <c r="B83">
        <v>25.3</v>
      </c>
      <c r="C83" s="4">
        <v>300</v>
      </c>
    </row>
    <row r="84" spans="1:3" x14ac:dyDescent="0.3">
      <c r="A84" t="s">
        <v>296</v>
      </c>
      <c r="B84">
        <v>21.5</v>
      </c>
      <c r="C84" s="4">
        <v>266</v>
      </c>
    </row>
    <row r="85" spans="1:3" x14ac:dyDescent="0.3">
      <c r="A85" t="s">
        <v>297</v>
      </c>
      <c r="B85">
        <v>25.6</v>
      </c>
      <c r="C85" s="4">
        <v>243</v>
      </c>
    </row>
    <row r="86" spans="1:3" x14ac:dyDescent="0.3">
      <c r="A86" t="s">
        <v>298</v>
      </c>
      <c r="B86">
        <v>20.100000000000001</v>
      </c>
      <c r="C86" s="4">
        <v>263</v>
      </c>
    </row>
    <row r="87" spans="1:3" x14ac:dyDescent="0.3">
      <c r="A87" t="s">
        <v>299</v>
      </c>
      <c r="B87">
        <v>9.4700000000000006</v>
      </c>
      <c r="C87" s="4">
        <v>99.5</v>
      </c>
    </row>
    <row r="88" spans="1:3" x14ac:dyDescent="0.3">
      <c r="A88" t="s">
        <v>300</v>
      </c>
      <c r="B88">
        <v>29.5</v>
      </c>
      <c r="C88" s="4">
        <v>124</v>
      </c>
    </row>
    <row r="89" spans="1:3" x14ac:dyDescent="0.3">
      <c r="A89" t="s">
        <v>301</v>
      </c>
      <c r="B89">
        <v>16.5</v>
      </c>
      <c r="C89" s="4">
        <v>354</v>
      </c>
    </row>
    <row r="90" spans="1:3" x14ac:dyDescent="0.3">
      <c r="A90" t="s">
        <v>302</v>
      </c>
      <c r="B90">
        <v>31</v>
      </c>
      <c r="C90" s="4">
        <v>247</v>
      </c>
    </row>
    <row r="91" spans="1:3" x14ac:dyDescent="0.3">
      <c r="A91" t="s">
        <v>303</v>
      </c>
      <c r="B91">
        <v>23.7</v>
      </c>
      <c r="C91" s="4">
        <v>321</v>
      </c>
    </row>
    <row r="92" spans="1:3" x14ac:dyDescent="0.3">
      <c r="A92" t="s">
        <v>304</v>
      </c>
      <c r="B92">
        <v>24.2</v>
      </c>
      <c r="C92" s="4">
        <v>380</v>
      </c>
    </row>
    <row r="93" spans="1:3" x14ac:dyDescent="0.3">
      <c r="A93" t="s">
        <v>305</v>
      </c>
      <c r="B93">
        <v>19.5</v>
      </c>
      <c r="C93" s="4">
        <v>386</v>
      </c>
    </row>
    <row r="94" spans="1:3" x14ac:dyDescent="0.3">
      <c r="A94" t="s">
        <v>306</v>
      </c>
      <c r="B94">
        <v>22</v>
      </c>
      <c r="C94" s="4">
        <v>257</v>
      </c>
    </row>
    <row r="95" spans="1:3" x14ac:dyDescent="0.3">
      <c r="A95" t="s">
        <v>307</v>
      </c>
      <c r="B95">
        <v>21.3</v>
      </c>
      <c r="C95" s="4">
        <v>1050</v>
      </c>
    </row>
    <row r="96" spans="1:3" x14ac:dyDescent="0.3">
      <c r="A96" t="s">
        <v>308</v>
      </c>
      <c r="B96">
        <v>27.8</v>
      </c>
      <c r="C96" s="4">
        <v>288</v>
      </c>
    </row>
    <row r="97" spans="1:3" x14ac:dyDescent="0.3">
      <c r="A97" t="s">
        <v>309</v>
      </c>
      <c r="B97">
        <v>22.6</v>
      </c>
      <c r="C97" s="4">
        <v>1330</v>
      </c>
    </row>
    <row r="98" spans="1:3" x14ac:dyDescent="0.3">
      <c r="A98" t="s">
        <v>310</v>
      </c>
      <c r="B98">
        <v>16.8</v>
      </c>
      <c r="C98" s="4">
        <v>281</v>
      </c>
    </row>
    <row r="99" spans="1:3" x14ac:dyDescent="0.3">
      <c r="A99" t="s">
        <v>311</v>
      </c>
      <c r="B99">
        <v>24.4</v>
      </c>
      <c r="C99" s="4">
        <v>311</v>
      </c>
    </row>
    <row r="100" spans="1:3" x14ac:dyDescent="0.3">
      <c r="A100" t="s">
        <v>312</v>
      </c>
      <c r="B100">
        <v>15.9</v>
      </c>
      <c r="C100" s="4">
        <v>213</v>
      </c>
    </row>
    <row r="101" spans="1:3" x14ac:dyDescent="0.3">
      <c r="A101" t="s">
        <v>313</v>
      </c>
      <c r="B101">
        <v>40.1</v>
      </c>
      <c r="C101" s="4">
        <v>900</v>
      </c>
    </row>
    <row r="102" spans="1:3" x14ac:dyDescent="0.3">
      <c r="A102" t="s">
        <v>315</v>
      </c>
      <c r="B102">
        <v>417</v>
      </c>
      <c r="C102" s="4">
        <v>2178</v>
      </c>
    </row>
    <row r="103" spans="1:3" x14ac:dyDescent="0.3">
      <c r="A103" t="s">
        <v>316</v>
      </c>
      <c r="B103">
        <v>23.6</v>
      </c>
      <c r="C103" s="4">
        <v>284</v>
      </c>
    </row>
    <row r="104" spans="1:3" x14ac:dyDescent="0.3">
      <c r="A104" t="s">
        <v>317</v>
      </c>
      <c r="B104">
        <v>29.1</v>
      </c>
      <c r="C104" s="4">
        <v>258</v>
      </c>
    </row>
    <row r="105" spans="1:3" x14ac:dyDescent="0.3">
      <c r="A105" t="s">
        <v>318</v>
      </c>
      <c r="B105">
        <v>25.6</v>
      </c>
      <c r="C105" s="4">
        <v>470</v>
      </c>
    </row>
    <row r="106" spans="1:3" x14ac:dyDescent="0.3">
      <c r="A106" t="s">
        <v>319</v>
      </c>
      <c r="B106">
        <v>71.599999999999994</v>
      </c>
      <c r="C106" s="4">
        <v>416</v>
      </c>
    </row>
    <row r="107" spans="1:3" x14ac:dyDescent="0.3">
      <c r="A107" t="s">
        <v>320</v>
      </c>
      <c r="B107">
        <v>29.5</v>
      </c>
      <c r="C107" s="4">
        <v>433</v>
      </c>
    </row>
    <row r="108" spans="1:3" x14ac:dyDescent="0.3">
      <c r="A108" t="s">
        <v>321</v>
      </c>
      <c r="B108">
        <v>47.8</v>
      </c>
      <c r="C108" s="4">
        <v>321</v>
      </c>
    </row>
    <row r="109" spans="1:3" x14ac:dyDescent="0.3">
      <c r="A109" t="s">
        <v>322</v>
      </c>
      <c r="B109">
        <v>21.8</v>
      </c>
      <c r="C109" s="4">
        <v>311</v>
      </c>
    </row>
    <row r="110" spans="1:3" x14ac:dyDescent="0.3">
      <c r="A110" t="s">
        <v>323</v>
      </c>
      <c r="B110">
        <v>12.7</v>
      </c>
      <c r="C110" s="4">
        <v>181</v>
      </c>
    </row>
    <row r="111" spans="1:3" x14ac:dyDescent="0.3">
      <c r="A111" t="s">
        <v>324</v>
      </c>
      <c r="B111">
        <v>27.6</v>
      </c>
      <c r="C111" s="4">
        <v>288</v>
      </c>
    </row>
    <row r="112" spans="1:3" x14ac:dyDescent="0.3">
      <c r="A112" t="s">
        <v>327</v>
      </c>
      <c r="B112">
        <v>37.799999999999997</v>
      </c>
      <c r="C112" s="4">
        <v>675</v>
      </c>
    </row>
    <row r="113" spans="1:3" x14ac:dyDescent="0.3">
      <c r="A113" t="s">
        <v>328</v>
      </c>
      <c r="B113">
        <v>27.3</v>
      </c>
      <c r="C113" s="4">
        <v>229</v>
      </c>
    </row>
    <row r="114" spans="1:3" x14ac:dyDescent="0.3">
      <c r="A114" t="s">
        <v>329</v>
      </c>
      <c r="B114">
        <v>26.5</v>
      </c>
      <c r="C114" s="4">
        <v>235</v>
      </c>
    </row>
    <row r="115" spans="1:3" x14ac:dyDescent="0.3">
      <c r="A115" t="s">
        <v>330</v>
      </c>
      <c r="B115">
        <v>19.5</v>
      </c>
      <c r="C115" s="4">
        <v>217</v>
      </c>
    </row>
    <row r="116" spans="1:3" x14ac:dyDescent="0.3">
      <c r="A116" t="s">
        <v>331</v>
      </c>
      <c r="B116">
        <v>27.1</v>
      </c>
      <c r="C116" s="4">
        <v>271</v>
      </c>
    </row>
    <row r="117" spans="1:3" x14ac:dyDescent="0.3">
      <c r="A117" t="s">
        <v>332</v>
      </c>
      <c r="B117">
        <v>22.3</v>
      </c>
      <c r="C117" s="4">
        <v>211</v>
      </c>
    </row>
    <row r="118" spans="1:3" x14ac:dyDescent="0.3">
      <c r="A118" t="s">
        <v>333</v>
      </c>
      <c r="B118">
        <v>36.200000000000003</v>
      </c>
      <c r="C118" s="4">
        <v>156</v>
      </c>
    </row>
    <row r="119" spans="1:3" x14ac:dyDescent="0.3">
      <c r="A119" t="s">
        <v>334</v>
      </c>
      <c r="B119">
        <v>24.3</v>
      </c>
      <c r="C119" s="4">
        <v>272</v>
      </c>
    </row>
    <row r="120" spans="1:3" x14ac:dyDescent="0.3">
      <c r="A120" t="s">
        <v>335</v>
      </c>
      <c r="B120">
        <v>20.100000000000001</v>
      </c>
      <c r="C120" s="4">
        <v>368</v>
      </c>
    </row>
    <row r="121" spans="1:3" x14ac:dyDescent="0.3">
      <c r="A121" t="s">
        <v>336</v>
      </c>
      <c r="B121">
        <v>28.7</v>
      </c>
      <c r="C121" s="4">
        <v>281</v>
      </c>
    </row>
    <row r="122" spans="1:3" x14ac:dyDescent="0.3">
      <c r="A122" t="s">
        <v>339</v>
      </c>
      <c r="B122">
        <v>27.6</v>
      </c>
      <c r="C122" s="4">
        <v>296</v>
      </c>
    </row>
    <row r="123" spans="1:3" x14ac:dyDescent="0.3">
      <c r="A123" t="s">
        <v>340</v>
      </c>
      <c r="B123">
        <v>33.200000000000003</v>
      </c>
      <c r="C123" s="4">
        <v>280</v>
      </c>
    </row>
    <row r="124" spans="1:3" x14ac:dyDescent="0.3">
      <c r="A124" t="s">
        <v>341</v>
      </c>
      <c r="B124">
        <v>22.5</v>
      </c>
      <c r="C124" s="4">
        <v>461</v>
      </c>
    </row>
    <row r="125" spans="1:3" x14ac:dyDescent="0.3">
      <c r="A125" t="s">
        <v>342</v>
      </c>
      <c r="B125">
        <v>23.5</v>
      </c>
      <c r="C125" s="4">
        <v>297</v>
      </c>
    </row>
    <row r="126" spans="1:3" x14ac:dyDescent="0.3">
      <c r="A126" t="s">
        <v>343</v>
      </c>
      <c r="B126">
        <v>22.7</v>
      </c>
      <c r="C126" s="4">
        <v>1090</v>
      </c>
    </row>
    <row r="127" spans="1:3" x14ac:dyDescent="0.3">
      <c r="A127" t="s">
        <v>344</v>
      </c>
      <c r="B127">
        <v>34</v>
      </c>
      <c r="C127" s="4">
        <v>130</v>
      </c>
    </row>
    <row r="128" spans="1:3" x14ac:dyDescent="0.3">
      <c r="A128" t="s">
        <v>345</v>
      </c>
      <c r="B128">
        <v>10.6</v>
      </c>
      <c r="C128" s="4">
        <v>171</v>
      </c>
    </row>
    <row r="129" spans="1:3" x14ac:dyDescent="0.3">
      <c r="A129" t="s">
        <v>346</v>
      </c>
      <c r="B129">
        <v>34.200000000000003</v>
      </c>
      <c r="C129" s="4">
        <v>234</v>
      </c>
    </row>
    <row r="130" spans="1:3" x14ac:dyDescent="0.3">
      <c r="A130" t="s">
        <v>347</v>
      </c>
      <c r="B130">
        <v>99.1</v>
      </c>
      <c r="C130" s="4">
        <v>561</v>
      </c>
    </row>
    <row r="131" spans="1:3" x14ac:dyDescent="0.3">
      <c r="A131" t="s">
        <v>348</v>
      </c>
      <c r="B131">
        <v>33.1</v>
      </c>
      <c r="C131" s="4">
        <v>296</v>
      </c>
    </row>
    <row r="132" spans="1:3" x14ac:dyDescent="0.3">
      <c r="A132" t="s">
        <v>349</v>
      </c>
      <c r="B132">
        <v>112</v>
      </c>
      <c r="C132" s="4">
        <v>634</v>
      </c>
    </row>
    <row r="133" spans="1:3" x14ac:dyDescent="0.3">
      <c r="C133" s="4"/>
    </row>
    <row r="134" spans="1:3" x14ac:dyDescent="0.3">
      <c r="C134" s="4"/>
    </row>
    <row r="135" spans="1:3" x14ac:dyDescent="0.3">
      <c r="C135" s="4"/>
    </row>
    <row r="136" spans="1:3" x14ac:dyDescent="0.3">
      <c r="C136" s="4"/>
    </row>
    <row r="137" spans="1:3" x14ac:dyDescent="0.3">
      <c r="C137" s="4"/>
    </row>
    <row r="138" spans="1:3" x14ac:dyDescent="0.3">
      <c r="C138" s="4"/>
    </row>
    <row r="139" spans="1:3" x14ac:dyDescent="0.3">
      <c r="C139" s="4"/>
    </row>
    <row r="140" spans="1:3" x14ac:dyDescent="0.3">
      <c r="C140" s="4"/>
    </row>
    <row r="141" spans="1:3" x14ac:dyDescent="0.3">
      <c r="C141" s="4"/>
    </row>
    <row r="142" spans="1:3" x14ac:dyDescent="0.3">
      <c r="C142" s="4"/>
    </row>
    <row r="143" spans="1:3" x14ac:dyDescent="0.3">
      <c r="C143" s="4"/>
    </row>
    <row r="144" spans="1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69"/>
  <sheetViews>
    <sheetView topLeftCell="C8" zoomScale="90" zoomScaleNormal="90" workbookViewId="0">
      <pane xSplit="1" topLeftCell="G1" activePane="topRight" state="frozen"/>
      <selection activeCell="C229" sqref="C229"/>
      <selection pane="topRight" activeCell="AD14" sqref="AD14"/>
    </sheetView>
  </sheetViews>
  <sheetFormatPr defaultRowHeight="14.4" x14ac:dyDescent="0.3"/>
  <cols>
    <col min="1" max="1" width="11.77734375" customWidth="1"/>
    <col min="2" max="2" width="21.44140625" customWidth="1"/>
    <col min="3" max="3" width="24.88671875" customWidth="1"/>
    <col min="5" max="5" width="3.44140625" customWidth="1"/>
    <col min="6" max="6" width="3.77734375" customWidth="1"/>
  </cols>
  <sheetData>
    <row r="1" spans="1:70" s="2" customFormat="1" ht="79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3" t="s">
        <v>15</v>
      </c>
      <c r="R1" s="3" t="s">
        <v>33</v>
      </c>
      <c r="S1" s="3" t="s">
        <v>16</v>
      </c>
      <c r="T1" s="3" t="s">
        <v>17</v>
      </c>
      <c r="U1" s="3" t="s">
        <v>34</v>
      </c>
      <c r="V1" s="3" t="s">
        <v>35</v>
      </c>
      <c r="W1" s="3" t="s">
        <v>36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3" t="s">
        <v>50</v>
      </c>
      <c r="AE1" s="3" t="s">
        <v>17</v>
      </c>
      <c r="AF1" s="3" t="s">
        <v>37</v>
      </c>
      <c r="AG1" s="3" t="s">
        <v>38</v>
      </c>
      <c r="AH1" s="3" t="s">
        <v>39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x14ac:dyDescent="0.3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3">
      <c r="A3" s="1">
        <v>45357</v>
      </c>
      <c r="B3" t="s">
        <v>183</v>
      </c>
      <c r="C3" t="s">
        <v>118</v>
      </c>
      <c r="D3" t="s">
        <v>119</v>
      </c>
      <c r="E3">
        <v>1</v>
      </c>
      <c r="F3">
        <v>1</v>
      </c>
      <c r="G3" t="s">
        <v>51</v>
      </c>
      <c r="H3" t="s">
        <v>52</v>
      </c>
      <c r="I3">
        <v>0.14499999999999999</v>
      </c>
      <c r="J3">
        <v>1.83</v>
      </c>
      <c r="K3">
        <v>35.5</v>
      </c>
      <c r="L3" t="s">
        <v>53</v>
      </c>
      <c r="M3" t="s">
        <v>54</v>
      </c>
      <c r="N3">
        <v>0.23899999999999999</v>
      </c>
      <c r="O3">
        <v>3.97</v>
      </c>
      <c r="P3">
        <v>314</v>
      </c>
      <c r="Q3" s="4"/>
      <c r="R3" s="4">
        <v>1</v>
      </c>
      <c r="S3" s="4">
        <v>1</v>
      </c>
      <c r="T3" s="4"/>
      <c r="U3" s="4">
        <f>K3*F3</f>
        <v>35.5</v>
      </c>
      <c r="V3" s="4">
        <f t="shared" ref="V3:V72" si="0">IF(R3=1,U3,(U3-0))</f>
        <v>35.5</v>
      </c>
      <c r="W3" s="4">
        <f>IF(R3=1,U3,(V3*R3))</f>
        <v>35.5</v>
      </c>
      <c r="X3" s="4"/>
      <c r="Y3" s="4"/>
      <c r="Z3" s="4"/>
      <c r="AA3" s="4"/>
      <c r="AB3" s="4"/>
      <c r="AC3" s="4"/>
      <c r="AD3" s="4">
        <v>1</v>
      </c>
      <c r="AE3" s="4"/>
      <c r="AF3" s="4">
        <f>P3*F3</f>
        <v>314</v>
      </c>
      <c r="AG3" s="4">
        <f t="shared" ref="AG3:AG72" si="1">IF(R3=1,AF3,(AF3-0))</f>
        <v>314</v>
      </c>
      <c r="AH3" s="4">
        <f t="shared" ref="AH3:AH12" si="2">IF(R3=1,AF3,(AG3*R3))</f>
        <v>314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x14ac:dyDescent="0.3">
      <c r="A4" s="1">
        <v>45357</v>
      </c>
      <c r="B4" t="s">
        <v>183</v>
      </c>
      <c r="C4" t="s">
        <v>118</v>
      </c>
      <c r="D4" t="s">
        <v>119</v>
      </c>
      <c r="E4">
        <v>1</v>
      </c>
      <c r="F4">
        <v>1</v>
      </c>
      <c r="G4" t="s">
        <v>51</v>
      </c>
      <c r="H4" t="s">
        <v>52</v>
      </c>
      <c r="I4">
        <v>0.111</v>
      </c>
      <c r="J4">
        <v>1.34</v>
      </c>
      <c r="K4">
        <v>20.7</v>
      </c>
      <c r="L4" t="s">
        <v>53</v>
      </c>
      <c r="M4" t="s">
        <v>54</v>
      </c>
      <c r="N4">
        <v>0.20100000000000001</v>
      </c>
      <c r="O4">
        <v>3.42</v>
      </c>
      <c r="P4">
        <v>256</v>
      </c>
      <c r="Q4" s="4"/>
      <c r="R4" s="4">
        <v>1</v>
      </c>
      <c r="S4" s="4">
        <v>1</v>
      </c>
      <c r="T4" s="4"/>
      <c r="U4" s="4">
        <f t="shared" ref="U4:U73" si="3">K4*F4</f>
        <v>20.7</v>
      </c>
      <c r="V4" s="4">
        <f t="shared" si="0"/>
        <v>20.7</v>
      </c>
      <c r="W4" s="4">
        <f t="shared" ref="W4:W41" si="4">IF(R4=1,U4,(V4*R4))</f>
        <v>20.7</v>
      </c>
      <c r="X4" s="4"/>
      <c r="Y4" s="4"/>
      <c r="Z4" s="4"/>
      <c r="AA4" s="4"/>
      <c r="AB4" s="4"/>
      <c r="AC4" s="4"/>
      <c r="AD4" s="4">
        <v>1</v>
      </c>
      <c r="AE4" s="4"/>
      <c r="AF4" s="4">
        <f t="shared" ref="AF4:AF73" si="5">P4*F4</f>
        <v>256</v>
      </c>
      <c r="AG4" s="4">
        <f t="shared" si="1"/>
        <v>256</v>
      </c>
      <c r="AH4" s="4">
        <f t="shared" si="2"/>
        <v>256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x14ac:dyDescent="0.3">
      <c r="A5" s="1">
        <v>45357</v>
      </c>
      <c r="B5" t="s">
        <v>183</v>
      </c>
      <c r="C5" t="s">
        <v>56</v>
      </c>
      <c r="D5" t="s">
        <v>12</v>
      </c>
      <c r="E5">
        <v>1</v>
      </c>
      <c r="F5">
        <v>1</v>
      </c>
      <c r="G5" t="s">
        <v>51</v>
      </c>
      <c r="H5" t="s">
        <v>52</v>
      </c>
      <c r="I5">
        <v>0.13300000000000001</v>
      </c>
      <c r="J5">
        <v>1.54</v>
      </c>
      <c r="K5">
        <v>26.8</v>
      </c>
      <c r="L5" t="s">
        <v>53</v>
      </c>
      <c r="M5" t="s">
        <v>54</v>
      </c>
      <c r="N5">
        <v>1.48</v>
      </c>
      <c r="O5">
        <v>21.5</v>
      </c>
      <c r="P5">
        <v>2120</v>
      </c>
      <c r="Q5" s="4">
        <f>100*(O6/O5)</f>
        <v>100.46511627906978</v>
      </c>
      <c r="R5" s="4">
        <v>1</v>
      </c>
      <c r="S5" s="4">
        <v>1</v>
      </c>
      <c r="T5" s="4"/>
      <c r="U5" s="4">
        <f t="shared" si="3"/>
        <v>26.8</v>
      </c>
      <c r="V5" s="4">
        <f t="shared" si="0"/>
        <v>26.8</v>
      </c>
      <c r="W5" s="4">
        <f t="shared" si="4"/>
        <v>26.8</v>
      </c>
      <c r="X5" s="4"/>
      <c r="Y5" s="4"/>
      <c r="Z5" s="4"/>
      <c r="AA5" s="4"/>
      <c r="AB5" s="4"/>
      <c r="AC5" s="4"/>
      <c r="AD5" s="4">
        <v>1</v>
      </c>
      <c r="AE5" s="4"/>
      <c r="AF5" s="4">
        <f t="shared" si="5"/>
        <v>2120</v>
      </c>
      <c r="AG5" s="4">
        <f t="shared" si="1"/>
        <v>2120</v>
      </c>
      <c r="AH5" s="4">
        <f t="shared" si="2"/>
        <v>2120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x14ac:dyDescent="0.3">
      <c r="A6" s="1">
        <v>45357</v>
      </c>
      <c r="B6" t="s">
        <v>183</v>
      </c>
      <c r="C6" t="s">
        <v>55</v>
      </c>
      <c r="D6" t="s">
        <v>13</v>
      </c>
      <c r="E6">
        <v>1</v>
      </c>
      <c r="F6">
        <v>1</v>
      </c>
      <c r="G6" t="s">
        <v>51</v>
      </c>
      <c r="H6" t="s">
        <v>52</v>
      </c>
      <c r="I6">
        <v>0.13400000000000001</v>
      </c>
      <c r="J6">
        <v>1.61</v>
      </c>
      <c r="K6">
        <v>28.7</v>
      </c>
      <c r="L6" t="s">
        <v>53</v>
      </c>
      <c r="M6" t="s">
        <v>54</v>
      </c>
      <c r="N6">
        <v>1.5</v>
      </c>
      <c r="O6">
        <v>21.6</v>
      </c>
      <c r="P6">
        <v>2140</v>
      </c>
      <c r="Q6" s="4"/>
      <c r="R6" s="4">
        <v>1</v>
      </c>
      <c r="S6" s="4">
        <v>1</v>
      </c>
      <c r="T6" s="4"/>
      <c r="U6" s="4">
        <f t="shared" si="3"/>
        <v>28.7</v>
      </c>
      <c r="V6" s="4">
        <f t="shared" si="0"/>
        <v>28.7</v>
      </c>
      <c r="W6" s="4">
        <f t="shared" si="4"/>
        <v>28.7</v>
      </c>
      <c r="X6" s="4"/>
      <c r="Y6" s="4"/>
      <c r="Z6" s="4"/>
      <c r="AA6" s="4"/>
      <c r="AB6" s="4"/>
      <c r="AC6" s="4"/>
      <c r="AD6" s="4">
        <v>1</v>
      </c>
      <c r="AE6" s="4"/>
      <c r="AF6" s="4">
        <f t="shared" si="5"/>
        <v>2140</v>
      </c>
      <c r="AG6" s="4">
        <f t="shared" si="1"/>
        <v>2140</v>
      </c>
      <c r="AH6" s="4">
        <f t="shared" si="2"/>
        <v>2140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x14ac:dyDescent="0.3">
      <c r="A7" s="1">
        <v>45357</v>
      </c>
      <c r="B7" t="s">
        <v>183</v>
      </c>
      <c r="C7" t="s">
        <v>57</v>
      </c>
      <c r="D7" t="s">
        <v>11</v>
      </c>
      <c r="E7">
        <v>1</v>
      </c>
      <c r="F7">
        <v>1</v>
      </c>
      <c r="G7" t="s">
        <v>51</v>
      </c>
      <c r="H7" t="s">
        <v>52</v>
      </c>
      <c r="I7">
        <v>0.13700000000000001</v>
      </c>
      <c r="J7">
        <v>1.65</v>
      </c>
      <c r="K7">
        <v>29.9</v>
      </c>
      <c r="L7" t="s">
        <v>53</v>
      </c>
      <c r="M7" t="s">
        <v>54</v>
      </c>
      <c r="N7">
        <v>-1.3599999999999999E-2</v>
      </c>
      <c r="O7">
        <v>-0.20499999999999999</v>
      </c>
      <c r="P7">
        <v>-125</v>
      </c>
      <c r="Q7" s="4"/>
      <c r="R7" s="4">
        <v>1</v>
      </c>
      <c r="S7" s="4">
        <v>1</v>
      </c>
      <c r="T7" s="4"/>
      <c r="U7" s="4">
        <f t="shared" si="3"/>
        <v>29.9</v>
      </c>
      <c r="V7" s="4">
        <f t="shared" si="0"/>
        <v>29.9</v>
      </c>
      <c r="W7" s="4">
        <f t="shared" si="4"/>
        <v>29.9</v>
      </c>
      <c r="X7" s="4"/>
      <c r="Y7" s="4"/>
      <c r="Z7" s="4"/>
      <c r="AA7" s="4"/>
      <c r="AB7" s="4"/>
      <c r="AC7" s="4"/>
      <c r="AD7" s="4">
        <v>1</v>
      </c>
      <c r="AE7" s="4"/>
      <c r="AF7" s="4">
        <f t="shared" si="5"/>
        <v>-125</v>
      </c>
      <c r="AG7" s="4">
        <f t="shared" si="1"/>
        <v>-125</v>
      </c>
      <c r="AH7" s="4">
        <f t="shared" si="2"/>
        <v>-125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x14ac:dyDescent="0.3">
      <c r="A8" s="1">
        <v>45357</v>
      </c>
      <c r="B8" t="s">
        <v>183</v>
      </c>
      <c r="C8" t="s">
        <v>120</v>
      </c>
      <c r="D8" t="s">
        <v>121</v>
      </c>
      <c r="E8">
        <v>1</v>
      </c>
      <c r="F8">
        <v>1</v>
      </c>
      <c r="G8" t="s">
        <v>51</v>
      </c>
      <c r="H8" t="s">
        <v>52</v>
      </c>
      <c r="I8">
        <v>1.4E-2</v>
      </c>
      <c r="J8">
        <v>0.16600000000000001</v>
      </c>
      <c r="K8">
        <v>-14.8</v>
      </c>
      <c r="L8" t="s">
        <v>53</v>
      </c>
      <c r="M8" t="s">
        <v>54</v>
      </c>
      <c r="N8">
        <v>2.1600000000000001E-2</v>
      </c>
      <c r="O8">
        <v>0.32700000000000001</v>
      </c>
      <c r="P8">
        <v>-69</v>
      </c>
      <c r="Q8" s="4"/>
      <c r="R8" s="4">
        <v>1</v>
      </c>
      <c r="S8" s="4">
        <v>1</v>
      </c>
      <c r="T8" s="4"/>
      <c r="U8" s="4">
        <f t="shared" si="3"/>
        <v>-14.8</v>
      </c>
      <c r="V8" s="4">
        <f t="shared" si="0"/>
        <v>-14.8</v>
      </c>
      <c r="W8" s="4">
        <f t="shared" si="4"/>
        <v>-14.8</v>
      </c>
      <c r="X8" s="4"/>
      <c r="Y8" s="4"/>
      <c r="Z8" s="4"/>
      <c r="AA8" s="4"/>
      <c r="AB8" s="4"/>
      <c r="AC8" s="4"/>
      <c r="AD8" s="4">
        <v>1</v>
      </c>
      <c r="AE8" s="4"/>
      <c r="AF8" s="4">
        <f t="shared" si="5"/>
        <v>-69</v>
      </c>
      <c r="AG8" s="4">
        <f t="shared" si="1"/>
        <v>-69</v>
      </c>
      <c r="AH8" s="4">
        <f t="shared" si="2"/>
        <v>-69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x14ac:dyDescent="0.3">
      <c r="A9" s="1">
        <v>45357</v>
      </c>
      <c r="B9" t="s">
        <v>183</v>
      </c>
      <c r="C9" t="s">
        <v>58</v>
      </c>
      <c r="D9">
        <v>1</v>
      </c>
      <c r="E9">
        <v>1</v>
      </c>
      <c r="F9">
        <v>1</v>
      </c>
      <c r="G9" t="s">
        <v>51</v>
      </c>
      <c r="H9" t="s">
        <v>52</v>
      </c>
      <c r="I9">
        <v>0.38</v>
      </c>
      <c r="J9">
        <v>6.63</v>
      </c>
      <c r="K9">
        <v>150</v>
      </c>
      <c r="L9" t="s">
        <v>53</v>
      </c>
      <c r="M9" t="s">
        <v>54</v>
      </c>
      <c r="N9">
        <v>1.62</v>
      </c>
      <c r="O9">
        <v>23.2</v>
      </c>
      <c r="P9">
        <v>1500</v>
      </c>
      <c r="Q9" s="4"/>
      <c r="R9" s="4">
        <v>1</v>
      </c>
      <c r="S9" s="4">
        <v>1</v>
      </c>
      <c r="T9" s="4"/>
      <c r="U9" s="4">
        <f t="shared" si="3"/>
        <v>150</v>
      </c>
      <c r="V9" s="4">
        <f t="shared" si="0"/>
        <v>150</v>
      </c>
      <c r="W9" s="4">
        <f t="shared" si="4"/>
        <v>150</v>
      </c>
      <c r="X9" s="4"/>
      <c r="Y9" s="4"/>
      <c r="Z9" s="4"/>
      <c r="AA9" s="4"/>
      <c r="AB9" s="4"/>
      <c r="AC9" s="4"/>
      <c r="AD9" s="4">
        <v>1</v>
      </c>
      <c r="AE9" s="4"/>
      <c r="AF9" s="4">
        <f t="shared" si="5"/>
        <v>1500</v>
      </c>
      <c r="AG9" s="4">
        <f t="shared" si="1"/>
        <v>1500</v>
      </c>
      <c r="AH9" s="4">
        <f t="shared" si="2"/>
        <v>1500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x14ac:dyDescent="0.3">
      <c r="A10" s="1">
        <v>45357</v>
      </c>
      <c r="B10" t="s">
        <v>183</v>
      </c>
      <c r="C10" t="s">
        <v>58</v>
      </c>
      <c r="D10">
        <v>1</v>
      </c>
      <c r="E10">
        <v>1</v>
      </c>
      <c r="F10">
        <v>1</v>
      </c>
      <c r="G10" t="s">
        <v>51</v>
      </c>
      <c r="H10" t="s">
        <v>52</v>
      </c>
      <c r="I10">
        <v>0.376</v>
      </c>
      <c r="J10">
        <v>6.53</v>
      </c>
      <c r="K10">
        <v>150</v>
      </c>
      <c r="L10" t="s">
        <v>53</v>
      </c>
      <c r="M10" t="s">
        <v>54</v>
      </c>
      <c r="N10">
        <v>1.51</v>
      </c>
      <c r="O10">
        <v>21.8</v>
      </c>
      <c r="P10">
        <v>1500</v>
      </c>
      <c r="Q10" s="4"/>
      <c r="R10" s="4">
        <v>1</v>
      </c>
      <c r="S10" s="4">
        <v>1</v>
      </c>
      <c r="T10" s="4"/>
      <c r="U10" s="4">
        <f t="shared" si="3"/>
        <v>150</v>
      </c>
      <c r="V10" s="4">
        <f t="shared" si="0"/>
        <v>150</v>
      </c>
      <c r="W10" s="4">
        <f t="shared" si="4"/>
        <v>150</v>
      </c>
      <c r="X10" s="4"/>
      <c r="Y10" s="4"/>
      <c r="Z10" s="4"/>
      <c r="AA10" s="4"/>
      <c r="AB10" s="4"/>
      <c r="AC10" s="4"/>
      <c r="AD10" s="4">
        <v>1</v>
      </c>
      <c r="AE10" s="4"/>
      <c r="AF10" s="4">
        <f t="shared" si="5"/>
        <v>1500</v>
      </c>
      <c r="AG10" s="4">
        <f t="shared" si="1"/>
        <v>1500</v>
      </c>
      <c r="AH10" s="4">
        <f t="shared" si="2"/>
        <v>1500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x14ac:dyDescent="0.3">
      <c r="A11" s="1">
        <v>45357</v>
      </c>
      <c r="B11" t="s">
        <v>183</v>
      </c>
      <c r="C11" t="s">
        <v>59</v>
      </c>
      <c r="D11">
        <v>3</v>
      </c>
      <c r="E11">
        <v>1</v>
      </c>
      <c r="F11">
        <v>1</v>
      </c>
      <c r="G11" t="s">
        <v>51</v>
      </c>
      <c r="H11" t="s">
        <v>52</v>
      </c>
      <c r="I11">
        <v>0.27600000000000002</v>
      </c>
      <c r="J11">
        <v>4.8099999999999996</v>
      </c>
      <c r="K11">
        <v>100</v>
      </c>
      <c r="L11" t="s">
        <v>53</v>
      </c>
      <c r="M11" t="s">
        <v>54</v>
      </c>
      <c r="N11">
        <v>1.01</v>
      </c>
      <c r="O11">
        <v>14.8</v>
      </c>
      <c r="P11">
        <v>1000</v>
      </c>
      <c r="Q11" s="4"/>
      <c r="R11" s="4">
        <v>1</v>
      </c>
      <c r="S11" s="4">
        <v>1</v>
      </c>
      <c r="T11" s="4"/>
      <c r="U11" s="4">
        <f t="shared" si="3"/>
        <v>100</v>
      </c>
      <c r="V11" s="4">
        <f t="shared" si="0"/>
        <v>100</v>
      </c>
      <c r="W11" s="4">
        <f t="shared" si="4"/>
        <v>100</v>
      </c>
      <c r="X11" s="4"/>
      <c r="Y11" s="4"/>
      <c r="Z11" s="4"/>
      <c r="AA11" s="4"/>
      <c r="AB11" s="4"/>
      <c r="AC11" s="4"/>
      <c r="AD11" s="4">
        <v>1</v>
      </c>
      <c r="AE11" s="4"/>
      <c r="AF11" s="4">
        <f t="shared" si="5"/>
        <v>1000</v>
      </c>
      <c r="AG11" s="4">
        <f t="shared" si="1"/>
        <v>1000</v>
      </c>
      <c r="AH11" s="4">
        <f t="shared" si="2"/>
        <v>1000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x14ac:dyDescent="0.3">
      <c r="A12" s="1">
        <v>45357</v>
      </c>
      <c r="B12" t="s">
        <v>183</v>
      </c>
      <c r="C12" t="s">
        <v>59</v>
      </c>
      <c r="D12">
        <v>3</v>
      </c>
      <c r="E12">
        <v>1</v>
      </c>
      <c r="F12">
        <v>1</v>
      </c>
      <c r="G12" t="s">
        <v>51</v>
      </c>
      <c r="H12" t="s">
        <v>52</v>
      </c>
      <c r="I12">
        <v>0.27700000000000002</v>
      </c>
      <c r="J12">
        <v>4.82</v>
      </c>
      <c r="K12">
        <v>100</v>
      </c>
      <c r="L12" t="s">
        <v>53</v>
      </c>
      <c r="M12" t="s">
        <v>54</v>
      </c>
      <c r="N12">
        <v>1.08</v>
      </c>
      <c r="O12">
        <v>15.5</v>
      </c>
      <c r="P12">
        <v>1000</v>
      </c>
      <c r="Q12" s="4"/>
      <c r="R12" s="4">
        <v>1</v>
      </c>
      <c r="S12" s="4">
        <v>1</v>
      </c>
      <c r="T12" s="4"/>
      <c r="U12" s="4">
        <f t="shared" si="3"/>
        <v>100</v>
      </c>
      <c r="V12" s="4">
        <f t="shared" si="0"/>
        <v>100</v>
      </c>
      <c r="W12" s="4">
        <f t="shared" si="4"/>
        <v>100</v>
      </c>
      <c r="X12" s="4"/>
      <c r="Y12" s="4"/>
      <c r="Z12" s="4"/>
      <c r="AA12" s="4"/>
      <c r="AB12" s="4"/>
      <c r="AC12" s="4"/>
      <c r="AD12" s="4">
        <v>1</v>
      </c>
      <c r="AE12" s="4"/>
      <c r="AF12" s="4">
        <f t="shared" si="5"/>
        <v>1000</v>
      </c>
      <c r="AG12" s="4">
        <f t="shared" si="1"/>
        <v>1000</v>
      </c>
      <c r="AH12" s="4">
        <f t="shared" si="2"/>
        <v>1000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x14ac:dyDescent="0.3">
      <c r="A13" s="1">
        <v>45357</v>
      </c>
      <c r="B13" t="s">
        <v>183</v>
      </c>
      <c r="C13" t="s">
        <v>60</v>
      </c>
      <c r="D13">
        <v>5</v>
      </c>
      <c r="E13">
        <v>1</v>
      </c>
      <c r="F13">
        <v>1</v>
      </c>
      <c r="G13" t="s">
        <v>51</v>
      </c>
      <c r="H13" t="s">
        <v>52</v>
      </c>
      <c r="I13">
        <v>0.18099999999999999</v>
      </c>
      <c r="J13">
        <v>3.18</v>
      </c>
      <c r="K13">
        <v>50</v>
      </c>
      <c r="L13" t="s">
        <v>53</v>
      </c>
      <c r="M13" t="s">
        <v>54</v>
      </c>
      <c r="N13">
        <v>0.57099999999999995</v>
      </c>
      <c r="O13">
        <v>8.43</v>
      </c>
      <c r="P13">
        <v>500</v>
      </c>
      <c r="Q13" s="4"/>
      <c r="R13" s="4">
        <v>1</v>
      </c>
      <c r="S13" s="4">
        <v>1</v>
      </c>
      <c r="T13" s="4"/>
      <c r="U13" s="4">
        <f t="shared" si="3"/>
        <v>50</v>
      </c>
      <c r="V13" s="4">
        <f t="shared" si="0"/>
        <v>50</v>
      </c>
      <c r="W13" s="4">
        <f t="shared" si="4"/>
        <v>50</v>
      </c>
      <c r="X13" s="4"/>
      <c r="Y13" s="4"/>
      <c r="Z13" s="4"/>
      <c r="AA13" s="4"/>
      <c r="AB13" s="4"/>
      <c r="AC13" s="4"/>
      <c r="AD13" s="4">
        <v>1</v>
      </c>
      <c r="AE13" s="4"/>
      <c r="AF13" s="4">
        <f t="shared" si="5"/>
        <v>500</v>
      </c>
      <c r="AG13" s="4">
        <f t="shared" si="1"/>
        <v>500</v>
      </c>
      <c r="AH13" s="4">
        <f t="shared" ref="AH13:AH94" si="6">IF(R13=1,AF13,(AG13*R13))</f>
        <v>500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 x14ac:dyDescent="0.3">
      <c r="A14" s="1">
        <v>45357</v>
      </c>
      <c r="B14" t="s">
        <v>183</v>
      </c>
      <c r="C14" t="s">
        <v>60</v>
      </c>
      <c r="D14">
        <v>5</v>
      </c>
      <c r="E14">
        <v>1</v>
      </c>
      <c r="F14">
        <v>1</v>
      </c>
      <c r="G14" t="s">
        <v>51</v>
      </c>
      <c r="H14" t="s">
        <v>52</v>
      </c>
      <c r="I14">
        <v>0.17599999999999999</v>
      </c>
      <c r="J14">
        <v>3.07</v>
      </c>
      <c r="K14">
        <v>50</v>
      </c>
      <c r="L14" t="s">
        <v>53</v>
      </c>
      <c r="M14" t="s">
        <v>54</v>
      </c>
      <c r="N14">
        <v>0.53800000000000003</v>
      </c>
      <c r="O14">
        <v>7.97</v>
      </c>
      <c r="P14">
        <v>500</v>
      </c>
      <c r="Q14" s="4"/>
      <c r="R14" s="4">
        <v>1</v>
      </c>
      <c r="S14" s="4">
        <v>1</v>
      </c>
      <c r="T14" s="4"/>
      <c r="U14" s="4">
        <f t="shared" si="3"/>
        <v>50</v>
      </c>
      <c r="V14" s="4">
        <f t="shared" si="0"/>
        <v>50</v>
      </c>
      <c r="W14" s="4">
        <f t="shared" si="4"/>
        <v>50</v>
      </c>
      <c r="X14" s="4"/>
      <c r="Y14" s="4"/>
      <c r="Z14" s="4"/>
      <c r="AA14" s="4"/>
      <c r="AB14" s="4"/>
      <c r="AC14" s="4"/>
      <c r="AD14" s="4">
        <v>1</v>
      </c>
      <c r="AE14" s="4"/>
      <c r="AF14" s="4">
        <f t="shared" si="5"/>
        <v>500</v>
      </c>
      <c r="AG14" s="4">
        <f t="shared" si="1"/>
        <v>500</v>
      </c>
      <c r="AH14" s="4">
        <f t="shared" si="6"/>
        <v>500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" x14ac:dyDescent="0.3">
      <c r="A15" s="1">
        <v>45357</v>
      </c>
      <c r="B15" t="s">
        <v>183</v>
      </c>
      <c r="C15" t="s">
        <v>61</v>
      </c>
      <c r="D15">
        <v>7</v>
      </c>
      <c r="E15">
        <v>1</v>
      </c>
      <c r="F15">
        <v>1</v>
      </c>
      <c r="G15" t="s">
        <v>51</v>
      </c>
      <c r="H15" t="s">
        <v>52</v>
      </c>
      <c r="I15">
        <v>0.13</v>
      </c>
      <c r="J15">
        <v>2.34</v>
      </c>
      <c r="K15">
        <v>25</v>
      </c>
      <c r="L15" t="s">
        <v>53</v>
      </c>
      <c r="M15" t="s">
        <v>54</v>
      </c>
      <c r="N15">
        <v>0.29899999999999999</v>
      </c>
      <c r="O15">
        <v>4.62</v>
      </c>
      <c r="P15">
        <v>250</v>
      </c>
      <c r="Q15" s="4"/>
      <c r="R15" s="4">
        <v>1</v>
      </c>
      <c r="S15" s="4">
        <v>1</v>
      </c>
      <c r="T15" s="4"/>
      <c r="U15" s="4">
        <f t="shared" si="3"/>
        <v>25</v>
      </c>
      <c r="V15" s="4">
        <f t="shared" si="0"/>
        <v>25</v>
      </c>
      <c r="W15" s="4">
        <f t="shared" si="4"/>
        <v>25</v>
      </c>
      <c r="X15" s="4"/>
      <c r="Y15" s="4"/>
      <c r="Z15" s="4"/>
      <c r="AA15" s="4"/>
      <c r="AB15" s="4"/>
      <c r="AC15" s="4"/>
      <c r="AD15" s="4">
        <v>1</v>
      </c>
      <c r="AE15" s="4"/>
      <c r="AF15" s="4">
        <f t="shared" si="5"/>
        <v>250</v>
      </c>
      <c r="AG15" s="4">
        <f t="shared" si="1"/>
        <v>250</v>
      </c>
      <c r="AH15" s="4">
        <f t="shared" si="6"/>
        <v>250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70" x14ac:dyDescent="0.3">
      <c r="A16" s="1">
        <v>45357</v>
      </c>
      <c r="B16" t="s">
        <v>183</v>
      </c>
      <c r="C16" t="s">
        <v>61</v>
      </c>
      <c r="D16">
        <v>7</v>
      </c>
      <c r="E16">
        <v>1</v>
      </c>
      <c r="F16">
        <v>1</v>
      </c>
      <c r="G16" t="s">
        <v>51</v>
      </c>
      <c r="H16" t="s">
        <v>52</v>
      </c>
      <c r="I16">
        <v>0.13100000000000001</v>
      </c>
      <c r="J16">
        <v>2.36</v>
      </c>
      <c r="K16">
        <v>25</v>
      </c>
      <c r="L16" t="s">
        <v>53</v>
      </c>
      <c r="M16" t="s">
        <v>54</v>
      </c>
      <c r="N16">
        <v>0.28899999999999998</v>
      </c>
      <c r="O16">
        <v>4.3600000000000003</v>
      </c>
      <c r="P16">
        <v>250</v>
      </c>
      <c r="Q16" s="4"/>
      <c r="R16" s="4">
        <v>1</v>
      </c>
      <c r="S16" s="4">
        <v>1</v>
      </c>
      <c r="T16" s="4"/>
      <c r="U16" s="4">
        <f t="shared" si="3"/>
        <v>25</v>
      </c>
      <c r="V16" s="4">
        <f t="shared" si="0"/>
        <v>25</v>
      </c>
      <c r="W16" s="4">
        <f t="shared" si="4"/>
        <v>25</v>
      </c>
      <c r="X16" s="4"/>
      <c r="Y16" s="4"/>
      <c r="Z16" s="4"/>
      <c r="AA16" s="4"/>
      <c r="AB16" s="4"/>
      <c r="AC16" s="4"/>
      <c r="AD16" s="4">
        <v>1</v>
      </c>
      <c r="AE16" s="4"/>
      <c r="AF16" s="4">
        <f t="shared" si="5"/>
        <v>250</v>
      </c>
      <c r="AG16" s="4">
        <f t="shared" si="1"/>
        <v>250</v>
      </c>
      <c r="AH16" s="4">
        <f t="shared" si="6"/>
        <v>250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:70" x14ac:dyDescent="0.3">
      <c r="A17" s="1">
        <v>45357</v>
      </c>
      <c r="B17" t="s">
        <v>183</v>
      </c>
      <c r="C17" t="s">
        <v>62</v>
      </c>
      <c r="D17">
        <v>9</v>
      </c>
      <c r="E17">
        <v>1</v>
      </c>
      <c r="F17">
        <v>1</v>
      </c>
      <c r="G17" t="s">
        <v>51</v>
      </c>
      <c r="H17" t="s">
        <v>52</v>
      </c>
      <c r="I17">
        <v>0.10199999999999999</v>
      </c>
      <c r="J17">
        <v>1.82</v>
      </c>
      <c r="K17">
        <v>10</v>
      </c>
      <c r="L17" t="s">
        <v>53</v>
      </c>
      <c r="M17" t="s">
        <v>54</v>
      </c>
      <c r="N17">
        <v>0.157</v>
      </c>
      <c r="O17">
        <v>2.66</v>
      </c>
      <c r="P17">
        <v>100</v>
      </c>
      <c r="Q17" s="4"/>
      <c r="R17" s="4">
        <v>1</v>
      </c>
      <c r="S17" s="4">
        <v>1</v>
      </c>
      <c r="T17" s="4"/>
      <c r="U17" s="4">
        <f t="shared" si="3"/>
        <v>10</v>
      </c>
      <c r="V17" s="4">
        <f t="shared" si="0"/>
        <v>10</v>
      </c>
      <c r="W17" s="4">
        <f t="shared" si="4"/>
        <v>10</v>
      </c>
      <c r="X17" s="4"/>
      <c r="Y17" s="4"/>
      <c r="Z17" s="4"/>
      <c r="AA17" s="4"/>
      <c r="AB17" s="4"/>
      <c r="AC17" s="4"/>
      <c r="AD17" s="4">
        <v>1</v>
      </c>
      <c r="AE17" s="4"/>
      <c r="AF17" s="4">
        <f t="shared" si="5"/>
        <v>100</v>
      </c>
      <c r="AG17" s="4">
        <f t="shared" si="1"/>
        <v>100</v>
      </c>
      <c r="AH17" s="4">
        <f t="shared" si="6"/>
        <v>100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spans="1:70" x14ac:dyDescent="0.3">
      <c r="A18" s="1">
        <v>45357</v>
      </c>
      <c r="B18" t="s">
        <v>183</v>
      </c>
      <c r="C18" t="s">
        <v>62</v>
      </c>
      <c r="D18">
        <v>9</v>
      </c>
      <c r="E18">
        <v>1</v>
      </c>
      <c r="F18">
        <v>1</v>
      </c>
      <c r="G18" t="s">
        <v>51</v>
      </c>
      <c r="H18" t="s">
        <v>52</v>
      </c>
      <c r="I18">
        <v>0.10199999999999999</v>
      </c>
      <c r="J18">
        <v>1.86</v>
      </c>
      <c r="K18">
        <v>10</v>
      </c>
      <c r="L18" t="s">
        <v>53</v>
      </c>
      <c r="M18" t="s">
        <v>54</v>
      </c>
      <c r="N18">
        <v>0.154</v>
      </c>
      <c r="O18">
        <v>2.58</v>
      </c>
      <c r="P18">
        <v>100</v>
      </c>
      <c r="Q18" s="4"/>
      <c r="R18" s="4">
        <v>1</v>
      </c>
      <c r="S18" s="4">
        <v>1</v>
      </c>
      <c r="T18" s="4"/>
      <c r="U18" s="4">
        <f t="shared" si="3"/>
        <v>10</v>
      </c>
      <c r="V18" s="4">
        <f t="shared" si="0"/>
        <v>10</v>
      </c>
      <c r="W18" s="4">
        <f t="shared" si="4"/>
        <v>10</v>
      </c>
      <c r="X18" s="4"/>
      <c r="Y18" s="4"/>
      <c r="Z18" s="4"/>
      <c r="AA18" s="4"/>
      <c r="AB18" s="4"/>
      <c r="AC18" s="4"/>
      <c r="AD18" s="4">
        <v>1</v>
      </c>
      <c r="AE18" s="4"/>
      <c r="AF18" s="4">
        <f t="shared" si="5"/>
        <v>100</v>
      </c>
      <c r="AG18" s="4">
        <f t="shared" si="1"/>
        <v>100</v>
      </c>
      <c r="AH18" s="4">
        <f t="shared" si="6"/>
        <v>100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:70" x14ac:dyDescent="0.3">
      <c r="A19" s="1">
        <v>45357</v>
      </c>
      <c r="B19" t="s">
        <v>183</v>
      </c>
      <c r="C19" t="s">
        <v>63</v>
      </c>
      <c r="D19">
        <v>11</v>
      </c>
      <c r="E19">
        <v>1</v>
      </c>
      <c r="F19">
        <v>1</v>
      </c>
      <c r="G19" t="s">
        <v>51</v>
      </c>
      <c r="H19" t="s">
        <v>52</v>
      </c>
      <c r="I19">
        <v>9.2499999999999999E-2</v>
      </c>
      <c r="J19">
        <v>1.69</v>
      </c>
      <c r="K19">
        <v>5</v>
      </c>
      <c r="L19" t="s">
        <v>53</v>
      </c>
      <c r="M19" t="s">
        <v>54</v>
      </c>
      <c r="N19">
        <v>8.9800000000000005E-2</v>
      </c>
      <c r="O19">
        <v>1.5</v>
      </c>
      <c r="P19">
        <v>50</v>
      </c>
      <c r="Q19" s="4"/>
      <c r="R19" s="4">
        <v>1</v>
      </c>
      <c r="S19" s="4">
        <v>1</v>
      </c>
      <c r="T19" s="4"/>
      <c r="U19" s="4">
        <f t="shared" si="3"/>
        <v>5</v>
      </c>
      <c r="V19" s="4">
        <f t="shared" si="0"/>
        <v>5</v>
      </c>
      <c r="W19" s="4">
        <f t="shared" si="4"/>
        <v>5</v>
      </c>
      <c r="X19" s="4"/>
      <c r="Y19" s="4"/>
      <c r="Z19" s="4"/>
      <c r="AA19" s="4"/>
      <c r="AB19" s="4"/>
      <c r="AC19" s="4"/>
      <c r="AD19" s="4">
        <v>1</v>
      </c>
      <c r="AE19" s="4"/>
      <c r="AF19" s="4">
        <f t="shared" si="5"/>
        <v>50</v>
      </c>
      <c r="AG19" s="4">
        <f t="shared" si="1"/>
        <v>50</v>
      </c>
      <c r="AH19" s="4">
        <f t="shared" si="6"/>
        <v>50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x14ac:dyDescent="0.3">
      <c r="A20" s="1">
        <v>45357</v>
      </c>
      <c r="B20" t="s">
        <v>183</v>
      </c>
      <c r="C20" t="s">
        <v>63</v>
      </c>
      <c r="D20">
        <v>11</v>
      </c>
      <c r="E20">
        <v>1</v>
      </c>
      <c r="F20">
        <v>1</v>
      </c>
      <c r="G20" t="s">
        <v>51</v>
      </c>
      <c r="H20" t="s">
        <v>52</v>
      </c>
      <c r="I20">
        <v>9.0899999999999995E-2</v>
      </c>
      <c r="J20">
        <v>1.65</v>
      </c>
      <c r="K20">
        <v>5</v>
      </c>
      <c r="L20" t="s">
        <v>53</v>
      </c>
      <c r="M20" t="s">
        <v>54</v>
      </c>
      <c r="N20">
        <v>8.7499999999999994E-2</v>
      </c>
      <c r="O20">
        <v>1.53</v>
      </c>
      <c r="P20">
        <v>50</v>
      </c>
      <c r="Q20" s="4"/>
      <c r="R20" s="4">
        <v>1</v>
      </c>
      <c r="S20" s="4">
        <v>1</v>
      </c>
      <c r="T20" s="4"/>
      <c r="U20" s="4">
        <f t="shared" si="3"/>
        <v>5</v>
      </c>
      <c r="V20" s="4">
        <f t="shared" si="0"/>
        <v>5</v>
      </c>
      <c r="W20" s="4">
        <f t="shared" si="4"/>
        <v>5</v>
      </c>
      <c r="X20" s="4"/>
      <c r="Y20" s="4"/>
      <c r="Z20" s="4"/>
      <c r="AA20" s="4"/>
      <c r="AB20" s="4"/>
      <c r="AC20" s="4"/>
      <c r="AD20" s="4">
        <v>1</v>
      </c>
      <c r="AE20" s="4"/>
      <c r="AF20" s="4">
        <f t="shared" si="5"/>
        <v>50</v>
      </c>
      <c r="AG20" s="4">
        <f t="shared" si="1"/>
        <v>50</v>
      </c>
      <c r="AH20" s="4">
        <f t="shared" si="6"/>
        <v>50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:70" x14ac:dyDescent="0.3">
      <c r="A21" s="1">
        <v>45357</v>
      </c>
      <c r="B21" t="s">
        <v>183</v>
      </c>
      <c r="C21" t="s">
        <v>64</v>
      </c>
      <c r="D21">
        <v>13</v>
      </c>
      <c r="E21">
        <v>1</v>
      </c>
      <c r="F21">
        <v>1</v>
      </c>
      <c r="G21" t="s">
        <v>51</v>
      </c>
      <c r="H21" t="s">
        <v>52</v>
      </c>
      <c r="I21">
        <v>8.77E-2</v>
      </c>
      <c r="J21">
        <v>1.58</v>
      </c>
      <c r="K21">
        <v>2.5</v>
      </c>
      <c r="L21" t="s">
        <v>53</v>
      </c>
      <c r="M21" t="s">
        <v>54</v>
      </c>
      <c r="N21">
        <v>7.0699999999999999E-2</v>
      </c>
      <c r="O21">
        <v>1.2</v>
      </c>
      <c r="P21">
        <v>25</v>
      </c>
      <c r="Q21" s="4"/>
      <c r="R21" s="4">
        <v>1</v>
      </c>
      <c r="S21" s="4">
        <v>1</v>
      </c>
      <c r="T21" s="4"/>
      <c r="U21" s="4">
        <f t="shared" si="3"/>
        <v>2.5</v>
      </c>
      <c r="V21" s="4">
        <f t="shared" si="0"/>
        <v>2.5</v>
      </c>
      <c r="W21" s="4">
        <f t="shared" ref="W21:W27" si="7">IF(R21=1,U21,(V21*R21))</f>
        <v>2.5</v>
      </c>
      <c r="X21" s="4"/>
      <c r="Y21" s="4"/>
      <c r="Z21" s="4"/>
      <c r="AA21" s="4"/>
      <c r="AB21" s="4"/>
      <c r="AC21" s="4"/>
      <c r="AD21" s="4">
        <v>1</v>
      </c>
      <c r="AF21" s="4">
        <f t="shared" si="5"/>
        <v>25</v>
      </c>
      <c r="AG21" s="4">
        <f t="shared" si="1"/>
        <v>25</v>
      </c>
      <c r="AH21" s="4">
        <f t="shared" ref="AH21:AH27" si="8">IF(R21=1,AF21,(AG21*R21))</f>
        <v>25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70" x14ac:dyDescent="0.3">
      <c r="A22" s="1">
        <v>45357</v>
      </c>
      <c r="B22" t="s">
        <v>183</v>
      </c>
      <c r="C22" t="s">
        <v>64</v>
      </c>
      <c r="D22">
        <v>13</v>
      </c>
      <c r="E22">
        <v>1</v>
      </c>
      <c r="F22">
        <v>1</v>
      </c>
      <c r="G22" t="s">
        <v>51</v>
      </c>
      <c r="H22" t="s">
        <v>52</v>
      </c>
      <c r="I22">
        <v>8.7499999999999994E-2</v>
      </c>
      <c r="J22">
        <v>1.6</v>
      </c>
      <c r="K22">
        <v>2.5</v>
      </c>
      <c r="L22" t="s">
        <v>53</v>
      </c>
      <c r="M22" t="s">
        <v>54</v>
      </c>
      <c r="N22">
        <v>8.48E-2</v>
      </c>
      <c r="O22">
        <v>1.45</v>
      </c>
      <c r="P22">
        <v>25</v>
      </c>
      <c r="Q22" s="4"/>
      <c r="R22" s="4">
        <v>1</v>
      </c>
      <c r="S22" s="4">
        <v>1</v>
      </c>
      <c r="T22" s="4"/>
      <c r="U22" s="4">
        <f t="shared" si="3"/>
        <v>2.5</v>
      </c>
      <c r="V22" s="4">
        <f t="shared" si="0"/>
        <v>2.5</v>
      </c>
      <c r="W22" s="4">
        <f t="shared" si="7"/>
        <v>2.5</v>
      </c>
      <c r="X22" s="4"/>
      <c r="Y22" s="4"/>
      <c r="Z22" s="4"/>
      <c r="AA22" s="4"/>
      <c r="AB22" s="4"/>
      <c r="AC22" s="4"/>
      <c r="AD22" s="4">
        <v>1</v>
      </c>
      <c r="AF22" s="4">
        <f t="shared" si="5"/>
        <v>25</v>
      </c>
      <c r="AG22" s="4">
        <f t="shared" si="1"/>
        <v>25</v>
      </c>
      <c r="AH22" s="4">
        <f t="shared" si="8"/>
        <v>25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:70" x14ac:dyDescent="0.3">
      <c r="A23" s="1">
        <v>45357</v>
      </c>
      <c r="B23" t="s">
        <v>183</v>
      </c>
      <c r="C23" t="s">
        <v>14</v>
      </c>
      <c r="D23">
        <v>15</v>
      </c>
      <c r="E23">
        <v>1</v>
      </c>
      <c r="F23">
        <v>1</v>
      </c>
      <c r="G23" t="s">
        <v>51</v>
      </c>
      <c r="H23" t="s">
        <v>52</v>
      </c>
      <c r="I23">
        <v>8.5000000000000006E-2</v>
      </c>
      <c r="J23">
        <v>1.56</v>
      </c>
      <c r="K23">
        <v>0</v>
      </c>
      <c r="L23" t="s">
        <v>53</v>
      </c>
      <c r="M23" t="s">
        <v>54</v>
      </c>
      <c r="N23">
        <v>5.6800000000000003E-2</v>
      </c>
      <c r="O23">
        <v>1</v>
      </c>
      <c r="P23">
        <v>0</v>
      </c>
      <c r="Q23" s="4"/>
      <c r="R23" s="4">
        <v>1</v>
      </c>
      <c r="S23" s="4">
        <v>1</v>
      </c>
      <c r="T23" s="4"/>
      <c r="U23" s="4">
        <f t="shared" si="3"/>
        <v>0</v>
      </c>
      <c r="V23" s="4">
        <f t="shared" si="0"/>
        <v>0</v>
      </c>
      <c r="W23" s="4">
        <f t="shared" si="7"/>
        <v>0</v>
      </c>
      <c r="X23" s="4"/>
      <c r="Y23" s="4"/>
      <c r="Z23" s="4"/>
      <c r="AA23" s="4"/>
      <c r="AB23" s="4"/>
      <c r="AC23" s="4"/>
      <c r="AD23" s="4">
        <v>1</v>
      </c>
      <c r="AE23" s="4"/>
      <c r="AF23" s="4">
        <f t="shared" si="5"/>
        <v>0</v>
      </c>
      <c r="AG23" s="4">
        <f t="shared" si="1"/>
        <v>0</v>
      </c>
      <c r="AH23" s="4">
        <f t="shared" si="8"/>
        <v>0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70" x14ac:dyDescent="0.3">
      <c r="A24" s="1">
        <v>45357</v>
      </c>
      <c r="B24" t="s">
        <v>183</v>
      </c>
      <c r="C24" t="s">
        <v>14</v>
      </c>
      <c r="D24">
        <v>15</v>
      </c>
      <c r="E24">
        <v>1</v>
      </c>
      <c r="F24">
        <v>1</v>
      </c>
      <c r="G24" t="s">
        <v>51</v>
      </c>
      <c r="H24" t="s">
        <v>52</v>
      </c>
      <c r="I24">
        <v>8.43E-2</v>
      </c>
      <c r="J24">
        <v>1.52</v>
      </c>
      <c r="K24">
        <v>0</v>
      </c>
      <c r="L24" t="s">
        <v>53</v>
      </c>
      <c r="M24" t="s">
        <v>54</v>
      </c>
      <c r="N24">
        <v>5.2600000000000001E-2</v>
      </c>
      <c r="O24">
        <v>0.86199999999999999</v>
      </c>
      <c r="P24">
        <v>0</v>
      </c>
      <c r="Q24" s="4"/>
      <c r="R24" s="4">
        <v>1</v>
      </c>
      <c r="S24" s="4">
        <v>1</v>
      </c>
      <c r="T24" s="4"/>
      <c r="U24" s="4">
        <f t="shared" si="3"/>
        <v>0</v>
      </c>
      <c r="V24" s="4">
        <f t="shared" si="0"/>
        <v>0</v>
      </c>
      <c r="W24" s="4">
        <f t="shared" si="7"/>
        <v>0</v>
      </c>
      <c r="X24" s="4"/>
      <c r="Y24" s="4"/>
      <c r="Z24" s="4"/>
      <c r="AA24" s="4"/>
      <c r="AB24" s="4"/>
      <c r="AC24" s="4"/>
      <c r="AD24" s="4">
        <v>1</v>
      </c>
      <c r="AE24" s="4"/>
      <c r="AF24" s="4">
        <f t="shared" si="5"/>
        <v>0</v>
      </c>
      <c r="AG24" s="4">
        <f t="shared" si="1"/>
        <v>0</v>
      </c>
      <c r="AH24" s="4">
        <f t="shared" si="8"/>
        <v>0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x14ac:dyDescent="0.3">
      <c r="A25" s="1">
        <v>45357</v>
      </c>
      <c r="B25" t="s">
        <v>183</v>
      </c>
      <c r="C25" t="s">
        <v>56</v>
      </c>
      <c r="D25" t="s">
        <v>12</v>
      </c>
      <c r="E25">
        <v>1</v>
      </c>
      <c r="F25">
        <v>1</v>
      </c>
      <c r="G25" t="s">
        <v>51</v>
      </c>
      <c r="H25" t="s">
        <v>52</v>
      </c>
      <c r="I25">
        <v>0.13200000000000001</v>
      </c>
      <c r="J25">
        <v>1.59</v>
      </c>
      <c r="K25">
        <v>2.17</v>
      </c>
      <c r="L25" t="s">
        <v>53</v>
      </c>
      <c r="M25" t="s">
        <v>54</v>
      </c>
      <c r="N25">
        <v>1.28</v>
      </c>
      <c r="O25">
        <v>19.2</v>
      </c>
      <c r="P25">
        <v>1270</v>
      </c>
      <c r="Q25" s="4">
        <f>100*(O26/O25)</f>
        <v>114.58333333333334</v>
      </c>
      <c r="R25" s="4">
        <v>1</v>
      </c>
      <c r="S25" s="4">
        <v>1</v>
      </c>
      <c r="T25" s="4"/>
      <c r="U25" s="4">
        <f t="shared" si="3"/>
        <v>2.17</v>
      </c>
      <c r="V25" s="4">
        <f t="shared" si="0"/>
        <v>2.17</v>
      </c>
      <c r="W25" s="4">
        <f t="shared" si="7"/>
        <v>2.17</v>
      </c>
      <c r="X25" s="4"/>
      <c r="Y25" s="4"/>
      <c r="Z25" s="4"/>
      <c r="AA25" s="4"/>
      <c r="AB25" s="4"/>
      <c r="AC25" s="4"/>
      <c r="AD25" s="4">
        <v>1</v>
      </c>
      <c r="AE25" s="4"/>
      <c r="AF25" s="4">
        <f t="shared" si="5"/>
        <v>1270</v>
      </c>
      <c r="AG25" s="4">
        <f t="shared" si="1"/>
        <v>1270</v>
      </c>
      <c r="AH25" s="4">
        <f t="shared" si="8"/>
        <v>1270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70" x14ac:dyDescent="0.3">
      <c r="A26" s="1">
        <v>45357</v>
      </c>
      <c r="B26" t="s">
        <v>183</v>
      </c>
      <c r="C26" t="s">
        <v>55</v>
      </c>
      <c r="D26" t="s">
        <v>13</v>
      </c>
      <c r="E26">
        <v>1</v>
      </c>
      <c r="F26">
        <v>1</v>
      </c>
      <c r="G26" t="s">
        <v>51</v>
      </c>
      <c r="H26" t="s">
        <v>52</v>
      </c>
      <c r="I26">
        <v>0.13400000000000001</v>
      </c>
      <c r="J26">
        <v>1.61</v>
      </c>
      <c r="K26">
        <v>2.76</v>
      </c>
      <c r="L26" t="s">
        <v>53</v>
      </c>
      <c r="M26" t="s">
        <v>54</v>
      </c>
      <c r="N26">
        <v>1.5</v>
      </c>
      <c r="O26">
        <v>22</v>
      </c>
      <c r="P26">
        <v>1470</v>
      </c>
      <c r="Q26" s="4"/>
      <c r="R26" s="4">
        <v>1</v>
      </c>
      <c r="S26" s="4">
        <v>1</v>
      </c>
      <c r="T26" s="4"/>
      <c r="U26" s="4">
        <f t="shared" si="3"/>
        <v>2.76</v>
      </c>
      <c r="V26" s="4">
        <f t="shared" si="0"/>
        <v>2.76</v>
      </c>
      <c r="W26" s="4">
        <f t="shared" si="7"/>
        <v>2.76</v>
      </c>
      <c r="X26" s="4"/>
      <c r="Y26" s="4"/>
      <c r="Z26" s="4"/>
      <c r="AA26" s="4"/>
      <c r="AB26" s="4"/>
      <c r="AC26" s="4"/>
      <c r="AD26" s="4">
        <v>1</v>
      </c>
      <c r="AE26" s="4"/>
      <c r="AF26" s="4">
        <f t="shared" si="5"/>
        <v>1470</v>
      </c>
      <c r="AG26" s="4">
        <f t="shared" si="1"/>
        <v>1470</v>
      </c>
      <c r="AH26" s="4">
        <f t="shared" si="8"/>
        <v>1470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70" x14ac:dyDescent="0.3">
      <c r="A27" s="1">
        <v>45357</v>
      </c>
      <c r="B27" t="s">
        <v>183</v>
      </c>
      <c r="C27" t="s">
        <v>57</v>
      </c>
      <c r="D27" t="s">
        <v>11</v>
      </c>
      <c r="E27">
        <v>1</v>
      </c>
      <c r="F27">
        <v>1</v>
      </c>
      <c r="G27" t="s">
        <v>51</v>
      </c>
      <c r="H27" t="s">
        <v>52</v>
      </c>
      <c r="I27">
        <v>0.127</v>
      </c>
      <c r="J27">
        <v>1.48</v>
      </c>
      <c r="K27">
        <v>-1.37</v>
      </c>
      <c r="L27" t="s">
        <v>53</v>
      </c>
      <c r="M27" t="s">
        <v>54</v>
      </c>
      <c r="N27">
        <v>1.18E-2</v>
      </c>
      <c r="O27">
        <v>0.26500000000000001</v>
      </c>
      <c r="P27">
        <v>-44.9</v>
      </c>
      <c r="Q27" s="4"/>
      <c r="R27" s="4">
        <v>1</v>
      </c>
      <c r="S27" s="4">
        <v>1</v>
      </c>
      <c r="T27" s="4"/>
      <c r="U27" s="4">
        <f t="shared" si="3"/>
        <v>-1.37</v>
      </c>
      <c r="V27" s="4">
        <f t="shared" si="0"/>
        <v>-1.37</v>
      </c>
      <c r="W27" s="4">
        <f t="shared" si="7"/>
        <v>-1.37</v>
      </c>
      <c r="X27" s="4"/>
      <c r="Y27" s="4"/>
      <c r="Z27" s="4"/>
      <c r="AA27" s="4"/>
      <c r="AB27" s="4"/>
      <c r="AC27" s="4"/>
      <c r="AD27" s="4">
        <v>1</v>
      </c>
      <c r="AE27" s="4"/>
      <c r="AF27" s="4">
        <f t="shared" si="5"/>
        <v>-44.9</v>
      </c>
      <c r="AG27" s="4">
        <f t="shared" si="1"/>
        <v>-44.9</v>
      </c>
      <c r="AH27" s="4">
        <f t="shared" si="8"/>
        <v>-44.9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:70" x14ac:dyDescent="0.3">
      <c r="A28" s="1">
        <v>45357</v>
      </c>
      <c r="B28" t="s">
        <v>183</v>
      </c>
      <c r="C28" t="s">
        <v>138</v>
      </c>
      <c r="D28" t="s">
        <v>121</v>
      </c>
      <c r="E28">
        <v>1</v>
      </c>
      <c r="F28">
        <v>1</v>
      </c>
      <c r="G28" t="s">
        <v>51</v>
      </c>
      <c r="H28" t="s">
        <v>52</v>
      </c>
      <c r="I28">
        <v>1.0999999999999999E-2</v>
      </c>
      <c r="J28">
        <v>0.122</v>
      </c>
      <c r="K28">
        <v>-44.8</v>
      </c>
      <c r="L28" t="s">
        <v>53</v>
      </c>
      <c r="M28" t="s">
        <v>54</v>
      </c>
      <c r="N28">
        <v>1.0699999999999999E-2</v>
      </c>
      <c r="O28">
        <v>-2.8500000000000001E-2</v>
      </c>
      <c r="P28">
        <v>-64.7</v>
      </c>
      <c r="Q28" s="4"/>
      <c r="R28" s="4">
        <v>1</v>
      </c>
      <c r="S28" s="4">
        <v>1</v>
      </c>
      <c r="T28" s="4"/>
      <c r="U28" s="4">
        <f t="shared" ref="U28" si="9">K28*F28</f>
        <v>-44.8</v>
      </c>
      <c r="V28" s="4">
        <f t="shared" ref="V28" si="10">IF(R28=1,U28,(U28-0))</f>
        <v>-44.8</v>
      </c>
      <c r="W28" s="4">
        <f t="shared" ref="W28" si="11">IF(R28=1,U28,(V28*R28))</f>
        <v>-44.8</v>
      </c>
      <c r="X28" s="4"/>
      <c r="Y28" s="4"/>
      <c r="Z28" s="4"/>
      <c r="AA28" s="4"/>
      <c r="AB28" s="4"/>
      <c r="AC28" s="4"/>
      <c r="AD28" s="4">
        <v>1</v>
      </c>
      <c r="AE28" s="4"/>
      <c r="AF28" s="4">
        <f t="shared" ref="AF28" si="12">P28*F28</f>
        <v>-64.7</v>
      </c>
      <c r="AG28" s="4">
        <f t="shared" ref="AG28" si="13">IF(R28=1,AF28,(AF28-0))</f>
        <v>-64.7</v>
      </c>
      <c r="AH28" s="4">
        <f t="shared" ref="AH28" si="14">IF(R28=1,AF28,(AG28*R28))</f>
        <v>-64.7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:70" x14ac:dyDescent="0.3">
      <c r="A29" s="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x14ac:dyDescent="0.3">
      <c r="A30" s="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70" x14ac:dyDescent="0.3">
      <c r="A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3">
      <c r="A32" s="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1:70" x14ac:dyDescent="0.3">
      <c r="A33" s="1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 x14ac:dyDescent="0.3">
      <c r="A34" s="1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:70" x14ac:dyDescent="0.3">
      <c r="A35" s="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70" x14ac:dyDescent="0.3">
      <c r="A36" s="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70" x14ac:dyDescent="0.3">
      <c r="A37" s="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1:70" x14ac:dyDescent="0.3">
      <c r="A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1:70" x14ac:dyDescent="0.3">
      <c r="A39" s="1">
        <v>45357</v>
      </c>
      <c r="B39" t="s">
        <v>183</v>
      </c>
      <c r="C39" t="s">
        <v>184</v>
      </c>
      <c r="D39">
        <v>20</v>
      </c>
      <c r="E39">
        <v>1</v>
      </c>
      <c r="F39">
        <v>1</v>
      </c>
      <c r="G39" t="s">
        <v>51</v>
      </c>
      <c r="H39" t="s">
        <v>52</v>
      </c>
      <c r="I39">
        <v>8.1799999999999998E-2</v>
      </c>
      <c r="J39">
        <v>1.51</v>
      </c>
      <c r="K39">
        <v>-0.28499999999999998</v>
      </c>
      <c r="L39" t="s">
        <v>53</v>
      </c>
      <c r="M39" t="s">
        <v>54</v>
      </c>
      <c r="N39">
        <v>4.82E-2</v>
      </c>
      <c r="O39">
        <v>1.05</v>
      </c>
      <c r="P39">
        <v>8.16</v>
      </c>
      <c r="Q39" s="4"/>
      <c r="R39" s="4">
        <v>1</v>
      </c>
      <c r="S39" s="4">
        <v>1</v>
      </c>
      <c r="T39" s="4"/>
      <c r="U39" s="4">
        <f t="shared" si="3"/>
        <v>-0.28499999999999998</v>
      </c>
      <c r="V39" s="4">
        <f t="shared" si="0"/>
        <v>-0.28499999999999998</v>
      </c>
      <c r="W39" s="4">
        <f t="shared" si="4"/>
        <v>-0.28499999999999998</v>
      </c>
      <c r="X39" s="4"/>
      <c r="Y39" s="4"/>
      <c r="Z39" s="4"/>
      <c r="AA39" s="4"/>
      <c r="AB39" s="4"/>
      <c r="AC39" s="4"/>
      <c r="AD39" s="4">
        <v>1</v>
      </c>
      <c r="AE39" s="4"/>
      <c r="AF39" s="4">
        <f t="shared" si="5"/>
        <v>8.16</v>
      </c>
      <c r="AG39" s="4">
        <f t="shared" si="1"/>
        <v>8.16</v>
      </c>
      <c r="AH39" s="4">
        <f t="shared" si="6"/>
        <v>8.16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1:70" x14ac:dyDescent="0.3">
      <c r="A40" s="1">
        <v>45357</v>
      </c>
      <c r="B40" t="s">
        <v>183</v>
      </c>
      <c r="C40" t="s">
        <v>185</v>
      </c>
      <c r="D40">
        <v>21</v>
      </c>
      <c r="E40">
        <v>1</v>
      </c>
      <c r="F40">
        <v>1</v>
      </c>
      <c r="G40" t="s">
        <v>51</v>
      </c>
      <c r="H40" t="s">
        <v>52</v>
      </c>
      <c r="I40">
        <v>8.2000000000000003E-2</v>
      </c>
      <c r="J40">
        <v>1.47</v>
      </c>
      <c r="K40">
        <v>-1.74</v>
      </c>
      <c r="L40" t="s">
        <v>53</v>
      </c>
      <c r="M40" t="s">
        <v>54</v>
      </c>
      <c r="N40">
        <v>5.3800000000000001E-2</v>
      </c>
      <c r="O40">
        <v>0.98899999999999999</v>
      </c>
      <c r="P40">
        <v>4.1399999999999997</v>
      </c>
      <c r="Q40" s="4"/>
      <c r="R40" s="4">
        <v>1</v>
      </c>
      <c r="S40" s="4">
        <v>1</v>
      </c>
      <c r="T40" s="4"/>
      <c r="U40" s="4">
        <f t="shared" si="3"/>
        <v>-1.74</v>
      </c>
      <c r="V40" s="4">
        <f t="shared" si="0"/>
        <v>-1.74</v>
      </c>
      <c r="W40" s="4">
        <f t="shared" si="4"/>
        <v>-1.74</v>
      </c>
      <c r="X40" s="4"/>
      <c r="Y40" s="4"/>
      <c r="Z40" s="4"/>
      <c r="AA40" s="4"/>
      <c r="AB40" s="4"/>
      <c r="AC40" s="4"/>
      <c r="AD40" s="4">
        <v>1</v>
      </c>
      <c r="AE40" s="4"/>
      <c r="AF40" s="4">
        <f t="shared" si="5"/>
        <v>4.1399999999999997</v>
      </c>
      <c r="AG40" s="4">
        <f t="shared" si="1"/>
        <v>4.1399999999999997</v>
      </c>
      <c r="AH40" s="4">
        <f t="shared" si="6"/>
        <v>4.1399999999999997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1:70" x14ac:dyDescent="0.3">
      <c r="A41" s="1">
        <v>45357</v>
      </c>
      <c r="B41" t="s">
        <v>183</v>
      </c>
      <c r="C41" t="s">
        <v>186</v>
      </c>
      <c r="D41">
        <v>22</v>
      </c>
      <c r="E41">
        <v>1</v>
      </c>
      <c r="F41">
        <v>1</v>
      </c>
      <c r="G41" t="s">
        <v>51</v>
      </c>
      <c r="H41" t="s">
        <v>52</v>
      </c>
      <c r="I41">
        <v>8.1000000000000003E-2</v>
      </c>
      <c r="J41">
        <v>1.44</v>
      </c>
      <c r="K41">
        <v>-2.5299999999999998</v>
      </c>
      <c r="L41" t="s">
        <v>53</v>
      </c>
      <c r="M41" t="s">
        <v>54</v>
      </c>
      <c r="N41">
        <v>4.5600000000000002E-2</v>
      </c>
      <c r="O41">
        <v>0.89900000000000002</v>
      </c>
      <c r="P41">
        <v>-1.92</v>
      </c>
      <c r="Q41" s="4"/>
      <c r="R41" s="4">
        <v>1</v>
      </c>
      <c r="S41" s="4">
        <v>1</v>
      </c>
      <c r="T41" s="4"/>
      <c r="U41" s="4">
        <f t="shared" si="3"/>
        <v>-2.5299999999999998</v>
      </c>
      <c r="V41" s="4">
        <f t="shared" si="0"/>
        <v>-2.5299999999999998</v>
      </c>
      <c r="W41" s="4">
        <f t="shared" si="4"/>
        <v>-2.5299999999999998</v>
      </c>
      <c r="X41" s="4"/>
      <c r="Y41" s="4"/>
      <c r="Z41" s="4"/>
      <c r="AA41" s="4"/>
      <c r="AB41" s="4"/>
      <c r="AC41" s="4"/>
      <c r="AD41" s="4">
        <v>1</v>
      </c>
      <c r="AE41" s="4"/>
      <c r="AF41" s="4">
        <f t="shared" si="5"/>
        <v>-1.92</v>
      </c>
      <c r="AG41" s="4">
        <f t="shared" si="1"/>
        <v>-1.92</v>
      </c>
      <c r="AH41" s="4">
        <f t="shared" si="6"/>
        <v>-1.92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:70" x14ac:dyDescent="0.3">
      <c r="A42" s="1">
        <v>45357</v>
      </c>
      <c r="B42" t="s">
        <v>183</v>
      </c>
      <c r="C42" t="s">
        <v>187</v>
      </c>
      <c r="D42">
        <v>23</v>
      </c>
      <c r="E42">
        <v>1</v>
      </c>
      <c r="F42">
        <v>1</v>
      </c>
      <c r="G42" t="s">
        <v>51</v>
      </c>
      <c r="H42" t="s">
        <v>52</v>
      </c>
      <c r="I42">
        <v>8.3699999999999997E-2</v>
      </c>
      <c r="J42">
        <v>1.55</v>
      </c>
      <c r="K42">
        <v>0.78500000000000003</v>
      </c>
      <c r="L42" t="s">
        <v>53</v>
      </c>
      <c r="M42" t="s">
        <v>54</v>
      </c>
      <c r="N42">
        <v>4.6800000000000001E-2</v>
      </c>
      <c r="O42">
        <v>0.94799999999999995</v>
      </c>
      <c r="P42">
        <v>1.38</v>
      </c>
      <c r="Q42" s="4"/>
      <c r="R42" s="4">
        <v>1</v>
      </c>
      <c r="S42" s="4">
        <v>1</v>
      </c>
      <c r="T42" s="4"/>
      <c r="U42" s="4">
        <f t="shared" si="3"/>
        <v>0.78500000000000003</v>
      </c>
      <c r="V42" s="4">
        <f t="shared" si="0"/>
        <v>0.78500000000000003</v>
      </c>
      <c r="W42" s="4">
        <f t="shared" ref="W42:W105" si="15">IF(R42=1,U42,(V42*R42))</f>
        <v>0.78500000000000003</v>
      </c>
      <c r="X42" s="4"/>
      <c r="Y42" s="4"/>
      <c r="Z42" s="4"/>
      <c r="AA42" s="4"/>
      <c r="AB42" s="4"/>
      <c r="AC42" s="4"/>
      <c r="AD42" s="4">
        <v>1</v>
      </c>
      <c r="AE42" s="4"/>
      <c r="AF42" s="4">
        <f t="shared" si="5"/>
        <v>1.38</v>
      </c>
      <c r="AG42" s="4">
        <f t="shared" si="1"/>
        <v>1.38</v>
      </c>
      <c r="AH42" s="4">
        <f t="shared" si="6"/>
        <v>1.38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:70" x14ac:dyDescent="0.3">
      <c r="A43" s="1">
        <v>45357</v>
      </c>
      <c r="B43" t="s">
        <v>183</v>
      </c>
      <c r="C43" t="s">
        <v>187</v>
      </c>
      <c r="D43">
        <v>24</v>
      </c>
      <c r="E43">
        <v>1</v>
      </c>
      <c r="F43">
        <v>1</v>
      </c>
      <c r="G43" t="s">
        <v>51</v>
      </c>
      <c r="H43" t="s">
        <v>52</v>
      </c>
      <c r="I43">
        <v>8.1100000000000005E-2</v>
      </c>
      <c r="J43">
        <v>1.46</v>
      </c>
      <c r="K43">
        <v>-1.89</v>
      </c>
      <c r="L43" t="s">
        <v>53</v>
      </c>
      <c r="M43" t="s">
        <v>54</v>
      </c>
      <c r="N43">
        <v>4.2599999999999999E-2</v>
      </c>
      <c r="O43">
        <v>0.63700000000000001</v>
      </c>
      <c r="P43">
        <v>-19.7</v>
      </c>
      <c r="Q43" s="4"/>
      <c r="R43" s="4">
        <v>1</v>
      </c>
      <c r="S43" s="4">
        <v>1</v>
      </c>
      <c r="T43" s="4"/>
      <c r="U43" s="4">
        <f t="shared" si="3"/>
        <v>-1.89</v>
      </c>
      <c r="V43" s="4">
        <f t="shared" si="0"/>
        <v>-1.89</v>
      </c>
      <c r="W43" s="4">
        <f t="shared" si="15"/>
        <v>-1.89</v>
      </c>
      <c r="X43" s="4"/>
      <c r="Y43" s="4"/>
      <c r="Z43" s="4"/>
      <c r="AA43" s="4"/>
      <c r="AB43" s="4"/>
      <c r="AC43" s="4"/>
      <c r="AD43" s="4">
        <v>1</v>
      </c>
      <c r="AE43" s="4"/>
      <c r="AF43" s="4">
        <f t="shared" si="5"/>
        <v>-19.7</v>
      </c>
      <c r="AG43" s="4">
        <f t="shared" si="1"/>
        <v>-19.7</v>
      </c>
      <c r="AH43" s="4">
        <f t="shared" si="6"/>
        <v>-19.7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1:70" x14ac:dyDescent="0.3">
      <c r="A44" s="1">
        <v>45357</v>
      </c>
      <c r="B44" t="s">
        <v>183</v>
      </c>
      <c r="C44" t="s">
        <v>188</v>
      </c>
      <c r="D44">
        <v>25</v>
      </c>
      <c r="E44">
        <v>1</v>
      </c>
      <c r="F44">
        <v>1</v>
      </c>
      <c r="G44" t="s">
        <v>51</v>
      </c>
      <c r="H44" t="s">
        <v>52</v>
      </c>
      <c r="I44">
        <v>0.16400000000000001</v>
      </c>
      <c r="J44">
        <v>2.91</v>
      </c>
      <c r="K44">
        <v>42.9</v>
      </c>
      <c r="L44" t="s">
        <v>53</v>
      </c>
      <c r="M44" t="s">
        <v>54</v>
      </c>
      <c r="N44">
        <v>0.36799999999999999</v>
      </c>
      <c r="O44">
        <v>5.62</v>
      </c>
      <c r="P44">
        <v>320</v>
      </c>
      <c r="Q44" s="4"/>
      <c r="R44" s="4">
        <v>1</v>
      </c>
      <c r="S44" s="4">
        <v>1</v>
      </c>
      <c r="T44" s="4"/>
      <c r="U44" s="4">
        <f t="shared" si="3"/>
        <v>42.9</v>
      </c>
      <c r="V44" s="4">
        <f t="shared" si="0"/>
        <v>42.9</v>
      </c>
      <c r="W44" s="4">
        <f t="shared" si="15"/>
        <v>42.9</v>
      </c>
      <c r="X44" s="4"/>
      <c r="Y44" s="4"/>
      <c r="Z44" s="4"/>
      <c r="AA44" s="4"/>
      <c r="AB44" s="4"/>
      <c r="AC44" s="4"/>
      <c r="AD44" s="4">
        <v>1</v>
      </c>
      <c r="AE44" s="4"/>
      <c r="AF44" s="4">
        <f t="shared" si="5"/>
        <v>320</v>
      </c>
      <c r="AG44" s="4">
        <f t="shared" si="1"/>
        <v>320</v>
      </c>
      <c r="AH44" s="4">
        <f t="shared" si="6"/>
        <v>320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:70" x14ac:dyDescent="0.3">
      <c r="A45" s="1">
        <v>45357</v>
      </c>
      <c r="B45" t="s">
        <v>183</v>
      </c>
      <c r="C45" t="s">
        <v>188</v>
      </c>
      <c r="D45">
        <v>26</v>
      </c>
      <c r="E45">
        <v>1</v>
      </c>
      <c r="F45">
        <v>1</v>
      </c>
      <c r="G45" t="s">
        <v>51</v>
      </c>
      <c r="H45" t="s">
        <v>52</v>
      </c>
      <c r="I45">
        <v>0.16</v>
      </c>
      <c r="J45">
        <v>2.91</v>
      </c>
      <c r="K45">
        <v>43</v>
      </c>
      <c r="L45" t="s">
        <v>53</v>
      </c>
      <c r="M45" t="s">
        <v>54</v>
      </c>
      <c r="N45">
        <v>0.34599999999999997</v>
      </c>
      <c r="O45">
        <v>5.32</v>
      </c>
      <c r="P45">
        <v>299</v>
      </c>
      <c r="Q45" s="4"/>
      <c r="R45" s="4">
        <v>1</v>
      </c>
      <c r="S45" s="4">
        <v>1</v>
      </c>
      <c r="T45" s="4"/>
      <c r="U45" s="4">
        <f t="shared" si="3"/>
        <v>43</v>
      </c>
      <c r="V45" s="4">
        <f t="shared" si="0"/>
        <v>43</v>
      </c>
      <c r="W45" s="4">
        <f t="shared" si="15"/>
        <v>43</v>
      </c>
      <c r="X45" s="4"/>
      <c r="Y45" s="4"/>
      <c r="Z45" s="4"/>
      <c r="AA45" s="4"/>
      <c r="AB45" s="4"/>
      <c r="AC45" s="4"/>
      <c r="AD45" s="4">
        <v>1</v>
      </c>
      <c r="AE45" s="4"/>
      <c r="AF45" s="4">
        <f t="shared" si="5"/>
        <v>299</v>
      </c>
      <c r="AG45" s="4">
        <f t="shared" si="1"/>
        <v>299</v>
      </c>
      <c r="AH45" s="4">
        <f t="shared" si="6"/>
        <v>299</v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:70" x14ac:dyDescent="0.3">
      <c r="A46" s="1">
        <v>45357</v>
      </c>
      <c r="B46" t="s">
        <v>183</v>
      </c>
      <c r="C46" t="s">
        <v>188</v>
      </c>
      <c r="D46">
        <v>27</v>
      </c>
      <c r="E46">
        <v>1</v>
      </c>
      <c r="F46">
        <v>1</v>
      </c>
      <c r="G46" t="s">
        <v>51</v>
      </c>
      <c r="H46" t="s">
        <v>52</v>
      </c>
      <c r="I46">
        <v>0.161</v>
      </c>
      <c r="J46">
        <v>2.91</v>
      </c>
      <c r="K46">
        <v>43</v>
      </c>
      <c r="L46" t="s">
        <v>53</v>
      </c>
      <c r="M46" t="s">
        <v>54</v>
      </c>
      <c r="N46">
        <v>0.38600000000000001</v>
      </c>
      <c r="O46">
        <v>6.07</v>
      </c>
      <c r="P46">
        <v>351</v>
      </c>
      <c r="Q46" s="4"/>
      <c r="R46" s="4">
        <v>1</v>
      </c>
      <c r="S46" s="4">
        <v>1</v>
      </c>
      <c r="T46" s="4"/>
      <c r="U46" s="4">
        <f t="shared" si="3"/>
        <v>43</v>
      </c>
      <c r="V46" s="4">
        <f t="shared" si="0"/>
        <v>43</v>
      </c>
      <c r="W46" s="4">
        <f t="shared" si="15"/>
        <v>43</v>
      </c>
      <c r="X46" s="4"/>
      <c r="Y46" s="4"/>
      <c r="Z46" s="4"/>
      <c r="AA46" s="4"/>
      <c r="AB46" s="4"/>
      <c r="AC46" s="4"/>
      <c r="AD46" s="4">
        <v>1</v>
      </c>
      <c r="AE46" s="4"/>
      <c r="AF46" s="4">
        <f t="shared" si="5"/>
        <v>351</v>
      </c>
      <c r="AG46" s="4">
        <f t="shared" si="1"/>
        <v>351</v>
      </c>
      <c r="AH46" s="4">
        <f t="shared" si="6"/>
        <v>351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:70" x14ac:dyDescent="0.3">
      <c r="A47" s="1">
        <v>45357</v>
      </c>
      <c r="B47" t="s">
        <v>183</v>
      </c>
      <c r="C47" t="s">
        <v>188</v>
      </c>
      <c r="D47">
        <v>28</v>
      </c>
      <c r="E47">
        <v>1</v>
      </c>
      <c r="F47">
        <v>1</v>
      </c>
      <c r="G47" t="s">
        <v>51</v>
      </c>
      <c r="H47" t="s">
        <v>52</v>
      </c>
      <c r="I47">
        <v>0.16</v>
      </c>
      <c r="J47">
        <v>2.85</v>
      </c>
      <c r="K47">
        <v>41.3</v>
      </c>
      <c r="L47" t="s">
        <v>53</v>
      </c>
      <c r="M47" t="s">
        <v>54</v>
      </c>
      <c r="N47">
        <v>0.37</v>
      </c>
      <c r="O47">
        <v>5.84</v>
      </c>
      <c r="P47">
        <v>335</v>
      </c>
      <c r="Q47" s="4"/>
      <c r="R47" s="4">
        <v>1</v>
      </c>
      <c r="S47" s="4">
        <v>1</v>
      </c>
      <c r="T47" s="4"/>
      <c r="U47" s="4">
        <f t="shared" si="3"/>
        <v>41.3</v>
      </c>
      <c r="V47" s="4">
        <f t="shared" si="0"/>
        <v>41.3</v>
      </c>
      <c r="W47" s="4">
        <f t="shared" si="15"/>
        <v>41.3</v>
      </c>
      <c r="X47" s="4"/>
      <c r="Y47" s="4"/>
      <c r="Z47" s="4"/>
      <c r="AA47" s="4"/>
      <c r="AB47" s="4"/>
      <c r="AC47" s="4"/>
      <c r="AD47" s="4">
        <v>1</v>
      </c>
      <c r="AE47" s="4"/>
      <c r="AF47" s="4">
        <f t="shared" si="5"/>
        <v>335</v>
      </c>
      <c r="AG47" s="4">
        <f t="shared" si="1"/>
        <v>335</v>
      </c>
      <c r="AH47" s="4">
        <f t="shared" si="6"/>
        <v>335</v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:70" x14ac:dyDescent="0.3">
      <c r="A48" s="1">
        <v>45357</v>
      </c>
      <c r="B48" t="s">
        <v>183</v>
      </c>
      <c r="C48" t="s">
        <v>188</v>
      </c>
      <c r="D48">
        <v>29</v>
      </c>
      <c r="E48">
        <v>1</v>
      </c>
      <c r="F48">
        <v>1</v>
      </c>
      <c r="G48" t="s">
        <v>51</v>
      </c>
      <c r="H48" t="s">
        <v>52</v>
      </c>
      <c r="I48">
        <v>0.158</v>
      </c>
      <c r="J48">
        <v>2.86</v>
      </c>
      <c r="K48">
        <v>41.4</v>
      </c>
      <c r="L48" t="s">
        <v>53</v>
      </c>
      <c r="M48" t="s">
        <v>54</v>
      </c>
      <c r="N48">
        <v>0.35699999999999998</v>
      </c>
      <c r="O48">
        <v>5.34</v>
      </c>
      <c r="P48">
        <v>301</v>
      </c>
      <c r="Q48" s="4"/>
      <c r="R48" s="4">
        <v>1</v>
      </c>
      <c r="S48" s="4">
        <v>1</v>
      </c>
      <c r="T48" s="4"/>
      <c r="U48" s="4">
        <f t="shared" si="3"/>
        <v>41.4</v>
      </c>
      <c r="V48" s="4">
        <f t="shared" si="0"/>
        <v>41.4</v>
      </c>
      <c r="W48" s="4">
        <f t="shared" si="15"/>
        <v>41.4</v>
      </c>
      <c r="X48" s="4"/>
      <c r="Y48" s="4"/>
      <c r="Z48" s="4"/>
      <c r="AA48" s="4"/>
      <c r="AB48" s="4"/>
      <c r="AC48" s="4"/>
      <c r="AD48" s="4">
        <v>1</v>
      </c>
      <c r="AE48" s="4"/>
      <c r="AF48" s="4">
        <f t="shared" si="5"/>
        <v>301</v>
      </c>
      <c r="AG48" s="4">
        <f t="shared" si="1"/>
        <v>301</v>
      </c>
      <c r="AH48" s="4">
        <f t="shared" si="6"/>
        <v>301</v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:70" x14ac:dyDescent="0.3">
      <c r="A49" s="1">
        <v>45357</v>
      </c>
      <c r="B49" t="s">
        <v>183</v>
      </c>
      <c r="C49" t="s">
        <v>73</v>
      </c>
      <c r="D49">
        <v>30</v>
      </c>
      <c r="E49">
        <v>1</v>
      </c>
      <c r="F49">
        <v>1</v>
      </c>
      <c r="G49" t="s">
        <v>51</v>
      </c>
      <c r="H49" t="s">
        <v>52</v>
      </c>
      <c r="I49">
        <v>0.13400000000000001</v>
      </c>
      <c r="J49">
        <v>2.2400000000000002</v>
      </c>
      <c r="K49">
        <v>22.5</v>
      </c>
      <c r="L49" t="s">
        <v>53</v>
      </c>
      <c r="M49" t="s">
        <v>54</v>
      </c>
      <c r="N49">
        <v>0.223</v>
      </c>
      <c r="O49">
        <v>3.55</v>
      </c>
      <c r="P49">
        <v>179</v>
      </c>
      <c r="Q49" s="4"/>
      <c r="R49" s="4">
        <v>1</v>
      </c>
      <c r="S49" s="4">
        <v>1</v>
      </c>
      <c r="T49" s="4"/>
      <c r="U49" s="4">
        <f t="shared" si="3"/>
        <v>22.5</v>
      </c>
      <c r="V49" s="4">
        <f t="shared" si="0"/>
        <v>22.5</v>
      </c>
      <c r="W49" s="4">
        <f t="shared" si="15"/>
        <v>22.5</v>
      </c>
      <c r="X49" s="4"/>
      <c r="Y49" s="4"/>
      <c r="Z49" s="4"/>
      <c r="AA49" s="4"/>
      <c r="AB49" s="4"/>
      <c r="AC49" s="4"/>
      <c r="AD49" s="4">
        <v>1</v>
      </c>
      <c r="AE49" s="4"/>
      <c r="AF49" s="4">
        <f t="shared" si="5"/>
        <v>179</v>
      </c>
      <c r="AG49" s="4">
        <f t="shared" si="1"/>
        <v>179</v>
      </c>
      <c r="AH49" s="4">
        <f t="shared" si="6"/>
        <v>179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1:70" x14ac:dyDescent="0.3">
      <c r="A50" s="1">
        <v>45357</v>
      </c>
      <c r="B50" t="s">
        <v>183</v>
      </c>
      <c r="C50" t="s">
        <v>73</v>
      </c>
      <c r="D50">
        <v>31</v>
      </c>
      <c r="E50">
        <v>1</v>
      </c>
      <c r="F50">
        <v>1</v>
      </c>
      <c r="G50" t="s">
        <v>51</v>
      </c>
      <c r="H50" t="s">
        <v>52</v>
      </c>
      <c r="I50">
        <v>0.126</v>
      </c>
      <c r="J50">
        <v>2.2200000000000002</v>
      </c>
      <c r="K50">
        <v>21.9</v>
      </c>
      <c r="L50" t="s">
        <v>53</v>
      </c>
      <c r="M50" t="s">
        <v>54</v>
      </c>
      <c r="N50">
        <v>0.23200000000000001</v>
      </c>
      <c r="O50">
        <v>3.74</v>
      </c>
      <c r="P50">
        <v>191</v>
      </c>
      <c r="Q50" s="4"/>
      <c r="R50" s="4">
        <v>1</v>
      </c>
      <c r="S50" s="4">
        <v>1</v>
      </c>
      <c r="T50" s="4"/>
      <c r="U50" s="4">
        <f t="shared" si="3"/>
        <v>21.9</v>
      </c>
      <c r="V50" s="4">
        <f t="shared" si="0"/>
        <v>21.9</v>
      </c>
      <c r="W50" s="4">
        <f t="shared" si="15"/>
        <v>21.9</v>
      </c>
      <c r="X50" s="4"/>
      <c r="Y50" s="4"/>
      <c r="Z50" s="4"/>
      <c r="AA50" s="4"/>
      <c r="AB50" s="4"/>
      <c r="AC50" s="4"/>
      <c r="AD50" s="4">
        <v>1</v>
      </c>
      <c r="AE50" s="4"/>
      <c r="AF50" s="4">
        <f t="shared" si="5"/>
        <v>191</v>
      </c>
      <c r="AG50" s="4">
        <f t="shared" si="1"/>
        <v>191</v>
      </c>
      <c r="AH50" s="4">
        <f t="shared" si="6"/>
        <v>191</v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:70" x14ac:dyDescent="0.3">
      <c r="A51" s="1">
        <v>45357</v>
      </c>
      <c r="B51" t="s">
        <v>183</v>
      </c>
      <c r="C51" t="s">
        <v>73</v>
      </c>
      <c r="D51">
        <v>32</v>
      </c>
      <c r="E51">
        <v>1</v>
      </c>
      <c r="F51">
        <v>1</v>
      </c>
      <c r="G51" t="s">
        <v>51</v>
      </c>
      <c r="H51" t="s">
        <v>52</v>
      </c>
      <c r="I51">
        <v>0.128</v>
      </c>
      <c r="J51">
        <v>2.2599999999999998</v>
      </c>
      <c r="K51">
        <v>23</v>
      </c>
      <c r="L51" t="s">
        <v>53</v>
      </c>
      <c r="M51" t="s">
        <v>54</v>
      </c>
      <c r="N51">
        <v>0.21299999999999999</v>
      </c>
      <c r="O51">
        <v>3.28</v>
      </c>
      <c r="P51">
        <v>160</v>
      </c>
      <c r="Q51" s="4"/>
      <c r="R51" s="4">
        <v>1</v>
      </c>
      <c r="S51" s="4">
        <v>1</v>
      </c>
      <c r="T51" s="4"/>
      <c r="U51" s="4">
        <f t="shared" si="3"/>
        <v>23</v>
      </c>
      <c r="V51" s="4">
        <f t="shared" si="0"/>
        <v>23</v>
      </c>
      <c r="W51" s="4">
        <f t="shared" si="15"/>
        <v>23</v>
      </c>
      <c r="X51" s="4"/>
      <c r="Y51" s="4"/>
      <c r="Z51" s="4"/>
      <c r="AA51" s="4"/>
      <c r="AB51" s="4"/>
      <c r="AC51" s="4"/>
      <c r="AD51" s="4">
        <v>1</v>
      </c>
      <c r="AE51" s="4"/>
      <c r="AF51" s="4">
        <f t="shared" si="5"/>
        <v>160</v>
      </c>
      <c r="AG51" s="4">
        <f t="shared" si="1"/>
        <v>160</v>
      </c>
      <c r="AH51" s="4">
        <f t="shared" si="6"/>
        <v>160</v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 x14ac:dyDescent="0.3">
      <c r="A52" s="1">
        <v>45357</v>
      </c>
      <c r="B52" t="s">
        <v>183</v>
      </c>
      <c r="C52" t="s">
        <v>73</v>
      </c>
      <c r="D52">
        <v>33</v>
      </c>
      <c r="E52">
        <v>1</v>
      </c>
      <c r="F52">
        <v>1</v>
      </c>
      <c r="G52" t="s">
        <v>51</v>
      </c>
      <c r="H52" t="s">
        <v>52</v>
      </c>
      <c r="I52">
        <v>0.126</v>
      </c>
      <c r="J52">
        <v>2.2400000000000002</v>
      </c>
      <c r="K52">
        <v>22.4</v>
      </c>
      <c r="L52" t="s">
        <v>53</v>
      </c>
      <c r="M52" t="s">
        <v>54</v>
      </c>
      <c r="N52">
        <v>0.23100000000000001</v>
      </c>
      <c r="O52">
        <v>3.82</v>
      </c>
      <c r="P52">
        <v>197</v>
      </c>
      <c r="Q52" s="4"/>
      <c r="R52" s="4">
        <v>1</v>
      </c>
      <c r="S52" s="4">
        <v>1</v>
      </c>
      <c r="T52" s="4"/>
      <c r="U52" s="4">
        <f t="shared" si="3"/>
        <v>22.4</v>
      </c>
      <c r="V52" s="4">
        <f t="shared" si="0"/>
        <v>22.4</v>
      </c>
      <c r="W52" s="4">
        <f t="shared" si="15"/>
        <v>22.4</v>
      </c>
      <c r="X52" s="4"/>
      <c r="Y52" s="4"/>
      <c r="Z52" s="4"/>
      <c r="AA52" s="4"/>
      <c r="AB52" s="4"/>
      <c r="AC52" s="4"/>
      <c r="AD52" s="4">
        <v>1</v>
      </c>
      <c r="AE52" s="4"/>
      <c r="AF52" s="4">
        <f t="shared" si="5"/>
        <v>197</v>
      </c>
      <c r="AG52" s="4">
        <f t="shared" si="1"/>
        <v>197</v>
      </c>
      <c r="AH52" s="4">
        <f t="shared" si="6"/>
        <v>197</v>
      </c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</row>
    <row r="53" spans="1:70" x14ac:dyDescent="0.3">
      <c r="A53" s="1">
        <v>45357</v>
      </c>
      <c r="B53" t="s">
        <v>183</v>
      </c>
      <c r="C53" t="s">
        <v>73</v>
      </c>
      <c r="D53">
        <v>34</v>
      </c>
      <c r="E53">
        <v>1</v>
      </c>
      <c r="F53">
        <v>1</v>
      </c>
      <c r="G53" t="s">
        <v>51</v>
      </c>
      <c r="H53" t="s">
        <v>52</v>
      </c>
      <c r="I53">
        <v>0.128</v>
      </c>
      <c r="J53">
        <v>2.2599999999999998</v>
      </c>
      <c r="K53">
        <v>23</v>
      </c>
      <c r="L53" t="s">
        <v>53</v>
      </c>
      <c r="M53" t="s">
        <v>54</v>
      </c>
      <c r="N53">
        <v>0.22500000000000001</v>
      </c>
      <c r="O53">
        <v>3.66</v>
      </c>
      <c r="P53">
        <v>186</v>
      </c>
      <c r="Q53" s="4"/>
      <c r="R53" s="4">
        <v>1</v>
      </c>
      <c r="S53" s="4">
        <v>1</v>
      </c>
      <c r="T53" s="4"/>
      <c r="U53" s="4">
        <f t="shared" si="3"/>
        <v>23</v>
      </c>
      <c r="V53" s="4">
        <f t="shared" si="0"/>
        <v>23</v>
      </c>
      <c r="W53" s="4">
        <f t="shared" si="15"/>
        <v>23</v>
      </c>
      <c r="X53" s="4"/>
      <c r="Y53" s="4"/>
      <c r="Z53" s="4"/>
      <c r="AA53" s="4"/>
      <c r="AB53" s="4"/>
      <c r="AC53" s="4"/>
      <c r="AD53" s="4">
        <v>1</v>
      </c>
      <c r="AE53" s="4"/>
      <c r="AF53" s="4">
        <f t="shared" si="5"/>
        <v>186</v>
      </c>
      <c r="AG53" s="4">
        <f t="shared" si="1"/>
        <v>186</v>
      </c>
      <c r="AH53" s="4">
        <f t="shared" si="6"/>
        <v>186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</row>
    <row r="54" spans="1:70" x14ac:dyDescent="0.3">
      <c r="A54" s="1">
        <v>45357</v>
      </c>
      <c r="B54" t="s">
        <v>183</v>
      </c>
      <c r="C54" t="s">
        <v>189</v>
      </c>
      <c r="D54">
        <v>35</v>
      </c>
      <c r="E54">
        <v>1</v>
      </c>
      <c r="F54">
        <v>1</v>
      </c>
      <c r="G54" t="s">
        <v>51</v>
      </c>
      <c r="H54" t="s">
        <v>52</v>
      </c>
      <c r="I54">
        <v>0.193</v>
      </c>
      <c r="J54">
        <v>3.45</v>
      </c>
      <c r="K54">
        <v>59.2</v>
      </c>
      <c r="L54" t="s">
        <v>53</v>
      </c>
      <c r="M54" t="s">
        <v>54</v>
      </c>
      <c r="N54">
        <v>0.29399999999999998</v>
      </c>
      <c r="O54">
        <v>4.74</v>
      </c>
      <c r="P54">
        <v>259</v>
      </c>
      <c r="Q54" s="4"/>
      <c r="R54" s="4">
        <v>1</v>
      </c>
      <c r="S54" s="4">
        <v>1</v>
      </c>
      <c r="T54" s="4"/>
      <c r="U54" s="4">
        <f t="shared" si="3"/>
        <v>59.2</v>
      </c>
      <c r="V54" s="4">
        <f t="shared" si="0"/>
        <v>59.2</v>
      </c>
      <c r="W54" s="4">
        <f t="shared" si="15"/>
        <v>59.2</v>
      </c>
      <c r="X54" s="4"/>
      <c r="Y54" s="4"/>
      <c r="Z54" s="4"/>
      <c r="AA54" s="4"/>
      <c r="AB54" s="4"/>
      <c r="AC54" s="4"/>
      <c r="AD54" s="4">
        <v>1</v>
      </c>
      <c r="AE54" s="4"/>
      <c r="AF54" s="4">
        <f t="shared" si="5"/>
        <v>259</v>
      </c>
      <c r="AG54" s="4">
        <f t="shared" si="1"/>
        <v>259</v>
      </c>
      <c r="AH54" s="4">
        <f t="shared" si="6"/>
        <v>259</v>
      </c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:70" x14ac:dyDescent="0.3">
      <c r="A55" s="1">
        <v>45357</v>
      </c>
      <c r="B55" t="s">
        <v>183</v>
      </c>
      <c r="C55" t="s">
        <v>190</v>
      </c>
      <c r="D55">
        <v>36</v>
      </c>
      <c r="E55">
        <v>1</v>
      </c>
      <c r="F55">
        <v>1</v>
      </c>
      <c r="G55" t="s">
        <v>51</v>
      </c>
      <c r="H55" t="s">
        <v>52</v>
      </c>
      <c r="I55">
        <v>9.8900000000000002E-2</v>
      </c>
      <c r="J55">
        <v>1.8</v>
      </c>
      <c r="K55">
        <v>8.73</v>
      </c>
      <c r="L55" t="s">
        <v>53</v>
      </c>
      <c r="M55" t="s">
        <v>54</v>
      </c>
      <c r="N55">
        <v>0.151</v>
      </c>
      <c r="O55">
        <v>2.58</v>
      </c>
      <c r="P55">
        <v>112</v>
      </c>
      <c r="Q55" s="4"/>
      <c r="R55" s="4">
        <v>1</v>
      </c>
      <c r="S55" s="4">
        <v>1</v>
      </c>
      <c r="T55" s="4"/>
      <c r="U55" s="4">
        <f t="shared" si="3"/>
        <v>8.73</v>
      </c>
      <c r="V55" s="4">
        <f t="shared" si="0"/>
        <v>8.73</v>
      </c>
      <c r="W55" s="4">
        <f t="shared" si="15"/>
        <v>8.73</v>
      </c>
      <c r="X55" s="4"/>
      <c r="Y55" s="4"/>
      <c r="Z55" s="4"/>
      <c r="AA55" s="4"/>
      <c r="AB55" s="4"/>
      <c r="AC55" s="4"/>
      <c r="AD55" s="4">
        <v>1</v>
      </c>
      <c r="AE55" s="4"/>
      <c r="AF55" s="4">
        <f t="shared" si="5"/>
        <v>112</v>
      </c>
      <c r="AG55" s="4">
        <f t="shared" si="1"/>
        <v>112</v>
      </c>
      <c r="AH55" s="4">
        <f t="shared" si="6"/>
        <v>112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:70" x14ac:dyDescent="0.3">
      <c r="A56" s="1">
        <v>45357</v>
      </c>
      <c r="B56" t="s">
        <v>183</v>
      </c>
      <c r="C56" t="s">
        <v>191</v>
      </c>
      <c r="D56">
        <v>37</v>
      </c>
      <c r="E56">
        <v>1</v>
      </c>
      <c r="F56">
        <v>1</v>
      </c>
      <c r="G56" t="s">
        <v>51</v>
      </c>
      <c r="H56" t="s">
        <v>52</v>
      </c>
      <c r="I56">
        <v>0.13100000000000001</v>
      </c>
      <c r="J56">
        <v>2.4</v>
      </c>
      <c r="K56">
        <v>27.4</v>
      </c>
      <c r="L56" t="s">
        <v>53</v>
      </c>
      <c r="M56" t="s">
        <v>54</v>
      </c>
      <c r="N56">
        <v>0.38500000000000001</v>
      </c>
      <c r="O56">
        <v>5.97</v>
      </c>
      <c r="P56">
        <v>344</v>
      </c>
      <c r="Q56" s="4"/>
      <c r="R56" s="4">
        <v>1</v>
      </c>
      <c r="S56" s="4">
        <v>1</v>
      </c>
      <c r="T56" s="4"/>
      <c r="U56" s="4">
        <f t="shared" si="3"/>
        <v>27.4</v>
      </c>
      <c r="V56" s="4">
        <f t="shared" si="0"/>
        <v>27.4</v>
      </c>
      <c r="W56" s="4">
        <f t="shared" si="15"/>
        <v>27.4</v>
      </c>
      <c r="X56" s="4"/>
      <c r="Y56" s="4"/>
      <c r="Z56" s="4"/>
      <c r="AA56" s="4"/>
      <c r="AB56" s="4"/>
      <c r="AC56" s="4"/>
      <c r="AD56" s="4">
        <v>1</v>
      </c>
      <c r="AE56" s="4"/>
      <c r="AF56" s="4">
        <f t="shared" si="5"/>
        <v>344</v>
      </c>
      <c r="AG56" s="4">
        <f t="shared" si="1"/>
        <v>344</v>
      </c>
      <c r="AH56" s="4">
        <f t="shared" si="6"/>
        <v>344</v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1:70" x14ac:dyDescent="0.3">
      <c r="A57" s="1">
        <v>45357</v>
      </c>
      <c r="B57" t="s">
        <v>183</v>
      </c>
      <c r="C57" t="s">
        <v>192</v>
      </c>
      <c r="D57">
        <v>38</v>
      </c>
      <c r="E57">
        <v>1</v>
      </c>
      <c r="F57">
        <v>1</v>
      </c>
      <c r="G57" t="s">
        <v>51</v>
      </c>
      <c r="H57" t="s">
        <v>52</v>
      </c>
      <c r="I57">
        <v>0.126</v>
      </c>
      <c r="J57">
        <v>2.29</v>
      </c>
      <c r="K57">
        <v>23.8</v>
      </c>
      <c r="L57" t="s">
        <v>53</v>
      </c>
      <c r="M57" t="s">
        <v>54</v>
      </c>
      <c r="N57">
        <v>0.318</v>
      </c>
      <c r="O57">
        <v>4.97</v>
      </c>
      <c r="P57">
        <v>275</v>
      </c>
      <c r="Q57" s="4"/>
      <c r="R57" s="4">
        <v>1</v>
      </c>
      <c r="S57" s="4">
        <v>1</v>
      </c>
      <c r="T57" s="4"/>
      <c r="U57" s="4">
        <f t="shared" si="3"/>
        <v>23.8</v>
      </c>
      <c r="V57" s="4">
        <f t="shared" si="0"/>
        <v>23.8</v>
      </c>
      <c r="W57" s="4">
        <f t="shared" si="15"/>
        <v>23.8</v>
      </c>
      <c r="X57" s="4"/>
      <c r="Y57" s="4"/>
      <c r="Z57" s="4"/>
      <c r="AA57" s="4"/>
      <c r="AB57" s="4"/>
      <c r="AC57" s="4"/>
      <c r="AD57" s="4">
        <v>1</v>
      </c>
      <c r="AE57" s="4"/>
      <c r="AF57" s="4">
        <f t="shared" si="5"/>
        <v>275</v>
      </c>
      <c r="AG57" s="4">
        <f t="shared" si="1"/>
        <v>275</v>
      </c>
      <c r="AH57" s="4">
        <f t="shared" si="6"/>
        <v>275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1:70" x14ac:dyDescent="0.3">
      <c r="A58" s="1">
        <v>45357</v>
      </c>
      <c r="B58" t="s">
        <v>183</v>
      </c>
      <c r="C58" t="s">
        <v>193</v>
      </c>
      <c r="D58">
        <v>39</v>
      </c>
      <c r="E58">
        <v>1</v>
      </c>
      <c r="F58">
        <v>1</v>
      </c>
      <c r="G58" t="s">
        <v>51</v>
      </c>
      <c r="H58" t="s">
        <v>52</v>
      </c>
      <c r="I58">
        <v>9.2399999999999996E-2</v>
      </c>
      <c r="J58">
        <v>1.71</v>
      </c>
      <c r="K58">
        <v>5.93</v>
      </c>
      <c r="L58" t="s">
        <v>53</v>
      </c>
      <c r="M58" t="s">
        <v>54</v>
      </c>
      <c r="N58">
        <v>0.111</v>
      </c>
      <c r="O58">
        <v>2.02</v>
      </c>
      <c r="P58">
        <v>73.8</v>
      </c>
      <c r="Q58" s="4"/>
      <c r="R58" s="4">
        <v>1</v>
      </c>
      <c r="S58" s="4">
        <v>1</v>
      </c>
      <c r="T58" s="4"/>
      <c r="U58" s="4">
        <f t="shared" si="3"/>
        <v>5.93</v>
      </c>
      <c r="V58" s="4">
        <f t="shared" si="0"/>
        <v>5.93</v>
      </c>
      <c r="W58" s="4">
        <f t="shared" si="15"/>
        <v>5.93</v>
      </c>
      <c r="X58" s="4"/>
      <c r="Y58" s="4"/>
      <c r="Z58" s="4"/>
      <c r="AA58" s="4"/>
      <c r="AB58" s="4"/>
      <c r="AC58" s="4"/>
      <c r="AD58" s="4">
        <v>1</v>
      </c>
      <c r="AE58" s="4"/>
      <c r="AF58" s="4">
        <f t="shared" si="5"/>
        <v>73.8</v>
      </c>
      <c r="AG58" s="4">
        <f t="shared" si="1"/>
        <v>73.8</v>
      </c>
      <c r="AH58" s="4">
        <f t="shared" si="6"/>
        <v>73.8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1:70" x14ac:dyDescent="0.3">
      <c r="A59" s="1">
        <v>45357</v>
      </c>
      <c r="B59" t="s">
        <v>183</v>
      </c>
      <c r="C59" t="s">
        <v>194</v>
      </c>
      <c r="D59">
        <v>40</v>
      </c>
      <c r="E59">
        <v>1</v>
      </c>
      <c r="F59">
        <v>1</v>
      </c>
      <c r="G59" t="s">
        <v>51</v>
      </c>
      <c r="H59" t="s">
        <v>52</v>
      </c>
      <c r="I59">
        <v>0.10199999999999999</v>
      </c>
      <c r="J59">
        <v>1.84</v>
      </c>
      <c r="K59">
        <v>9.7899999999999991</v>
      </c>
      <c r="L59" t="s">
        <v>53</v>
      </c>
      <c r="M59" t="s">
        <v>54</v>
      </c>
      <c r="N59">
        <v>0.20799999999999999</v>
      </c>
      <c r="O59">
        <v>3.25</v>
      </c>
      <c r="P59">
        <v>158</v>
      </c>
      <c r="Q59" s="4"/>
      <c r="R59" s="4">
        <v>1</v>
      </c>
      <c r="S59" s="4">
        <v>1</v>
      </c>
      <c r="T59" s="4"/>
      <c r="U59" s="4">
        <f t="shared" si="3"/>
        <v>9.7899999999999991</v>
      </c>
      <c r="V59" s="4">
        <f t="shared" si="0"/>
        <v>9.7899999999999991</v>
      </c>
      <c r="W59" s="4">
        <f t="shared" si="15"/>
        <v>9.7899999999999991</v>
      </c>
      <c r="X59" s="4"/>
      <c r="Y59" s="4"/>
      <c r="Z59" s="4"/>
      <c r="AA59" s="4"/>
      <c r="AB59" s="4"/>
      <c r="AC59" s="4"/>
      <c r="AD59" s="4">
        <v>1</v>
      </c>
      <c r="AE59" s="4"/>
      <c r="AF59" s="4">
        <f t="shared" si="5"/>
        <v>158</v>
      </c>
      <c r="AG59" s="4">
        <f t="shared" si="1"/>
        <v>158</v>
      </c>
      <c r="AH59" s="4">
        <f t="shared" si="6"/>
        <v>158</v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</row>
    <row r="60" spans="1:70" x14ac:dyDescent="0.3">
      <c r="A60" s="1">
        <v>45357</v>
      </c>
      <c r="B60" t="s">
        <v>183</v>
      </c>
      <c r="C60" t="s">
        <v>195</v>
      </c>
      <c r="D60">
        <v>41</v>
      </c>
      <c r="E60">
        <v>1</v>
      </c>
      <c r="F60">
        <v>1</v>
      </c>
      <c r="G60" t="s">
        <v>51</v>
      </c>
      <c r="H60" t="s">
        <v>52</v>
      </c>
      <c r="I60">
        <v>0.125</v>
      </c>
      <c r="J60">
        <v>2.25</v>
      </c>
      <c r="K60">
        <v>22.6</v>
      </c>
      <c r="L60" t="s">
        <v>53</v>
      </c>
      <c r="M60" t="s">
        <v>54</v>
      </c>
      <c r="N60">
        <v>0.26200000000000001</v>
      </c>
      <c r="O60">
        <v>4.26</v>
      </c>
      <c r="P60">
        <v>227</v>
      </c>
      <c r="Q60" s="4"/>
      <c r="R60" s="4">
        <v>1</v>
      </c>
      <c r="S60" s="4">
        <v>1</v>
      </c>
      <c r="T60" s="4"/>
      <c r="U60" s="4">
        <f t="shared" si="3"/>
        <v>22.6</v>
      </c>
      <c r="V60" s="4">
        <f t="shared" si="0"/>
        <v>22.6</v>
      </c>
      <c r="W60" s="4">
        <f t="shared" si="15"/>
        <v>22.6</v>
      </c>
      <c r="X60" s="4"/>
      <c r="Y60" s="4"/>
      <c r="Z60" s="4"/>
      <c r="AA60" s="4"/>
      <c r="AB60" s="4"/>
      <c r="AC60" s="4"/>
      <c r="AD60" s="4">
        <v>1</v>
      </c>
      <c r="AE60" s="4"/>
      <c r="AF60" s="4">
        <f t="shared" si="5"/>
        <v>227</v>
      </c>
      <c r="AG60" s="4">
        <f t="shared" si="1"/>
        <v>227</v>
      </c>
      <c r="AH60" s="4">
        <f t="shared" si="6"/>
        <v>227</v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</row>
    <row r="61" spans="1:70" x14ac:dyDescent="0.3">
      <c r="A61" s="1">
        <v>45357</v>
      </c>
      <c r="B61" t="s">
        <v>183</v>
      </c>
      <c r="C61" t="s">
        <v>196</v>
      </c>
      <c r="D61">
        <v>42</v>
      </c>
      <c r="E61">
        <v>1</v>
      </c>
      <c r="F61">
        <v>1</v>
      </c>
      <c r="G61" t="s">
        <v>51</v>
      </c>
      <c r="H61" t="s">
        <v>52</v>
      </c>
      <c r="I61">
        <v>0.11799999999999999</v>
      </c>
      <c r="J61">
        <v>2.12</v>
      </c>
      <c r="K61">
        <v>18.7</v>
      </c>
      <c r="L61" t="s">
        <v>53</v>
      </c>
      <c r="M61" t="s">
        <v>54</v>
      </c>
      <c r="N61">
        <v>0.33700000000000002</v>
      </c>
      <c r="O61">
        <v>4.92</v>
      </c>
      <c r="P61">
        <v>272</v>
      </c>
      <c r="Q61" s="4"/>
      <c r="R61" s="4">
        <v>1</v>
      </c>
      <c r="S61" s="4">
        <v>1</v>
      </c>
      <c r="T61" s="4"/>
      <c r="U61" s="4">
        <f t="shared" si="3"/>
        <v>18.7</v>
      </c>
      <c r="V61" s="4">
        <f t="shared" si="0"/>
        <v>18.7</v>
      </c>
      <c r="W61" s="4">
        <f t="shared" si="15"/>
        <v>18.7</v>
      </c>
      <c r="X61" s="4"/>
      <c r="Y61" s="4"/>
      <c r="Z61" s="4"/>
      <c r="AA61" s="4"/>
      <c r="AB61" s="4"/>
      <c r="AC61" s="4"/>
      <c r="AD61" s="4">
        <v>1</v>
      </c>
      <c r="AE61" s="4"/>
      <c r="AF61" s="4">
        <f t="shared" si="5"/>
        <v>272</v>
      </c>
      <c r="AG61" s="4">
        <f t="shared" si="1"/>
        <v>272</v>
      </c>
      <c r="AH61" s="4">
        <f t="shared" si="6"/>
        <v>272</v>
      </c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</row>
    <row r="62" spans="1:70" x14ac:dyDescent="0.3">
      <c r="A62" s="1">
        <v>45357</v>
      </c>
      <c r="B62" t="s">
        <v>183</v>
      </c>
      <c r="C62" t="s">
        <v>197</v>
      </c>
      <c r="D62">
        <v>43</v>
      </c>
      <c r="E62">
        <v>1</v>
      </c>
      <c r="F62">
        <v>1</v>
      </c>
      <c r="G62" t="s">
        <v>51</v>
      </c>
      <c r="H62" t="s">
        <v>52</v>
      </c>
      <c r="I62">
        <v>0.104</v>
      </c>
      <c r="J62">
        <v>1.91</v>
      </c>
      <c r="K62">
        <v>12</v>
      </c>
      <c r="L62" t="s">
        <v>53</v>
      </c>
      <c r="M62" t="s">
        <v>54</v>
      </c>
      <c r="N62">
        <v>0.18</v>
      </c>
      <c r="O62">
        <v>3.04</v>
      </c>
      <c r="P62">
        <v>143</v>
      </c>
      <c r="Q62" s="4"/>
      <c r="R62" s="4">
        <v>1</v>
      </c>
      <c r="S62" s="4">
        <v>1</v>
      </c>
      <c r="T62" s="4"/>
      <c r="U62" s="4">
        <f t="shared" si="3"/>
        <v>12</v>
      </c>
      <c r="V62" s="4">
        <f t="shared" si="0"/>
        <v>12</v>
      </c>
      <c r="W62" s="4">
        <f t="shared" si="15"/>
        <v>12</v>
      </c>
      <c r="X62" s="4"/>
      <c r="Y62" s="4"/>
      <c r="Z62" s="4"/>
      <c r="AA62" s="4"/>
      <c r="AB62" s="4"/>
      <c r="AC62" s="4"/>
      <c r="AD62" s="4">
        <v>1</v>
      </c>
      <c r="AE62" s="4"/>
      <c r="AF62" s="4">
        <f t="shared" si="5"/>
        <v>143</v>
      </c>
      <c r="AG62" s="4">
        <f t="shared" si="1"/>
        <v>143</v>
      </c>
      <c r="AH62" s="4">
        <f t="shared" si="6"/>
        <v>143</v>
      </c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spans="1:70" x14ac:dyDescent="0.3">
      <c r="A63" s="1">
        <v>45357</v>
      </c>
      <c r="B63" t="s">
        <v>183</v>
      </c>
      <c r="C63" t="s">
        <v>198</v>
      </c>
      <c r="D63">
        <v>44</v>
      </c>
      <c r="E63">
        <v>1</v>
      </c>
      <c r="F63">
        <v>1</v>
      </c>
      <c r="G63" t="s">
        <v>51</v>
      </c>
      <c r="H63" t="s">
        <v>52</v>
      </c>
      <c r="I63">
        <v>0.108</v>
      </c>
      <c r="J63">
        <v>2.08</v>
      </c>
      <c r="K63">
        <v>17.399999999999999</v>
      </c>
      <c r="L63" t="s">
        <v>53</v>
      </c>
      <c r="M63" t="s">
        <v>54</v>
      </c>
      <c r="N63">
        <v>0.23</v>
      </c>
      <c r="O63">
        <v>3.6</v>
      </c>
      <c r="P63">
        <v>182</v>
      </c>
      <c r="Q63" s="4"/>
      <c r="R63" s="4">
        <v>1</v>
      </c>
      <c r="S63" s="4">
        <v>1</v>
      </c>
      <c r="T63" s="4"/>
      <c r="U63" s="4">
        <f t="shared" si="3"/>
        <v>17.399999999999999</v>
      </c>
      <c r="V63" s="4">
        <f t="shared" si="0"/>
        <v>17.399999999999999</v>
      </c>
      <c r="W63" s="4">
        <f t="shared" si="15"/>
        <v>17.399999999999999</v>
      </c>
      <c r="X63" s="4"/>
      <c r="Y63" s="4"/>
      <c r="AB63" s="4"/>
      <c r="AC63" s="4"/>
      <c r="AD63" s="4">
        <v>1</v>
      </c>
      <c r="AE63" s="4"/>
      <c r="AF63" s="4">
        <f t="shared" si="5"/>
        <v>182</v>
      </c>
      <c r="AG63" s="4">
        <f t="shared" si="1"/>
        <v>182</v>
      </c>
      <c r="AH63" s="4">
        <f t="shared" si="6"/>
        <v>182</v>
      </c>
      <c r="AI63" s="4"/>
      <c r="AJ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spans="1:70" x14ac:dyDescent="0.3">
      <c r="A64" s="1">
        <v>45357</v>
      </c>
      <c r="B64" t="s">
        <v>183</v>
      </c>
      <c r="C64" t="s">
        <v>163</v>
      </c>
      <c r="D64">
        <v>45</v>
      </c>
      <c r="E64">
        <v>1</v>
      </c>
      <c r="F64">
        <v>1</v>
      </c>
      <c r="G64" t="s">
        <v>51</v>
      </c>
      <c r="H64" t="s">
        <v>52</v>
      </c>
      <c r="I64">
        <v>0.10199999999999999</v>
      </c>
      <c r="J64">
        <v>1.87</v>
      </c>
      <c r="K64">
        <v>11</v>
      </c>
      <c r="L64" t="s">
        <v>53</v>
      </c>
      <c r="M64" t="s">
        <v>54</v>
      </c>
      <c r="N64">
        <v>0.22700000000000001</v>
      </c>
      <c r="O64">
        <v>3.7</v>
      </c>
      <c r="P64">
        <v>189</v>
      </c>
      <c r="Q64" s="4"/>
      <c r="R64" s="4">
        <v>1</v>
      </c>
      <c r="S64" s="4">
        <v>1</v>
      </c>
      <c r="T64" s="4"/>
      <c r="U64" s="4">
        <f t="shared" si="3"/>
        <v>11</v>
      </c>
      <c r="V64" s="4">
        <f t="shared" si="0"/>
        <v>11</v>
      </c>
      <c r="W64" s="4">
        <f t="shared" si="15"/>
        <v>11</v>
      </c>
      <c r="X64" s="4"/>
      <c r="Y64" s="4"/>
      <c r="Z64">
        <f>ABS(100*ABS(W64-W58)/AVERAGE(W64,W58))</f>
        <v>59.893679858239814</v>
      </c>
      <c r="AA64" t="str">
        <f>IF(W64&gt;10, (IF((AND(Z64&gt;=0,Z64&lt;=20)=TRUE),"PASS","FAIL")),(IF((AND(Z64&gt;=0,Z64&lt;=50)=TRUE),"PASS","FAIL")))</f>
        <v>FAIL</v>
      </c>
      <c r="AB64" s="4"/>
      <c r="AC64" s="4"/>
      <c r="AD64" s="4">
        <v>1</v>
      </c>
      <c r="AE64" s="4"/>
      <c r="AF64" s="4">
        <f t="shared" si="5"/>
        <v>189</v>
      </c>
      <c r="AG64" s="4">
        <f t="shared" si="1"/>
        <v>189</v>
      </c>
      <c r="AH64" s="4">
        <f t="shared" si="6"/>
        <v>189</v>
      </c>
      <c r="AI64" s="4"/>
      <c r="AJ64" s="4"/>
      <c r="AK64">
        <f>ABS(100*ABS(AH64-AH58)/AVERAGE(AH64,AH58))</f>
        <v>87.671232876712324</v>
      </c>
      <c r="AL64" t="str">
        <f>IF(AH64&gt;10, (IF((AND(AK64&gt;=0,AK64&lt;=20)=TRUE),"PASS","FAIL")),(IF((AND(AK64&gt;=0,AK64&lt;=50)=TRUE),"PASS","FAIL")))</f>
        <v>FAIL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  <row r="65" spans="1:70" x14ac:dyDescent="0.3">
      <c r="A65" s="1">
        <v>45357</v>
      </c>
      <c r="B65" t="s">
        <v>183</v>
      </c>
      <c r="C65" t="s">
        <v>164</v>
      </c>
      <c r="D65">
        <v>46</v>
      </c>
      <c r="E65">
        <v>1</v>
      </c>
      <c r="F65">
        <v>1</v>
      </c>
      <c r="G65" t="s">
        <v>51</v>
      </c>
      <c r="H65" t="s">
        <v>52</v>
      </c>
      <c r="I65">
        <v>0.153</v>
      </c>
      <c r="J65">
        <v>2.73</v>
      </c>
      <c r="K65">
        <v>37.6</v>
      </c>
      <c r="L65" t="s">
        <v>53</v>
      </c>
      <c r="M65" t="s">
        <v>54</v>
      </c>
      <c r="N65">
        <v>0.49099999999999999</v>
      </c>
      <c r="O65">
        <v>7.89</v>
      </c>
      <c r="P65">
        <v>476</v>
      </c>
      <c r="Q65" s="4"/>
      <c r="R65" s="4">
        <v>1</v>
      </c>
      <c r="S65" s="4">
        <v>1</v>
      </c>
      <c r="T65" s="4"/>
      <c r="U65" s="4">
        <f t="shared" si="3"/>
        <v>37.6</v>
      </c>
      <c r="V65" s="4">
        <f t="shared" si="0"/>
        <v>37.6</v>
      </c>
      <c r="W65" s="4">
        <f t="shared" si="15"/>
        <v>37.6</v>
      </c>
      <c r="X65" s="4"/>
      <c r="Y65" s="4"/>
      <c r="Z65" s="4"/>
      <c r="AA65" s="4"/>
      <c r="AB65">
        <f>100*((W65*10250)-(W63*10000))/(1000*250)</f>
        <v>84.56</v>
      </c>
      <c r="AC65" t="str">
        <f>IF(W65&gt;30, (IF((AND(AB65&gt;=80,AB65&lt;=120)=TRUE),"PASS","FAIL")),(IF((AND(AB65&gt;=50,AB65&lt;=150)=TRUE),"PASS","FAIL")))</f>
        <v>PASS</v>
      </c>
      <c r="AD65" s="4">
        <v>1</v>
      </c>
      <c r="AE65" s="4"/>
      <c r="AF65" s="4">
        <f t="shared" si="5"/>
        <v>476</v>
      </c>
      <c r="AG65" s="4">
        <f t="shared" si="1"/>
        <v>476</v>
      </c>
      <c r="AH65" s="4">
        <f t="shared" si="6"/>
        <v>476</v>
      </c>
      <c r="AI65" s="4"/>
      <c r="AJ65" s="4"/>
      <c r="AK65" s="4"/>
      <c r="AL65" s="4"/>
      <c r="AM65">
        <f>100*((AH65*10250)-(AH63*10000))/(10000*250)</f>
        <v>122.36</v>
      </c>
      <c r="AN65" t="str">
        <f>IF(AH65&gt;30, (IF((AND(AM65&gt;=80,AM65&lt;=120)=TRUE),"PASS","FAIL")),(IF((AND(AM65&gt;=50,AM65&lt;=150)=TRUE),"PASS","FAIL")))</f>
        <v>FAIL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</row>
    <row r="66" spans="1:70" x14ac:dyDescent="0.3">
      <c r="A66" s="1">
        <v>45357</v>
      </c>
      <c r="B66" t="s">
        <v>183</v>
      </c>
      <c r="C66" t="s">
        <v>199</v>
      </c>
      <c r="D66">
        <v>7</v>
      </c>
      <c r="E66">
        <v>1</v>
      </c>
      <c r="F66">
        <v>1</v>
      </c>
      <c r="G66" t="s">
        <v>51</v>
      </c>
      <c r="H66" t="s">
        <v>52</v>
      </c>
      <c r="I66">
        <v>0.129</v>
      </c>
      <c r="J66">
        <v>2.31</v>
      </c>
      <c r="K66">
        <v>24.6</v>
      </c>
      <c r="L66" t="s">
        <v>53</v>
      </c>
      <c r="M66" t="s">
        <v>54</v>
      </c>
      <c r="N66">
        <v>0.28000000000000003</v>
      </c>
      <c r="O66">
        <v>4.55</v>
      </c>
      <c r="P66">
        <v>247</v>
      </c>
      <c r="Q66" s="4"/>
      <c r="R66" s="4">
        <v>1</v>
      </c>
      <c r="S66" s="4">
        <v>1</v>
      </c>
      <c r="T66" s="4"/>
      <c r="U66" s="4">
        <f t="shared" si="3"/>
        <v>24.6</v>
      </c>
      <c r="V66" s="4">
        <f t="shared" si="0"/>
        <v>24.6</v>
      </c>
      <c r="W66" s="4">
        <f t="shared" si="15"/>
        <v>24.6</v>
      </c>
      <c r="X66" s="4">
        <f>100*(W66-25)/25</f>
        <v>-1.5999999999999943</v>
      </c>
      <c r="Y66" s="4" t="str">
        <f t="shared" ref="Y66" si="16">IF((ABS(X66))&lt;=20,"PASS","FAIL")</f>
        <v>PASS</v>
      </c>
      <c r="AD66" s="4">
        <v>1</v>
      </c>
      <c r="AE66" s="4"/>
      <c r="AF66" s="4">
        <f t="shared" si="5"/>
        <v>247</v>
      </c>
      <c r="AG66" s="4">
        <f t="shared" si="1"/>
        <v>247</v>
      </c>
      <c r="AH66" s="4">
        <f t="shared" si="6"/>
        <v>247</v>
      </c>
      <c r="AI66" s="4">
        <f>100*(AH66-250)/250</f>
        <v>-1.2</v>
      </c>
      <c r="AJ66" s="4" t="str">
        <f>IF((ABS(AI66))&lt;=20,"PASS","FAIL")</f>
        <v>PASS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</row>
    <row r="67" spans="1:70" x14ac:dyDescent="0.3">
      <c r="A67" s="1">
        <v>45357</v>
      </c>
      <c r="B67" t="s">
        <v>183</v>
      </c>
      <c r="C67" t="s">
        <v>200</v>
      </c>
      <c r="D67" t="s">
        <v>11</v>
      </c>
      <c r="E67">
        <v>1</v>
      </c>
      <c r="F67">
        <v>1</v>
      </c>
      <c r="G67" t="s">
        <v>51</v>
      </c>
      <c r="H67" t="s">
        <v>52</v>
      </c>
      <c r="I67">
        <v>0.13500000000000001</v>
      </c>
      <c r="J67">
        <v>1.66</v>
      </c>
      <c r="K67">
        <v>4.16</v>
      </c>
      <c r="L67" t="s">
        <v>53</v>
      </c>
      <c r="M67" t="s">
        <v>54</v>
      </c>
      <c r="N67">
        <v>-1.2699999999999999E-2</v>
      </c>
      <c r="O67">
        <v>-2.53E-2</v>
      </c>
      <c r="P67">
        <v>-64.5</v>
      </c>
      <c r="Q67" s="4"/>
      <c r="R67" s="4">
        <v>1</v>
      </c>
      <c r="S67" s="4">
        <v>1</v>
      </c>
      <c r="T67" s="4"/>
      <c r="U67" s="4">
        <f t="shared" si="3"/>
        <v>4.16</v>
      </c>
      <c r="V67" s="4">
        <f t="shared" si="0"/>
        <v>4.16</v>
      </c>
      <c r="W67" s="4">
        <f t="shared" si="15"/>
        <v>4.16</v>
      </c>
      <c r="X67" s="4"/>
      <c r="Y67" s="4"/>
      <c r="AD67" s="4">
        <v>1</v>
      </c>
      <c r="AE67" s="4"/>
      <c r="AF67" s="4">
        <f t="shared" si="5"/>
        <v>-64.5</v>
      </c>
      <c r="AG67" s="4">
        <f t="shared" si="1"/>
        <v>-64.5</v>
      </c>
      <c r="AH67" s="4">
        <f t="shared" si="6"/>
        <v>-64.5</v>
      </c>
      <c r="AI67" s="4"/>
      <c r="AJ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</row>
    <row r="68" spans="1:70" x14ac:dyDescent="0.3">
      <c r="A68" s="1">
        <v>45357</v>
      </c>
      <c r="B68" t="s">
        <v>183</v>
      </c>
      <c r="C68" t="s">
        <v>201</v>
      </c>
      <c r="D68" t="s">
        <v>121</v>
      </c>
      <c r="E68">
        <v>1</v>
      </c>
      <c r="F68">
        <v>1</v>
      </c>
      <c r="G68" t="s">
        <v>51</v>
      </c>
      <c r="H68" t="s">
        <v>52</v>
      </c>
      <c r="I68">
        <v>1.1599999999999999E-2</v>
      </c>
      <c r="J68">
        <v>0.14599999999999999</v>
      </c>
      <c r="K68">
        <v>-44</v>
      </c>
      <c r="L68" t="s">
        <v>53</v>
      </c>
      <c r="M68" t="s">
        <v>54</v>
      </c>
      <c r="N68">
        <v>-1.5900000000000001E-2</v>
      </c>
      <c r="O68">
        <v>-0.16</v>
      </c>
      <c r="P68">
        <v>-73.5</v>
      </c>
      <c r="Q68" s="4"/>
      <c r="R68" s="4">
        <v>1</v>
      </c>
      <c r="S68" s="4">
        <v>1</v>
      </c>
      <c r="T68" s="4"/>
      <c r="U68" s="4">
        <f t="shared" si="3"/>
        <v>-44</v>
      </c>
      <c r="V68" s="4">
        <f t="shared" si="0"/>
        <v>-44</v>
      </c>
      <c r="W68" s="4">
        <f t="shared" si="15"/>
        <v>-44</v>
      </c>
      <c r="X68" s="4"/>
      <c r="Y68" s="4"/>
      <c r="AD68" s="4">
        <v>1</v>
      </c>
      <c r="AE68" s="4"/>
      <c r="AF68" s="4">
        <f t="shared" si="5"/>
        <v>-73.5</v>
      </c>
      <c r="AG68" s="4">
        <f t="shared" si="1"/>
        <v>-73.5</v>
      </c>
      <c r="AH68" s="4">
        <f t="shared" si="6"/>
        <v>-73.5</v>
      </c>
      <c r="AI68" s="4"/>
      <c r="AJ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</row>
    <row r="69" spans="1:70" x14ac:dyDescent="0.3">
      <c r="A69" s="1">
        <v>45357</v>
      </c>
      <c r="B69" t="s">
        <v>183</v>
      </c>
      <c r="C69" t="s">
        <v>202</v>
      </c>
      <c r="D69">
        <v>47</v>
      </c>
      <c r="E69">
        <v>1</v>
      </c>
      <c r="F69">
        <v>1</v>
      </c>
      <c r="G69" t="s">
        <v>51</v>
      </c>
      <c r="H69" t="s">
        <v>52</v>
      </c>
      <c r="I69">
        <v>0.115</v>
      </c>
      <c r="J69">
        <v>2.12</v>
      </c>
      <c r="K69">
        <v>18.7</v>
      </c>
      <c r="L69" t="s">
        <v>53</v>
      </c>
      <c r="M69" t="s">
        <v>54</v>
      </c>
      <c r="N69">
        <v>0.27500000000000002</v>
      </c>
      <c r="O69">
        <v>4.1500000000000004</v>
      </c>
      <c r="P69">
        <v>220</v>
      </c>
      <c r="Q69" s="4"/>
      <c r="R69" s="4">
        <v>1</v>
      </c>
      <c r="S69" s="4">
        <v>1</v>
      </c>
      <c r="T69" s="4"/>
      <c r="U69" s="4">
        <f t="shared" si="3"/>
        <v>18.7</v>
      </c>
      <c r="V69" s="4">
        <f t="shared" si="0"/>
        <v>18.7</v>
      </c>
      <c r="W69" s="4">
        <f t="shared" si="15"/>
        <v>18.7</v>
      </c>
      <c r="X69" s="4"/>
      <c r="Y69" s="4"/>
      <c r="AD69" s="4">
        <v>1</v>
      </c>
      <c r="AE69" s="4"/>
      <c r="AF69" s="4">
        <f t="shared" si="5"/>
        <v>220</v>
      </c>
      <c r="AG69" s="4">
        <f t="shared" si="1"/>
        <v>220</v>
      </c>
      <c r="AH69" s="4">
        <f t="shared" si="6"/>
        <v>220</v>
      </c>
      <c r="AI69" s="4"/>
      <c r="AJ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</row>
    <row r="70" spans="1:70" x14ac:dyDescent="0.3">
      <c r="A70" s="1">
        <v>45357</v>
      </c>
      <c r="B70" t="s">
        <v>183</v>
      </c>
      <c r="C70" t="s">
        <v>203</v>
      </c>
      <c r="D70">
        <v>48</v>
      </c>
      <c r="E70">
        <v>1</v>
      </c>
      <c r="F70">
        <v>1</v>
      </c>
      <c r="G70" t="s">
        <v>51</v>
      </c>
      <c r="H70" t="s">
        <v>52</v>
      </c>
      <c r="I70">
        <v>0.13400000000000001</v>
      </c>
      <c r="J70">
        <v>2.4500000000000002</v>
      </c>
      <c r="K70">
        <v>28.8</v>
      </c>
      <c r="L70" t="s">
        <v>53</v>
      </c>
      <c r="M70" t="s">
        <v>54</v>
      </c>
      <c r="N70">
        <v>0.41499999999999998</v>
      </c>
      <c r="O70">
        <v>6.58</v>
      </c>
      <c r="P70">
        <v>386</v>
      </c>
      <c r="Q70" s="4"/>
      <c r="R70" s="4">
        <v>1</v>
      </c>
      <c r="S70" s="4">
        <v>1</v>
      </c>
      <c r="T70" s="4"/>
      <c r="U70" s="4">
        <f t="shared" si="3"/>
        <v>28.8</v>
      </c>
      <c r="V70" s="4">
        <f t="shared" si="0"/>
        <v>28.8</v>
      </c>
      <c r="W70" s="4">
        <f t="shared" si="15"/>
        <v>28.8</v>
      </c>
      <c r="X70" s="4"/>
      <c r="Y70" s="4"/>
      <c r="AB70" s="4"/>
      <c r="AC70" s="4"/>
      <c r="AD70" s="4">
        <v>1</v>
      </c>
      <c r="AE70" s="4"/>
      <c r="AF70" s="4">
        <f t="shared" si="5"/>
        <v>386</v>
      </c>
      <c r="AG70" s="4">
        <f t="shared" si="1"/>
        <v>386</v>
      </c>
      <c r="AH70" s="4">
        <f t="shared" si="6"/>
        <v>386</v>
      </c>
      <c r="AI70" s="4"/>
      <c r="AJ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</row>
    <row r="71" spans="1:70" x14ac:dyDescent="0.3">
      <c r="A71" s="1">
        <v>45357</v>
      </c>
      <c r="B71" t="s">
        <v>183</v>
      </c>
      <c r="C71" t="s">
        <v>204</v>
      </c>
      <c r="D71">
        <v>49</v>
      </c>
      <c r="E71">
        <v>1</v>
      </c>
      <c r="F71">
        <v>1</v>
      </c>
      <c r="G71" t="s">
        <v>51</v>
      </c>
      <c r="H71" t="s">
        <v>52</v>
      </c>
      <c r="I71">
        <v>0.16300000000000001</v>
      </c>
      <c r="J71">
        <v>2.94</v>
      </c>
      <c r="K71">
        <v>44</v>
      </c>
      <c r="L71" t="s">
        <v>53</v>
      </c>
      <c r="M71" t="s">
        <v>54</v>
      </c>
      <c r="N71">
        <v>0.217</v>
      </c>
      <c r="O71">
        <v>3.5</v>
      </c>
      <c r="P71">
        <v>175</v>
      </c>
      <c r="Q71" s="4"/>
      <c r="R71" s="4">
        <v>1</v>
      </c>
      <c r="S71" s="4">
        <v>1</v>
      </c>
      <c r="T71" s="4"/>
      <c r="U71" s="4">
        <f t="shared" si="3"/>
        <v>44</v>
      </c>
      <c r="V71" s="4">
        <f t="shared" si="0"/>
        <v>44</v>
      </c>
      <c r="W71" s="4">
        <f t="shared" si="15"/>
        <v>44</v>
      </c>
      <c r="X71" s="4"/>
      <c r="Y71" s="4"/>
      <c r="Z71" s="4"/>
      <c r="AA71" s="4"/>
      <c r="AB71" s="4"/>
      <c r="AC71" s="4"/>
      <c r="AD71" s="4">
        <v>1</v>
      </c>
      <c r="AE71" s="4"/>
      <c r="AF71" s="4">
        <f t="shared" si="5"/>
        <v>175</v>
      </c>
      <c r="AG71" s="4">
        <f t="shared" si="1"/>
        <v>175</v>
      </c>
      <c r="AH71" s="4">
        <f t="shared" si="6"/>
        <v>175</v>
      </c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</row>
    <row r="72" spans="1:70" x14ac:dyDescent="0.3">
      <c r="A72" s="1">
        <v>45357</v>
      </c>
      <c r="B72" t="s">
        <v>183</v>
      </c>
      <c r="C72" t="s">
        <v>205</v>
      </c>
      <c r="D72">
        <v>50</v>
      </c>
      <c r="E72">
        <v>1</v>
      </c>
      <c r="F72">
        <v>1</v>
      </c>
      <c r="G72" t="s">
        <v>51</v>
      </c>
      <c r="H72" t="s">
        <v>52</v>
      </c>
      <c r="I72">
        <v>0.126</v>
      </c>
      <c r="J72">
        <v>2.3199999999999998</v>
      </c>
      <c r="K72">
        <v>25</v>
      </c>
      <c r="L72" t="s">
        <v>53</v>
      </c>
      <c r="M72" t="s">
        <v>54</v>
      </c>
      <c r="N72">
        <v>1.1399999999999999</v>
      </c>
      <c r="O72">
        <v>17.600000000000001</v>
      </c>
      <c r="P72">
        <v>1150</v>
      </c>
      <c r="Q72" s="4"/>
      <c r="R72" s="4">
        <v>1</v>
      </c>
      <c r="S72" s="4">
        <v>1</v>
      </c>
      <c r="T72" s="4"/>
      <c r="U72" s="4">
        <f t="shared" si="3"/>
        <v>25</v>
      </c>
      <c r="V72" s="4">
        <f t="shared" si="0"/>
        <v>25</v>
      </c>
      <c r="W72" s="4">
        <f t="shared" si="15"/>
        <v>25</v>
      </c>
      <c r="X72" s="4"/>
      <c r="Y72" s="4"/>
      <c r="AB72" s="4"/>
      <c r="AC72" s="4"/>
      <c r="AD72" s="4">
        <v>1</v>
      </c>
      <c r="AE72" s="4"/>
      <c r="AF72" s="4">
        <f t="shared" si="5"/>
        <v>1150</v>
      </c>
      <c r="AG72" s="4">
        <f t="shared" si="1"/>
        <v>1150</v>
      </c>
      <c r="AH72" s="4">
        <f t="shared" si="6"/>
        <v>1150</v>
      </c>
      <c r="AI72" s="4"/>
      <c r="AJ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</row>
    <row r="73" spans="1:70" x14ac:dyDescent="0.3">
      <c r="A73" s="1">
        <v>45357</v>
      </c>
      <c r="B73" t="s">
        <v>183</v>
      </c>
      <c r="C73" t="s">
        <v>206</v>
      </c>
      <c r="D73">
        <v>51</v>
      </c>
      <c r="E73">
        <v>1</v>
      </c>
      <c r="F73">
        <v>1</v>
      </c>
      <c r="G73" t="s">
        <v>51</v>
      </c>
      <c r="H73" t="s">
        <v>52</v>
      </c>
      <c r="I73">
        <v>0.10299999999999999</v>
      </c>
      <c r="J73">
        <v>1.91</v>
      </c>
      <c r="K73">
        <v>12.2</v>
      </c>
      <c r="L73" t="s">
        <v>53</v>
      </c>
      <c r="M73" t="s">
        <v>54</v>
      </c>
      <c r="N73">
        <v>0.19900000000000001</v>
      </c>
      <c r="O73">
        <v>3.26</v>
      </c>
      <c r="P73">
        <v>159</v>
      </c>
      <c r="Q73" s="4"/>
      <c r="R73" s="4">
        <v>1</v>
      </c>
      <c r="S73" s="4">
        <v>1</v>
      </c>
      <c r="T73" s="4"/>
      <c r="U73" s="4">
        <f t="shared" si="3"/>
        <v>12.2</v>
      </c>
      <c r="V73" s="4">
        <f t="shared" ref="V73:V136" si="17">IF(R73=1,U73,(U73-0))</f>
        <v>12.2</v>
      </c>
      <c r="W73" s="4">
        <f t="shared" si="15"/>
        <v>12.2</v>
      </c>
      <c r="X73" s="4"/>
      <c r="Y73" s="4"/>
      <c r="AD73" s="4">
        <v>1</v>
      </c>
      <c r="AE73" s="4"/>
      <c r="AF73" s="4">
        <f t="shared" si="5"/>
        <v>159</v>
      </c>
      <c r="AG73" s="4">
        <f t="shared" ref="AG73:AG136" si="18">IF(R73=1,AF73,(AF73-0))</f>
        <v>159</v>
      </c>
      <c r="AH73" s="4">
        <f t="shared" si="6"/>
        <v>159</v>
      </c>
      <c r="AI73" s="4"/>
      <c r="AJ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</row>
    <row r="74" spans="1:70" x14ac:dyDescent="0.3">
      <c r="A74" s="1">
        <v>45357</v>
      </c>
      <c r="B74" t="s">
        <v>183</v>
      </c>
      <c r="C74" t="s">
        <v>207</v>
      </c>
      <c r="D74">
        <v>52</v>
      </c>
      <c r="E74">
        <v>1</v>
      </c>
      <c r="F74">
        <v>1</v>
      </c>
      <c r="G74" t="s">
        <v>51</v>
      </c>
      <c r="H74" t="s">
        <v>52</v>
      </c>
      <c r="I74">
        <v>0.123</v>
      </c>
      <c r="J74">
        <v>2.1800000000000002</v>
      </c>
      <c r="K74">
        <v>20.7</v>
      </c>
      <c r="L74" t="s">
        <v>53</v>
      </c>
      <c r="M74" t="s">
        <v>54</v>
      </c>
      <c r="N74">
        <v>0.33700000000000002</v>
      </c>
      <c r="O74">
        <v>5.41</v>
      </c>
      <c r="P74">
        <v>305</v>
      </c>
      <c r="Q74" s="4"/>
      <c r="R74" s="4">
        <v>1</v>
      </c>
      <c r="S74" s="4">
        <v>1</v>
      </c>
      <c r="T74" s="4"/>
      <c r="U74" s="4">
        <f t="shared" ref="U74:U137" si="19">K74*F74</f>
        <v>20.7</v>
      </c>
      <c r="V74" s="4">
        <f t="shared" si="17"/>
        <v>20.7</v>
      </c>
      <c r="W74" s="4">
        <f t="shared" si="15"/>
        <v>20.7</v>
      </c>
      <c r="X74" s="4"/>
      <c r="Y74" s="4"/>
      <c r="AD74" s="4">
        <v>1</v>
      </c>
      <c r="AE74" s="4"/>
      <c r="AF74" s="4">
        <f t="shared" ref="AF74:AF137" si="20">P74*F74</f>
        <v>305</v>
      </c>
      <c r="AG74" s="4">
        <f t="shared" si="18"/>
        <v>305</v>
      </c>
      <c r="AH74" s="4">
        <f t="shared" si="6"/>
        <v>305</v>
      </c>
      <c r="AI74" s="4"/>
      <c r="AJ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</row>
    <row r="75" spans="1:70" x14ac:dyDescent="0.3">
      <c r="A75" s="1">
        <v>45357</v>
      </c>
      <c r="B75" t="s">
        <v>183</v>
      </c>
      <c r="C75" t="s">
        <v>208</v>
      </c>
      <c r="D75">
        <v>53</v>
      </c>
      <c r="E75">
        <v>1</v>
      </c>
      <c r="F75">
        <v>1</v>
      </c>
      <c r="G75" t="s">
        <v>51</v>
      </c>
      <c r="H75" t="s">
        <v>52</v>
      </c>
      <c r="I75">
        <v>0.156</v>
      </c>
      <c r="J75">
        <v>2.81</v>
      </c>
      <c r="K75">
        <v>39.799999999999997</v>
      </c>
      <c r="L75" t="s">
        <v>53</v>
      </c>
      <c r="M75" t="s">
        <v>54</v>
      </c>
      <c r="N75">
        <v>0.76700000000000002</v>
      </c>
      <c r="O75">
        <v>11.8</v>
      </c>
      <c r="P75">
        <v>750</v>
      </c>
      <c r="Q75" s="4"/>
      <c r="R75" s="4">
        <v>1</v>
      </c>
      <c r="S75" s="4">
        <v>1</v>
      </c>
      <c r="T75" s="4"/>
      <c r="U75" s="4">
        <f t="shared" si="19"/>
        <v>39.799999999999997</v>
      </c>
      <c r="V75" s="4">
        <f t="shared" si="17"/>
        <v>39.799999999999997</v>
      </c>
      <c r="W75" s="4">
        <f t="shared" si="15"/>
        <v>39.799999999999997</v>
      </c>
      <c r="X75" s="4"/>
      <c r="Y75" s="4"/>
      <c r="AD75" s="4">
        <v>1</v>
      </c>
      <c r="AE75" s="4"/>
      <c r="AF75" s="4">
        <f t="shared" si="20"/>
        <v>750</v>
      </c>
      <c r="AG75" s="4">
        <f t="shared" si="18"/>
        <v>750</v>
      </c>
      <c r="AH75" s="4">
        <f t="shared" si="6"/>
        <v>750</v>
      </c>
      <c r="AI75" s="4"/>
      <c r="AJ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</row>
    <row r="76" spans="1:70" x14ac:dyDescent="0.3">
      <c r="A76" s="1">
        <v>45357</v>
      </c>
      <c r="B76" t="s">
        <v>183</v>
      </c>
      <c r="C76" t="s">
        <v>209</v>
      </c>
      <c r="D76">
        <v>54</v>
      </c>
      <c r="E76">
        <v>1</v>
      </c>
      <c r="F76">
        <v>1</v>
      </c>
      <c r="G76" t="s">
        <v>51</v>
      </c>
      <c r="H76" t="s">
        <v>52</v>
      </c>
      <c r="I76">
        <v>0.126</v>
      </c>
      <c r="J76">
        <v>2.29</v>
      </c>
      <c r="K76">
        <v>23.9</v>
      </c>
      <c r="L76" t="s">
        <v>53</v>
      </c>
      <c r="M76" t="s">
        <v>54</v>
      </c>
      <c r="N76">
        <v>0.35699999999999998</v>
      </c>
      <c r="O76">
        <v>5.56</v>
      </c>
      <c r="P76">
        <v>316</v>
      </c>
      <c r="Q76" s="4"/>
      <c r="R76" s="4">
        <v>1</v>
      </c>
      <c r="S76" s="4">
        <v>1</v>
      </c>
      <c r="T76" s="4"/>
      <c r="U76" s="4">
        <f t="shared" si="19"/>
        <v>23.9</v>
      </c>
      <c r="V76" s="4">
        <f t="shared" si="17"/>
        <v>23.9</v>
      </c>
      <c r="W76" s="4">
        <f t="shared" si="15"/>
        <v>23.9</v>
      </c>
      <c r="AD76" s="4">
        <v>1</v>
      </c>
      <c r="AE76" s="4"/>
      <c r="AF76" s="4">
        <f t="shared" si="20"/>
        <v>316</v>
      </c>
      <c r="AG76" s="4">
        <f t="shared" si="18"/>
        <v>316</v>
      </c>
      <c r="AH76" s="4">
        <f t="shared" si="6"/>
        <v>316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</row>
    <row r="77" spans="1:70" x14ac:dyDescent="0.3">
      <c r="A77" s="1">
        <v>45357</v>
      </c>
      <c r="B77" t="s">
        <v>183</v>
      </c>
      <c r="C77" t="s">
        <v>210</v>
      </c>
      <c r="D77">
        <v>55</v>
      </c>
      <c r="E77">
        <v>1</v>
      </c>
      <c r="F77">
        <v>1</v>
      </c>
      <c r="G77" t="s">
        <v>51</v>
      </c>
      <c r="H77" t="s">
        <v>52</v>
      </c>
      <c r="I77">
        <v>0.13</v>
      </c>
      <c r="J77">
        <v>2.35</v>
      </c>
      <c r="K77">
        <v>25.9</v>
      </c>
      <c r="L77" t="s">
        <v>53</v>
      </c>
      <c r="M77" t="s">
        <v>54</v>
      </c>
      <c r="N77">
        <v>0.27800000000000002</v>
      </c>
      <c r="O77">
        <v>4.79</v>
      </c>
      <c r="P77">
        <v>263</v>
      </c>
      <c r="Q77" s="4"/>
      <c r="R77" s="4">
        <v>1</v>
      </c>
      <c r="S77" s="4">
        <v>1</v>
      </c>
      <c r="T77" s="4"/>
      <c r="U77" s="4">
        <f t="shared" si="19"/>
        <v>25.9</v>
      </c>
      <c r="V77" s="4">
        <f t="shared" si="17"/>
        <v>25.9</v>
      </c>
      <c r="W77" s="4">
        <f t="shared" si="15"/>
        <v>25.9</v>
      </c>
      <c r="X77" s="4"/>
      <c r="Y77" s="4"/>
      <c r="AD77" s="4">
        <v>1</v>
      </c>
      <c r="AE77" s="4"/>
      <c r="AF77" s="4">
        <f t="shared" si="20"/>
        <v>263</v>
      </c>
      <c r="AG77" s="4">
        <f t="shared" si="18"/>
        <v>263</v>
      </c>
      <c r="AH77" s="4">
        <f t="shared" si="6"/>
        <v>263</v>
      </c>
      <c r="AI77" s="4"/>
      <c r="AJ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</row>
    <row r="78" spans="1:70" x14ac:dyDescent="0.3">
      <c r="A78" s="1">
        <v>45357</v>
      </c>
      <c r="B78" t="s">
        <v>183</v>
      </c>
      <c r="C78" t="s">
        <v>211</v>
      </c>
      <c r="D78">
        <v>56</v>
      </c>
      <c r="E78">
        <v>1</v>
      </c>
      <c r="F78">
        <v>1</v>
      </c>
      <c r="G78" t="s">
        <v>51</v>
      </c>
      <c r="H78" t="s">
        <v>52</v>
      </c>
      <c r="I78">
        <v>0.106</v>
      </c>
      <c r="J78">
        <v>1.94</v>
      </c>
      <c r="K78">
        <v>13</v>
      </c>
      <c r="L78" t="s">
        <v>53</v>
      </c>
      <c r="M78" t="s">
        <v>54</v>
      </c>
      <c r="N78">
        <v>0.214</v>
      </c>
      <c r="O78">
        <v>3.47</v>
      </c>
      <c r="P78">
        <v>173</v>
      </c>
      <c r="Q78" s="4"/>
      <c r="R78" s="4">
        <v>1</v>
      </c>
      <c r="S78" s="4">
        <v>1</v>
      </c>
      <c r="T78" s="4"/>
      <c r="U78" s="4">
        <f t="shared" si="19"/>
        <v>13</v>
      </c>
      <c r="V78" s="4">
        <f t="shared" si="17"/>
        <v>13</v>
      </c>
      <c r="W78" s="4">
        <f t="shared" si="15"/>
        <v>13</v>
      </c>
      <c r="X78" s="4"/>
      <c r="Y78" s="4"/>
      <c r="AB78" s="4"/>
      <c r="AC78" s="4"/>
      <c r="AD78" s="4">
        <v>1</v>
      </c>
      <c r="AE78" s="4"/>
      <c r="AF78" s="4">
        <f t="shared" si="20"/>
        <v>173</v>
      </c>
      <c r="AG78" s="4">
        <f t="shared" si="18"/>
        <v>173</v>
      </c>
      <c r="AH78" s="4">
        <f t="shared" si="6"/>
        <v>173</v>
      </c>
      <c r="AI78" s="4"/>
      <c r="AJ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</row>
    <row r="79" spans="1:70" x14ac:dyDescent="0.3">
      <c r="A79" s="1">
        <v>45357</v>
      </c>
      <c r="B79" t="s">
        <v>183</v>
      </c>
      <c r="C79" t="s">
        <v>212</v>
      </c>
      <c r="D79">
        <v>57</v>
      </c>
      <c r="E79">
        <v>1</v>
      </c>
      <c r="F79">
        <v>1</v>
      </c>
      <c r="G79" t="s">
        <v>51</v>
      </c>
      <c r="H79" t="s">
        <v>52</v>
      </c>
      <c r="I79">
        <v>0.10199999999999999</v>
      </c>
      <c r="J79">
        <v>1.89</v>
      </c>
      <c r="K79">
        <v>11.5</v>
      </c>
      <c r="L79" t="s">
        <v>53</v>
      </c>
      <c r="M79" t="s">
        <v>54</v>
      </c>
      <c r="N79">
        <v>0.22700000000000001</v>
      </c>
      <c r="O79">
        <v>3.34</v>
      </c>
      <c r="P79">
        <v>164</v>
      </c>
      <c r="Q79" s="4"/>
      <c r="R79" s="4">
        <v>1</v>
      </c>
      <c r="S79" s="4">
        <v>1</v>
      </c>
      <c r="T79" s="4"/>
      <c r="U79" s="4">
        <f t="shared" si="19"/>
        <v>11.5</v>
      </c>
      <c r="V79" s="4">
        <f t="shared" si="17"/>
        <v>11.5</v>
      </c>
      <c r="W79" s="4">
        <f t="shared" si="15"/>
        <v>11.5</v>
      </c>
      <c r="X79" s="4"/>
      <c r="Y79" s="4"/>
      <c r="Z79">
        <f>ABS(100*ABS(W79-W73)/AVERAGE(W79,W73))</f>
        <v>5.9071729957805852</v>
      </c>
      <c r="AA79" t="str">
        <f>IF(W79&gt;10, (IF((AND(Z79&gt;=0,Z79&lt;=20)=TRUE),"PASS","FAIL")),(IF((AND(Z79&gt;=0,Z79&lt;=50)=TRUE),"PASS","FAIL")))</f>
        <v>PASS</v>
      </c>
      <c r="AB79" s="4"/>
      <c r="AC79" s="4"/>
      <c r="AD79" s="4">
        <v>1</v>
      </c>
      <c r="AE79" s="4"/>
      <c r="AF79" s="4">
        <f t="shared" si="20"/>
        <v>164</v>
      </c>
      <c r="AG79" s="4">
        <f t="shared" si="18"/>
        <v>164</v>
      </c>
      <c r="AH79" s="4">
        <f t="shared" si="6"/>
        <v>164</v>
      </c>
      <c r="AI79" s="4"/>
      <c r="AJ79" s="4"/>
      <c r="AK79">
        <f>ABS(100*ABS(AH79-AH73)/AVERAGE(AH79,AH73))</f>
        <v>3.0959752321981426</v>
      </c>
      <c r="AL79" t="str">
        <f>IF(AH79&gt;10, (IF((AND(AK79&gt;=0,AK79&lt;=20)=TRUE),"PASS","FAIL")),(IF((AND(AK79&gt;=0,AK79&lt;=50)=TRUE),"PASS","FAIL")))</f>
        <v>PASS</v>
      </c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</row>
    <row r="80" spans="1:70" x14ac:dyDescent="0.3">
      <c r="A80" s="1">
        <v>45357</v>
      </c>
      <c r="B80" t="s">
        <v>183</v>
      </c>
      <c r="C80" t="s">
        <v>213</v>
      </c>
      <c r="D80">
        <v>58</v>
      </c>
      <c r="E80">
        <v>1</v>
      </c>
      <c r="F80">
        <v>1</v>
      </c>
      <c r="G80" t="s">
        <v>51</v>
      </c>
      <c r="H80" t="s">
        <v>52</v>
      </c>
      <c r="I80">
        <v>0.152</v>
      </c>
      <c r="J80">
        <v>2.73</v>
      </c>
      <c r="K80">
        <v>37.5</v>
      </c>
      <c r="L80" t="s">
        <v>53</v>
      </c>
      <c r="M80" t="s">
        <v>54</v>
      </c>
      <c r="N80">
        <v>0.437</v>
      </c>
      <c r="O80">
        <v>6.8</v>
      </c>
      <c r="P80">
        <v>401</v>
      </c>
      <c r="Q80" s="4"/>
      <c r="R80" s="4">
        <v>1</v>
      </c>
      <c r="S80" s="4">
        <v>1</v>
      </c>
      <c r="T80" s="4"/>
      <c r="U80" s="4">
        <f t="shared" si="19"/>
        <v>37.5</v>
      </c>
      <c r="V80" s="4">
        <f t="shared" si="17"/>
        <v>37.5</v>
      </c>
      <c r="W80" s="4">
        <f t="shared" si="15"/>
        <v>37.5</v>
      </c>
      <c r="X80" s="4"/>
      <c r="Y80" s="4"/>
      <c r="Z80" s="4"/>
      <c r="AA80" s="4"/>
      <c r="AB80">
        <f>100*((W80*10250)-(W78*10000))/(1000*250)</f>
        <v>101.75</v>
      </c>
      <c r="AC80" t="str">
        <f>IF(W80&gt;30, (IF((AND(AB80&gt;=80,AB80&lt;=120)=TRUE),"PASS","FAIL")),(IF((AND(AB80&gt;=50,AB80&lt;=150)=TRUE),"PASS","FAIL")))</f>
        <v>PASS</v>
      </c>
      <c r="AD80" s="4">
        <v>1</v>
      </c>
      <c r="AE80" s="4"/>
      <c r="AF80" s="4">
        <f t="shared" si="20"/>
        <v>401</v>
      </c>
      <c r="AG80" s="4">
        <f t="shared" si="18"/>
        <v>401</v>
      </c>
      <c r="AH80" s="4">
        <f t="shared" si="6"/>
        <v>401</v>
      </c>
      <c r="AI80" s="4"/>
      <c r="AJ80" s="4"/>
      <c r="AK80" s="4"/>
      <c r="AL80" s="4"/>
      <c r="AM80">
        <f>100*((AH80*10250)-(AH78*10000))/(10000*250)</f>
        <v>95.21</v>
      </c>
      <c r="AN80" t="str">
        <f>IF(AH80&gt;30, (IF((AND(AM80&gt;=80,AM80&lt;=120)=TRUE),"PASS","FAIL")),(IF((AND(AM80&gt;=50,AM80&lt;=150)=TRUE),"PASS","FAIL")))</f>
        <v>PASS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</row>
    <row r="81" spans="1:70" x14ac:dyDescent="0.3">
      <c r="A81" s="1">
        <v>45357</v>
      </c>
      <c r="B81" t="s">
        <v>183</v>
      </c>
      <c r="C81" t="s">
        <v>199</v>
      </c>
      <c r="D81">
        <v>7</v>
      </c>
      <c r="E81">
        <v>1</v>
      </c>
      <c r="F81">
        <v>1</v>
      </c>
      <c r="G81" t="s">
        <v>51</v>
      </c>
      <c r="H81" t="s">
        <v>52</v>
      </c>
      <c r="I81">
        <v>0.13100000000000001</v>
      </c>
      <c r="J81">
        <v>2.3199999999999998</v>
      </c>
      <c r="K81">
        <v>25</v>
      </c>
      <c r="L81" t="s">
        <v>53</v>
      </c>
      <c r="M81" t="s">
        <v>54</v>
      </c>
      <c r="N81">
        <v>0.26800000000000002</v>
      </c>
      <c r="O81">
        <v>4.26</v>
      </c>
      <c r="P81">
        <v>227</v>
      </c>
      <c r="Q81" s="4"/>
      <c r="R81" s="4">
        <v>1</v>
      </c>
      <c r="S81" s="4">
        <v>3</v>
      </c>
      <c r="T81" s="4" t="s">
        <v>165</v>
      </c>
      <c r="U81" s="4">
        <f t="shared" si="19"/>
        <v>25</v>
      </c>
      <c r="V81" s="4">
        <f t="shared" si="17"/>
        <v>25</v>
      </c>
      <c r="W81" s="4">
        <f t="shared" si="15"/>
        <v>25</v>
      </c>
      <c r="X81" s="4">
        <f>100*(W81-25)/25</f>
        <v>0</v>
      </c>
      <c r="Y81" s="4" t="str">
        <f t="shared" ref="Y81" si="21">IF((ABS(X81))&lt;=20,"PASS","FAIL")</f>
        <v>PASS</v>
      </c>
      <c r="AD81" s="4">
        <v>3</v>
      </c>
      <c r="AE81" s="4" t="s">
        <v>165</v>
      </c>
      <c r="AF81" s="4">
        <f t="shared" si="20"/>
        <v>227</v>
      </c>
      <c r="AG81" s="4">
        <f t="shared" si="18"/>
        <v>227</v>
      </c>
      <c r="AH81" s="4">
        <f t="shared" si="6"/>
        <v>227</v>
      </c>
      <c r="AI81" s="4">
        <f>100*(AH81-250)/250</f>
        <v>-9.1999999999999993</v>
      </c>
      <c r="AJ81" s="4" t="str">
        <f>IF((ABS(AI81))&lt;=20,"PASS","FAIL")</f>
        <v>PASS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</row>
    <row r="82" spans="1:70" x14ac:dyDescent="0.3">
      <c r="A82" s="1">
        <v>45357</v>
      </c>
      <c r="B82" t="s">
        <v>183</v>
      </c>
      <c r="C82" t="s">
        <v>200</v>
      </c>
      <c r="D82" t="s">
        <v>11</v>
      </c>
      <c r="E82">
        <v>1</v>
      </c>
      <c r="F82">
        <v>1</v>
      </c>
      <c r="G82" t="s">
        <v>51</v>
      </c>
      <c r="H82" t="s">
        <v>52</v>
      </c>
      <c r="I82">
        <v>0.13700000000000001</v>
      </c>
      <c r="J82">
        <v>1.71</v>
      </c>
      <c r="K82">
        <v>5.94</v>
      </c>
      <c r="L82" t="s">
        <v>53</v>
      </c>
      <c r="M82" t="s">
        <v>54</v>
      </c>
      <c r="N82">
        <v>2.8000000000000001E-2</v>
      </c>
      <c r="O82">
        <v>0.64700000000000002</v>
      </c>
      <c r="P82">
        <v>-19</v>
      </c>
      <c r="Q82" s="4"/>
      <c r="R82" s="4">
        <v>1</v>
      </c>
      <c r="S82" s="4">
        <v>1</v>
      </c>
      <c r="T82" s="4"/>
      <c r="U82" s="4">
        <f t="shared" si="19"/>
        <v>5.94</v>
      </c>
      <c r="V82" s="4">
        <f t="shared" si="17"/>
        <v>5.94</v>
      </c>
      <c r="W82" s="4">
        <f t="shared" si="15"/>
        <v>5.94</v>
      </c>
      <c r="X82" s="4"/>
      <c r="Y82" s="4"/>
      <c r="AD82" s="4">
        <v>1</v>
      </c>
      <c r="AE82" s="4"/>
      <c r="AF82" s="4">
        <f t="shared" si="20"/>
        <v>-19</v>
      </c>
      <c r="AG82" s="4">
        <f t="shared" si="18"/>
        <v>-19</v>
      </c>
      <c r="AH82" s="4">
        <f t="shared" si="6"/>
        <v>-19</v>
      </c>
      <c r="AI82" s="4"/>
      <c r="AJ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</row>
    <row r="83" spans="1:70" x14ac:dyDescent="0.3">
      <c r="A83" s="1">
        <v>45357</v>
      </c>
      <c r="B83" t="s">
        <v>183</v>
      </c>
      <c r="C83" t="s">
        <v>201</v>
      </c>
      <c r="D83" t="s">
        <v>121</v>
      </c>
      <c r="E83">
        <v>1</v>
      </c>
      <c r="F83">
        <v>1</v>
      </c>
      <c r="G83" t="s">
        <v>51</v>
      </c>
      <c r="H83" t="s">
        <v>52</v>
      </c>
      <c r="I83">
        <v>1.0200000000000001E-2</v>
      </c>
      <c r="J83">
        <v>0.113</v>
      </c>
      <c r="K83">
        <v>-45.1</v>
      </c>
      <c r="L83" t="s">
        <v>53</v>
      </c>
      <c r="M83" t="s">
        <v>54</v>
      </c>
      <c r="N83">
        <v>-1.6400000000000001E-2</v>
      </c>
      <c r="O83">
        <v>-0.16700000000000001</v>
      </c>
      <c r="P83">
        <v>-74.099999999999994</v>
      </c>
      <c r="Q83" s="4"/>
      <c r="R83" s="4">
        <v>1</v>
      </c>
      <c r="S83" s="4">
        <v>1</v>
      </c>
      <c r="T83" s="4"/>
      <c r="U83" s="4">
        <f t="shared" si="19"/>
        <v>-45.1</v>
      </c>
      <c r="V83" s="4">
        <f t="shared" si="17"/>
        <v>-45.1</v>
      </c>
      <c r="W83" s="4">
        <f t="shared" si="15"/>
        <v>-45.1</v>
      </c>
      <c r="X83" s="4"/>
      <c r="Y83" s="4"/>
      <c r="AD83" s="4">
        <v>1</v>
      </c>
      <c r="AE83" s="4"/>
      <c r="AF83" s="4">
        <f t="shared" si="20"/>
        <v>-74.099999999999994</v>
      </c>
      <c r="AG83" s="4">
        <f t="shared" si="18"/>
        <v>-74.099999999999994</v>
      </c>
      <c r="AH83" s="4">
        <f t="shared" si="6"/>
        <v>-74.099999999999994</v>
      </c>
      <c r="AI83" s="4"/>
      <c r="AJ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</row>
    <row r="84" spans="1:70" x14ac:dyDescent="0.3">
      <c r="A84" s="1">
        <v>45357</v>
      </c>
      <c r="B84" t="s">
        <v>183</v>
      </c>
      <c r="C84" t="s">
        <v>214</v>
      </c>
      <c r="D84">
        <v>59</v>
      </c>
      <c r="E84">
        <v>1</v>
      </c>
      <c r="F84">
        <v>1</v>
      </c>
      <c r="G84" t="s">
        <v>51</v>
      </c>
      <c r="H84" t="s">
        <v>52</v>
      </c>
      <c r="I84">
        <v>0.13100000000000001</v>
      </c>
      <c r="J84">
        <v>2.4</v>
      </c>
      <c r="K84">
        <v>27.4</v>
      </c>
      <c r="L84" t="s">
        <v>53</v>
      </c>
      <c r="M84" t="s">
        <v>54</v>
      </c>
      <c r="N84">
        <v>0.33400000000000002</v>
      </c>
      <c r="O84">
        <v>5.31</v>
      </c>
      <c r="P84">
        <v>299</v>
      </c>
      <c r="Q84" s="4"/>
      <c r="R84" s="4">
        <v>1</v>
      </c>
      <c r="S84" s="4">
        <v>1</v>
      </c>
      <c r="T84" s="4"/>
      <c r="U84" s="4">
        <f t="shared" si="19"/>
        <v>27.4</v>
      </c>
      <c r="V84" s="4">
        <f t="shared" si="17"/>
        <v>27.4</v>
      </c>
      <c r="W84" s="4">
        <f t="shared" si="15"/>
        <v>27.4</v>
      </c>
      <c r="X84" s="4"/>
      <c r="Y84" s="4"/>
      <c r="AB84" s="4"/>
      <c r="AC84" s="4"/>
      <c r="AD84" s="4">
        <v>1</v>
      </c>
      <c r="AE84" s="4"/>
      <c r="AF84" s="4">
        <f t="shared" si="20"/>
        <v>299</v>
      </c>
      <c r="AG84" s="4">
        <f t="shared" si="18"/>
        <v>299</v>
      </c>
      <c r="AH84" s="4">
        <f t="shared" si="6"/>
        <v>299</v>
      </c>
      <c r="AI84" s="4"/>
      <c r="AJ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</row>
    <row r="85" spans="1:70" x14ac:dyDescent="0.3">
      <c r="A85" s="1">
        <v>45357</v>
      </c>
      <c r="B85" t="s">
        <v>183</v>
      </c>
      <c r="C85" t="s">
        <v>215</v>
      </c>
      <c r="D85">
        <v>60</v>
      </c>
      <c r="E85">
        <v>1</v>
      </c>
      <c r="F85">
        <v>1</v>
      </c>
      <c r="G85" t="s">
        <v>51</v>
      </c>
      <c r="H85" t="s">
        <v>52</v>
      </c>
      <c r="I85">
        <v>0.121</v>
      </c>
      <c r="J85">
        <v>2.2000000000000002</v>
      </c>
      <c r="K85">
        <v>21.1</v>
      </c>
      <c r="L85" t="s">
        <v>53</v>
      </c>
      <c r="M85" t="s">
        <v>54</v>
      </c>
      <c r="N85">
        <v>0.36599999999999999</v>
      </c>
      <c r="O85">
        <v>5.6</v>
      </c>
      <c r="P85">
        <v>318</v>
      </c>
      <c r="Q85" s="4"/>
      <c r="R85" s="4">
        <v>1</v>
      </c>
      <c r="S85" s="4">
        <v>1</v>
      </c>
      <c r="T85" s="4"/>
      <c r="U85" s="4">
        <f t="shared" si="19"/>
        <v>21.1</v>
      </c>
      <c r="V85" s="4">
        <f t="shared" si="17"/>
        <v>21.1</v>
      </c>
      <c r="W85" s="4">
        <f t="shared" si="15"/>
        <v>21.1</v>
      </c>
      <c r="X85" s="4"/>
      <c r="Y85" s="4"/>
      <c r="Z85" s="4"/>
      <c r="AA85" s="4"/>
      <c r="AB85" s="4"/>
      <c r="AC85" s="4"/>
      <c r="AD85" s="4">
        <v>1</v>
      </c>
      <c r="AE85" s="4"/>
      <c r="AF85" s="4">
        <f t="shared" si="20"/>
        <v>318</v>
      </c>
      <c r="AG85" s="4">
        <f t="shared" si="18"/>
        <v>318</v>
      </c>
      <c r="AH85" s="4">
        <f t="shared" si="6"/>
        <v>318</v>
      </c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</row>
    <row r="86" spans="1:70" x14ac:dyDescent="0.3">
      <c r="A86" s="1">
        <v>45357</v>
      </c>
      <c r="B86" t="s">
        <v>183</v>
      </c>
      <c r="C86" t="s">
        <v>216</v>
      </c>
      <c r="D86">
        <v>61</v>
      </c>
      <c r="E86">
        <v>1</v>
      </c>
      <c r="F86">
        <v>1</v>
      </c>
      <c r="G86" t="s">
        <v>51</v>
      </c>
      <c r="H86" t="s">
        <v>52</v>
      </c>
      <c r="I86">
        <v>0.13100000000000001</v>
      </c>
      <c r="J86">
        <v>2.38</v>
      </c>
      <c r="K86">
        <v>26.6</v>
      </c>
      <c r="L86" t="s">
        <v>53</v>
      </c>
      <c r="M86" t="s">
        <v>54</v>
      </c>
      <c r="N86">
        <v>0.38600000000000001</v>
      </c>
      <c r="O86">
        <v>6.2</v>
      </c>
      <c r="P86">
        <v>360</v>
      </c>
      <c r="Q86" s="4"/>
      <c r="R86" s="4">
        <v>1</v>
      </c>
      <c r="S86" s="4">
        <v>1</v>
      </c>
      <c r="T86" s="4"/>
      <c r="U86" s="4">
        <f t="shared" si="19"/>
        <v>26.6</v>
      </c>
      <c r="V86" s="4">
        <f t="shared" si="17"/>
        <v>26.6</v>
      </c>
      <c r="W86" s="4">
        <f t="shared" si="15"/>
        <v>26.6</v>
      </c>
      <c r="X86" s="4"/>
      <c r="Y86" s="4"/>
      <c r="AB86" s="4"/>
      <c r="AC86" s="4"/>
      <c r="AD86" s="4">
        <v>1</v>
      </c>
      <c r="AE86" s="4"/>
      <c r="AF86" s="4">
        <f t="shared" si="20"/>
        <v>360</v>
      </c>
      <c r="AG86" s="4">
        <f t="shared" si="18"/>
        <v>360</v>
      </c>
      <c r="AH86" s="4">
        <f t="shared" si="6"/>
        <v>360</v>
      </c>
      <c r="AI86" s="4"/>
      <c r="AJ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</row>
    <row r="87" spans="1:70" x14ac:dyDescent="0.3">
      <c r="A87" s="1">
        <v>45357</v>
      </c>
      <c r="B87" t="s">
        <v>183</v>
      </c>
      <c r="C87" t="s">
        <v>217</v>
      </c>
      <c r="D87">
        <v>62</v>
      </c>
      <c r="E87">
        <v>1</v>
      </c>
      <c r="F87">
        <v>1</v>
      </c>
      <c r="G87" t="s">
        <v>51</v>
      </c>
      <c r="H87" t="s">
        <v>52</v>
      </c>
      <c r="I87">
        <v>0.13100000000000001</v>
      </c>
      <c r="J87">
        <v>2.34</v>
      </c>
      <c r="K87">
        <v>25.5</v>
      </c>
      <c r="L87" t="s">
        <v>53</v>
      </c>
      <c r="M87" t="s">
        <v>54</v>
      </c>
      <c r="N87">
        <v>0.28299999999999997</v>
      </c>
      <c r="O87">
        <v>4.76</v>
      </c>
      <c r="P87">
        <v>261</v>
      </c>
      <c r="Q87" s="4"/>
      <c r="R87" s="4">
        <v>1</v>
      </c>
      <c r="S87" s="4">
        <v>1</v>
      </c>
      <c r="T87" s="4"/>
      <c r="U87" s="4">
        <f t="shared" si="19"/>
        <v>25.5</v>
      </c>
      <c r="V87" s="4">
        <f t="shared" si="17"/>
        <v>25.5</v>
      </c>
      <c r="W87" s="4">
        <f t="shared" si="15"/>
        <v>25.5</v>
      </c>
      <c r="AD87" s="4">
        <v>1</v>
      </c>
      <c r="AE87" s="4"/>
      <c r="AF87" s="4">
        <f t="shared" si="20"/>
        <v>261</v>
      </c>
      <c r="AG87" s="4">
        <f t="shared" si="18"/>
        <v>261</v>
      </c>
      <c r="AH87" s="4">
        <f t="shared" si="6"/>
        <v>261</v>
      </c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</row>
    <row r="88" spans="1:70" x14ac:dyDescent="0.3">
      <c r="A88" s="1">
        <v>45357</v>
      </c>
      <c r="B88" t="s">
        <v>183</v>
      </c>
      <c r="C88" t="s">
        <v>218</v>
      </c>
      <c r="D88">
        <v>63</v>
      </c>
      <c r="E88">
        <v>1</v>
      </c>
      <c r="F88">
        <v>1</v>
      </c>
      <c r="G88" t="s">
        <v>51</v>
      </c>
      <c r="H88" t="s">
        <v>52</v>
      </c>
      <c r="I88">
        <v>0.11799999999999999</v>
      </c>
      <c r="J88">
        <v>2.23</v>
      </c>
      <c r="K88">
        <v>22</v>
      </c>
      <c r="L88" t="s">
        <v>53</v>
      </c>
      <c r="M88" t="s">
        <v>54</v>
      </c>
      <c r="N88">
        <v>0.34599999999999997</v>
      </c>
      <c r="O88">
        <v>5.52</v>
      </c>
      <c r="P88">
        <v>313</v>
      </c>
      <c r="Q88" s="4"/>
      <c r="R88" s="4">
        <v>1</v>
      </c>
      <c r="S88" s="4">
        <v>1</v>
      </c>
      <c r="T88" s="4"/>
      <c r="U88" s="4">
        <f t="shared" si="19"/>
        <v>22</v>
      </c>
      <c r="V88" s="4">
        <f t="shared" si="17"/>
        <v>22</v>
      </c>
      <c r="W88" s="4">
        <f t="shared" si="15"/>
        <v>22</v>
      </c>
      <c r="AD88" s="4">
        <v>1</v>
      </c>
      <c r="AE88" s="4"/>
      <c r="AF88" s="4">
        <f t="shared" si="20"/>
        <v>313</v>
      </c>
      <c r="AG88" s="4">
        <f t="shared" si="18"/>
        <v>313</v>
      </c>
      <c r="AH88" s="4">
        <f t="shared" si="6"/>
        <v>313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</row>
    <row r="89" spans="1:70" x14ac:dyDescent="0.3">
      <c r="A89" s="1">
        <v>45357</v>
      </c>
      <c r="B89" t="s">
        <v>183</v>
      </c>
      <c r="C89" t="s">
        <v>219</v>
      </c>
      <c r="D89">
        <v>64</v>
      </c>
      <c r="E89">
        <v>1</v>
      </c>
      <c r="F89">
        <v>1</v>
      </c>
      <c r="G89" t="s">
        <v>51</v>
      </c>
      <c r="H89" t="s">
        <v>52</v>
      </c>
      <c r="I89">
        <v>0.11</v>
      </c>
      <c r="J89">
        <v>1.96</v>
      </c>
      <c r="K89">
        <v>13.5</v>
      </c>
      <c r="L89" t="s">
        <v>53</v>
      </c>
      <c r="M89" t="s">
        <v>54</v>
      </c>
      <c r="N89">
        <v>0.28599999999999998</v>
      </c>
      <c r="O89">
        <v>4.7</v>
      </c>
      <c r="P89">
        <v>257</v>
      </c>
      <c r="R89" s="4">
        <v>1</v>
      </c>
      <c r="S89" s="4">
        <v>1</v>
      </c>
      <c r="T89" s="4"/>
      <c r="U89" s="4">
        <f t="shared" si="19"/>
        <v>13.5</v>
      </c>
      <c r="V89" s="4">
        <f t="shared" si="17"/>
        <v>13.5</v>
      </c>
      <c r="W89" s="4">
        <f t="shared" si="15"/>
        <v>13.5</v>
      </c>
      <c r="X89" s="4"/>
      <c r="Y89" s="4"/>
      <c r="AD89" s="4">
        <v>1</v>
      </c>
      <c r="AE89" s="4"/>
      <c r="AF89" s="4">
        <f t="shared" si="20"/>
        <v>257</v>
      </c>
      <c r="AG89" s="4">
        <f t="shared" si="18"/>
        <v>257</v>
      </c>
      <c r="AH89" s="4">
        <f t="shared" si="6"/>
        <v>257</v>
      </c>
      <c r="AI89" s="4"/>
      <c r="AJ89" s="4"/>
      <c r="AO89" s="4"/>
      <c r="AP89" s="4"/>
      <c r="AQ89" s="4"/>
    </row>
    <row r="90" spans="1:70" x14ac:dyDescent="0.3">
      <c r="A90" s="1">
        <v>45357</v>
      </c>
      <c r="B90" t="s">
        <v>183</v>
      </c>
      <c r="C90" t="s">
        <v>220</v>
      </c>
      <c r="D90">
        <v>65</v>
      </c>
      <c r="E90">
        <v>1</v>
      </c>
      <c r="F90">
        <v>1</v>
      </c>
      <c r="G90" t="s">
        <v>51</v>
      </c>
      <c r="H90" t="s">
        <v>52</v>
      </c>
      <c r="I90">
        <v>0.124</v>
      </c>
      <c r="J90">
        <v>2.2799999999999998</v>
      </c>
      <c r="K90">
        <v>23.7</v>
      </c>
      <c r="L90" t="s">
        <v>53</v>
      </c>
      <c r="M90" t="s">
        <v>54</v>
      </c>
      <c r="N90">
        <v>0.33300000000000002</v>
      </c>
      <c r="O90">
        <v>5.33</v>
      </c>
      <c r="P90">
        <v>300</v>
      </c>
      <c r="Q90" s="4"/>
      <c r="R90" s="4">
        <v>1</v>
      </c>
      <c r="S90" s="4">
        <v>1</v>
      </c>
      <c r="T90" s="4"/>
      <c r="U90" s="4">
        <f t="shared" si="19"/>
        <v>23.7</v>
      </c>
      <c r="V90" s="4">
        <f t="shared" si="17"/>
        <v>23.7</v>
      </c>
      <c r="W90" s="4">
        <f t="shared" si="15"/>
        <v>23.7</v>
      </c>
      <c r="AD90" s="4">
        <v>1</v>
      </c>
      <c r="AE90" s="4"/>
      <c r="AF90" s="4">
        <f t="shared" si="20"/>
        <v>300</v>
      </c>
      <c r="AG90" s="4">
        <f t="shared" si="18"/>
        <v>300</v>
      </c>
      <c r="AH90" s="4">
        <f t="shared" si="6"/>
        <v>300</v>
      </c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</row>
    <row r="91" spans="1:70" x14ac:dyDescent="0.3">
      <c r="A91" s="1">
        <v>45357</v>
      </c>
      <c r="B91" t="s">
        <v>183</v>
      </c>
      <c r="C91" t="s">
        <v>221</v>
      </c>
      <c r="D91">
        <v>66</v>
      </c>
      <c r="E91">
        <v>1</v>
      </c>
      <c r="F91">
        <v>1</v>
      </c>
      <c r="G91" t="s">
        <v>51</v>
      </c>
      <c r="H91" t="s">
        <v>52</v>
      </c>
      <c r="I91">
        <v>0.13</v>
      </c>
      <c r="J91">
        <v>2.39</v>
      </c>
      <c r="K91">
        <v>27</v>
      </c>
      <c r="L91" t="s">
        <v>53</v>
      </c>
      <c r="M91" t="s">
        <v>54</v>
      </c>
      <c r="N91">
        <v>0.26900000000000002</v>
      </c>
      <c r="O91">
        <v>4.43</v>
      </c>
      <c r="P91">
        <v>238</v>
      </c>
      <c r="Q91" s="4"/>
      <c r="R91" s="4">
        <v>1</v>
      </c>
      <c r="S91" s="4">
        <v>1</v>
      </c>
      <c r="T91" s="4"/>
      <c r="U91" s="4">
        <f t="shared" si="19"/>
        <v>27</v>
      </c>
      <c r="V91" s="4">
        <f t="shared" si="17"/>
        <v>27</v>
      </c>
      <c r="W91" s="4">
        <f t="shared" si="15"/>
        <v>27</v>
      </c>
      <c r="AD91" s="4">
        <v>1</v>
      </c>
      <c r="AE91" s="4"/>
      <c r="AF91" s="4">
        <f t="shared" si="20"/>
        <v>238</v>
      </c>
      <c r="AG91" s="4">
        <f t="shared" si="18"/>
        <v>238</v>
      </c>
      <c r="AH91" s="4">
        <f t="shared" si="6"/>
        <v>238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</row>
    <row r="92" spans="1:70" x14ac:dyDescent="0.3">
      <c r="A92" s="1">
        <v>45357</v>
      </c>
      <c r="B92" t="s">
        <v>183</v>
      </c>
      <c r="C92" t="s">
        <v>222</v>
      </c>
      <c r="D92">
        <v>67</v>
      </c>
      <c r="E92">
        <v>1</v>
      </c>
      <c r="F92">
        <v>1</v>
      </c>
      <c r="G92" t="s">
        <v>51</v>
      </c>
      <c r="H92" t="s">
        <v>52</v>
      </c>
      <c r="I92">
        <v>0.11700000000000001</v>
      </c>
      <c r="J92">
        <v>2.14</v>
      </c>
      <c r="K92">
        <v>19.2</v>
      </c>
      <c r="L92" t="s">
        <v>53</v>
      </c>
      <c r="M92" t="s">
        <v>54</v>
      </c>
      <c r="N92">
        <v>0.30099999999999999</v>
      </c>
      <c r="O92">
        <v>4.84</v>
      </c>
      <c r="P92">
        <v>267</v>
      </c>
      <c r="Q92" s="4"/>
      <c r="R92" s="4">
        <v>1</v>
      </c>
      <c r="S92" s="4">
        <v>1</v>
      </c>
      <c r="T92" s="4"/>
      <c r="U92" s="4">
        <f t="shared" si="19"/>
        <v>19.2</v>
      </c>
      <c r="V92" s="4">
        <f t="shared" si="17"/>
        <v>19.2</v>
      </c>
      <c r="W92" s="4">
        <f t="shared" si="15"/>
        <v>19.2</v>
      </c>
      <c r="X92" s="4"/>
      <c r="Y92" s="4"/>
      <c r="AD92" s="4">
        <v>1</v>
      </c>
      <c r="AE92" s="4"/>
      <c r="AF92" s="4">
        <f t="shared" si="20"/>
        <v>267</v>
      </c>
      <c r="AG92" s="4">
        <f t="shared" si="18"/>
        <v>267</v>
      </c>
      <c r="AH92" s="4">
        <f t="shared" si="6"/>
        <v>267</v>
      </c>
      <c r="AI92" s="4"/>
      <c r="AJ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</row>
    <row r="93" spans="1:70" x14ac:dyDescent="0.3">
      <c r="A93" s="1">
        <v>45357</v>
      </c>
      <c r="B93" t="s">
        <v>183</v>
      </c>
      <c r="C93" t="s">
        <v>223</v>
      </c>
      <c r="D93">
        <v>68</v>
      </c>
      <c r="E93">
        <v>1</v>
      </c>
      <c r="F93">
        <v>1</v>
      </c>
      <c r="G93" t="s">
        <v>51</v>
      </c>
      <c r="H93" t="s">
        <v>52</v>
      </c>
      <c r="I93">
        <v>0.124</v>
      </c>
      <c r="J93">
        <v>2.27</v>
      </c>
      <c r="K93">
        <v>23.4</v>
      </c>
      <c r="L93" t="s">
        <v>53</v>
      </c>
      <c r="M93" t="s">
        <v>54</v>
      </c>
      <c r="N93">
        <v>0.28899999999999998</v>
      </c>
      <c r="O93">
        <v>4.74</v>
      </c>
      <c r="P93">
        <v>260</v>
      </c>
      <c r="Q93" s="4"/>
      <c r="R93" s="4">
        <v>1</v>
      </c>
      <c r="S93" s="4">
        <v>1</v>
      </c>
      <c r="T93" s="4"/>
      <c r="U93" s="4">
        <f t="shared" si="19"/>
        <v>23.4</v>
      </c>
      <c r="V93" s="4">
        <f t="shared" si="17"/>
        <v>23.4</v>
      </c>
      <c r="W93" s="4">
        <f t="shared" si="15"/>
        <v>23.4</v>
      </c>
      <c r="X93" s="4"/>
      <c r="Y93" s="4"/>
      <c r="AB93" s="4"/>
      <c r="AC93" s="4"/>
      <c r="AD93" s="4">
        <v>1</v>
      </c>
      <c r="AE93" s="4"/>
      <c r="AF93" s="4">
        <f t="shared" si="20"/>
        <v>260</v>
      </c>
      <c r="AG93" s="4">
        <f t="shared" si="18"/>
        <v>260</v>
      </c>
      <c r="AH93" s="4">
        <f t="shared" si="6"/>
        <v>260</v>
      </c>
      <c r="AI93" s="4"/>
      <c r="AJ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</row>
    <row r="94" spans="1:70" x14ac:dyDescent="0.3">
      <c r="A94" s="1">
        <v>45357</v>
      </c>
      <c r="B94" t="s">
        <v>183</v>
      </c>
      <c r="C94" t="s">
        <v>224</v>
      </c>
      <c r="D94">
        <v>69</v>
      </c>
      <c r="E94">
        <v>1</v>
      </c>
      <c r="F94">
        <v>1</v>
      </c>
      <c r="G94" t="s">
        <v>51</v>
      </c>
      <c r="H94" t="s">
        <v>52</v>
      </c>
      <c r="I94">
        <v>0.11700000000000001</v>
      </c>
      <c r="J94">
        <v>2.1800000000000002</v>
      </c>
      <c r="K94">
        <v>20.399999999999999</v>
      </c>
      <c r="L94" t="s">
        <v>53</v>
      </c>
      <c r="M94" t="s">
        <v>54</v>
      </c>
      <c r="N94">
        <v>0.33</v>
      </c>
      <c r="O94">
        <v>5.52</v>
      </c>
      <c r="P94">
        <v>313</v>
      </c>
      <c r="R94" s="4">
        <v>1</v>
      </c>
      <c r="S94" s="4">
        <v>1</v>
      </c>
      <c r="T94" s="4"/>
      <c r="U94" s="4">
        <f t="shared" si="19"/>
        <v>20.399999999999999</v>
      </c>
      <c r="V94" s="4">
        <f t="shared" si="17"/>
        <v>20.399999999999999</v>
      </c>
      <c r="W94" s="4">
        <f t="shared" si="15"/>
        <v>20.399999999999999</v>
      </c>
      <c r="X94" s="4"/>
      <c r="Y94" s="4"/>
      <c r="Z94">
        <f>ABS(100*ABS(W94-W88)/AVERAGE(W94,W88))</f>
        <v>7.5471698113207619</v>
      </c>
      <c r="AA94" t="str">
        <f>IF(W94&gt;10, (IF((AND(Z94&gt;=0,Z94&lt;=20)=TRUE),"PASS","FAIL")),(IF((AND(Z94&gt;=0,Z94&lt;=50)=TRUE),"PASS","FAIL")))</f>
        <v>PASS</v>
      </c>
      <c r="AB94" s="4"/>
      <c r="AC94" s="4"/>
      <c r="AD94" s="4">
        <v>1</v>
      </c>
      <c r="AE94" s="4"/>
      <c r="AF94" s="4">
        <f t="shared" si="20"/>
        <v>313</v>
      </c>
      <c r="AG94" s="4">
        <f t="shared" si="18"/>
        <v>313</v>
      </c>
      <c r="AH94" s="4">
        <f t="shared" si="6"/>
        <v>313</v>
      </c>
      <c r="AI94" s="4"/>
      <c r="AJ94" s="4"/>
      <c r="AK94">
        <f>ABS(100*ABS(AH94-AH88)/AVERAGE(AH94,AH88))</f>
        <v>0</v>
      </c>
      <c r="AL94" t="str">
        <f>IF(AH94&gt;10, (IF((AND(AK94&gt;=0,AK94&lt;=20)=TRUE),"PASS","FAIL")),(IF((AND(AK94&gt;=0,AK94&lt;=50)=TRUE),"PASS","FAIL")))</f>
        <v>PASS</v>
      </c>
      <c r="AM94" s="4"/>
      <c r="AN94" s="4"/>
      <c r="AO94" s="4"/>
      <c r="AP94" s="4"/>
      <c r="AQ94" s="4"/>
    </row>
    <row r="95" spans="1:70" x14ac:dyDescent="0.3">
      <c r="A95" s="1">
        <v>45357</v>
      </c>
      <c r="B95" t="s">
        <v>183</v>
      </c>
      <c r="C95" t="s">
        <v>225</v>
      </c>
      <c r="D95">
        <v>70</v>
      </c>
      <c r="E95">
        <v>1</v>
      </c>
      <c r="F95">
        <v>1</v>
      </c>
      <c r="G95" t="s">
        <v>51</v>
      </c>
      <c r="H95" t="s">
        <v>52</v>
      </c>
      <c r="I95">
        <v>0.16800000000000001</v>
      </c>
      <c r="J95">
        <v>3.02</v>
      </c>
      <c r="K95">
        <v>46.4</v>
      </c>
      <c r="L95" t="s">
        <v>53</v>
      </c>
      <c r="M95" t="s">
        <v>54</v>
      </c>
      <c r="N95">
        <v>0.47299999999999998</v>
      </c>
      <c r="O95">
        <v>7.47</v>
      </c>
      <c r="P95">
        <v>447</v>
      </c>
      <c r="R95" s="4">
        <v>1</v>
      </c>
      <c r="S95" s="4">
        <v>1</v>
      </c>
      <c r="T95" s="4"/>
      <c r="U95" s="4">
        <f t="shared" si="19"/>
        <v>46.4</v>
      </c>
      <c r="V95" s="4">
        <f t="shared" si="17"/>
        <v>46.4</v>
      </c>
      <c r="W95" s="4">
        <f t="shared" si="15"/>
        <v>46.4</v>
      </c>
      <c r="X95" s="4"/>
      <c r="Y95" s="4"/>
      <c r="Z95" s="4"/>
      <c r="AA95" s="4"/>
      <c r="AB95">
        <f>100*((W95*10250)-(W93*10000))/(1000*250)</f>
        <v>96.64</v>
      </c>
      <c r="AC95" t="str">
        <f>IF(W95&gt;30, (IF((AND(AB95&gt;=80,AB95&lt;=120)=TRUE),"PASS","FAIL")),(IF((AND(AB95&gt;=50,AB95&lt;=150)=TRUE),"PASS","FAIL")))</f>
        <v>PASS</v>
      </c>
      <c r="AD95" s="4">
        <v>1</v>
      </c>
      <c r="AE95" s="4"/>
      <c r="AF95" s="4">
        <f t="shared" si="20"/>
        <v>447</v>
      </c>
      <c r="AG95" s="4">
        <f t="shared" si="18"/>
        <v>447</v>
      </c>
      <c r="AH95" s="4">
        <f t="shared" ref="AH95:AH158" si="22">IF(R95=1,AF95,(AG95*R95))</f>
        <v>447</v>
      </c>
      <c r="AI95" s="4"/>
      <c r="AJ95" s="4"/>
      <c r="AK95" s="4"/>
      <c r="AL95" s="4"/>
      <c r="AM95">
        <f>100*((AH95*10250)-(AH93*10000))/(10000*250)</f>
        <v>79.27</v>
      </c>
      <c r="AN95" t="str">
        <f>IF(AH95&gt;30, (IF((AND(AM95&gt;=80,AM95&lt;=120)=TRUE),"PASS","FAIL")),(IF((AND(AM95&gt;=50,AM95&lt;=150)=TRUE),"PASS","FAIL")))</f>
        <v>FAIL</v>
      </c>
      <c r="AO95" s="4"/>
      <c r="AP95" s="4"/>
      <c r="AQ95" s="4"/>
    </row>
    <row r="96" spans="1:70" x14ac:dyDescent="0.3">
      <c r="A96" s="1">
        <v>45357</v>
      </c>
      <c r="B96" t="s">
        <v>183</v>
      </c>
      <c r="C96" t="s">
        <v>199</v>
      </c>
      <c r="D96">
        <v>7</v>
      </c>
      <c r="E96">
        <v>1</v>
      </c>
      <c r="F96">
        <v>1</v>
      </c>
      <c r="G96" t="s">
        <v>51</v>
      </c>
      <c r="H96" t="s">
        <v>52</v>
      </c>
      <c r="I96">
        <v>0.13300000000000001</v>
      </c>
      <c r="J96">
        <v>2.39</v>
      </c>
      <c r="K96">
        <v>26.9</v>
      </c>
      <c r="L96" t="s">
        <v>53</v>
      </c>
      <c r="M96" t="s">
        <v>54</v>
      </c>
      <c r="N96">
        <v>0.26500000000000001</v>
      </c>
      <c r="O96">
        <v>4.29</v>
      </c>
      <c r="P96">
        <v>229</v>
      </c>
      <c r="R96" s="4">
        <v>1</v>
      </c>
      <c r="S96" s="4">
        <v>1</v>
      </c>
      <c r="T96" s="4"/>
      <c r="U96" s="4">
        <f t="shared" si="19"/>
        <v>26.9</v>
      </c>
      <c r="V96" s="4">
        <f t="shared" si="17"/>
        <v>26.9</v>
      </c>
      <c r="W96" s="4">
        <f t="shared" si="15"/>
        <v>26.9</v>
      </c>
      <c r="X96" s="4">
        <f>100*(W96-25)/25</f>
        <v>7.5999999999999943</v>
      </c>
      <c r="Y96" s="4" t="str">
        <f t="shared" ref="Y96" si="23">IF((ABS(X96))&lt;=20,"PASS","FAIL")</f>
        <v>PASS</v>
      </c>
      <c r="AD96" s="4">
        <v>1</v>
      </c>
      <c r="AE96" s="4"/>
      <c r="AF96" s="4">
        <f t="shared" si="20"/>
        <v>229</v>
      </c>
      <c r="AG96" s="4">
        <f t="shared" si="18"/>
        <v>229</v>
      </c>
      <c r="AH96" s="4">
        <f t="shared" si="22"/>
        <v>229</v>
      </c>
      <c r="AI96" s="4">
        <f>100*(AH96-250)/250</f>
        <v>-8.4</v>
      </c>
      <c r="AJ96" s="4" t="str">
        <f>IF((ABS(AI96))&lt;=20,"PASS","FAIL")</f>
        <v>PASS</v>
      </c>
      <c r="AO96" s="4"/>
      <c r="AP96" s="4"/>
      <c r="AQ96" s="4"/>
    </row>
    <row r="97" spans="1:70" x14ac:dyDescent="0.3">
      <c r="A97" s="1">
        <v>45357</v>
      </c>
      <c r="B97" t="s">
        <v>183</v>
      </c>
      <c r="C97" t="s">
        <v>200</v>
      </c>
      <c r="D97" t="s">
        <v>11</v>
      </c>
      <c r="E97">
        <v>1</v>
      </c>
      <c r="F97">
        <v>1</v>
      </c>
      <c r="G97" t="s">
        <v>51</v>
      </c>
      <c r="H97" t="s">
        <v>52</v>
      </c>
      <c r="I97">
        <v>0.13500000000000001</v>
      </c>
      <c r="J97">
        <v>1.68</v>
      </c>
      <c r="K97">
        <v>5</v>
      </c>
      <c r="L97" t="s">
        <v>53</v>
      </c>
      <c r="M97" t="s">
        <v>54</v>
      </c>
      <c r="N97">
        <v>2.0799999999999999E-2</v>
      </c>
      <c r="O97">
        <v>0.221</v>
      </c>
      <c r="P97">
        <v>-47.9</v>
      </c>
      <c r="R97" s="4">
        <v>1</v>
      </c>
      <c r="S97" s="4">
        <v>1</v>
      </c>
      <c r="T97" s="4"/>
      <c r="U97" s="4">
        <f t="shared" si="19"/>
        <v>5</v>
      </c>
      <c r="V97" s="4">
        <f t="shared" si="17"/>
        <v>5</v>
      </c>
      <c r="W97" s="4">
        <f t="shared" si="15"/>
        <v>5</v>
      </c>
      <c r="X97" s="4"/>
      <c r="Y97" s="4"/>
      <c r="AD97" s="4">
        <v>1</v>
      </c>
      <c r="AE97" s="4"/>
      <c r="AF97" s="4">
        <f t="shared" si="20"/>
        <v>-47.9</v>
      </c>
      <c r="AG97" s="4">
        <f t="shared" si="18"/>
        <v>-47.9</v>
      </c>
      <c r="AH97" s="4">
        <f t="shared" si="22"/>
        <v>-47.9</v>
      </c>
      <c r="AI97" s="4"/>
      <c r="AJ97" s="4"/>
      <c r="AO97" s="4"/>
      <c r="AP97" s="4"/>
      <c r="AQ97" s="4"/>
    </row>
    <row r="98" spans="1:70" x14ac:dyDescent="0.3">
      <c r="A98" s="1">
        <v>45357</v>
      </c>
      <c r="B98" t="s">
        <v>183</v>
      </c>
      <c r="C98" t="s">
        <v>201</v>
      </c>
      <c r="D98" t="s">
        <v>121</v>
      </c>
      <c r="E98">
        <v>1</v>
      </c>
      <c r="F98">
        <v>1</v>
      </c>
      <c r="G98" t="s">
        <v>51</v>
      </c>
      <c r="H98" t="s">
        <v>52</v>
      </c>
      <c r="I98">
        <v>8.4700000000000001E-3</v>
      </c>
      <c r="J98">
        <v>9.7299999999999998E-2</v>
      </c>
      <c r="K98">
        <v>-45.6</v>
      </c>
      <c r="L98" t="s">
        <v>53</v>
      </c>
      <c r="M98" t="s">
        <v>54</v>
      </c>
      <c r="N98">
        <v>2.01E-2</v>
      </c>
      <c r="O98">
        <v>0.41699999999999998</v>
      </c>
      <c r="P98">
        <v>-34.6</v>
      </c>
      <c r="R98" s="4">
        <v>1</v>
      </c>
      <c r="S98" s="4">
        <v>1</v>
      </c>
      <c r="T98" s="4"/>
      <c r="U98" s="4">
        <f t="shared" si="19"/>
        <v>-45.6</v>
      </c>
      <c r="V98" s="4">
        <f t="shared" si="17"/>
        <v>-45.6</v>
      </c>
      <c r="W98" s="4">
        <f t="shared" si="15"/>
        <v>-45.6</v>
      </c>
      <c r="X98" s="4"/>
      <c r="Y98" s="4"/>
      <c r="AD98" s="4">
        <v>1</v>
      </c>
      <c r="AE98" s="4"/>
      <c r="AF98" s="4">
        <f t="shared" si="20"/>
        <v>-34.6</v>
      </c>
      <c r="AG98" s="4">
        <f t="shared" si="18"/>
        <v>-34.6</v>
      </c>
      <c r="AH98" s="4">
        <f t="shared" si="22"/>
        <v>-34.6</v>
      </c>
      <c r="AI98" s="4"/>
      <c r="AJ98" s="4"/>
      <c r="AO98" s="4"/>
      <c r="AP98" s="4"/>
      <c r="AQ98" s="4"/>
    </row>
    <row r="99" spans="1:70" x14ac:dyDescent="0.3">
      <c r="A99" s="1">
        <v>45357</v>
      </c>
      <c r="B99" t="s">
        <v>183</v>
      </c>
      <c r="C99" t="s">
        <v>226</v>
      </c>
      <c r="D99">
        <v>71</v>
      </c>
      <c r="E99">
        <v>1</v>
      </c>
      <c r="F99">
        <v>1</v>
      </c>
      <c r="G99" t="s">
        <v>51</v>
      </c>
      <c r="H99" t="s">
        <v>52</v>
      </c>
      <c r="I99">
        <v>0.104</v>
      </c>
      <c r="J99">
        <v>1.93</v>
      </c>
      <c r="K99">
        <v>12.7</v>
      </c>
      <c r="L99" t="s">
        <v>53</v>
      </c>
      <c r="M99" t="s">
        <v>54</v>
      </c>
      <c r="N99">
        <v>0.19500000000000001</v>
      </c>
      <c r="O99">
        <v>3.31</v>
      </c>
      <c r="P99">
        <v>162</v>
      </c>
      <c r="R99" s="4">
        <v>1</v>
      </c>
      <c r="S99" s="4">
        <v>1</v>
      </c>
      <c r="T99" s="4"/>
      <c r="U99" s="4">
        <f t="shared" si="19"/>
        <v>12.7</v>
      </c>
      <c r="V99" s="4">
        <f t="shared" si="17"/>
        <v>12.7</v>
      </c>
      <c r="W99" s="4">
        <f t="shared" si="15"/>
        <v>12.7</v>
      </c>
      <c r="X99" s="4"/>
      <c r="Y99" s="4"/>
      <c r="AD99" s="4">
        <v>1</v>
      </c>
      <c r="AE99" s="4"/>
      <c r="AF99" s="4">
        <f t="shared" si="20"/>
        <v>162</v>
      </c>
      <c r="AG99" s="4">
        <f t="shared" si="18"/>
        <v>162</v>
      </c>
      <c r="AH99" s="4">
        <f t="shared" si="22"/>
        <v>162</v>
      </c>
      <c r="AI99" s="4"/>
      <c r="AJ99" s="4"/>
      <c r="AO99" s="4"/>
      <c r="AP99" s="4"/>
      <c r="AQ99" s="4"/>
    </row>
    <row r="100" spans="1:70" x14ac:dyDescent="0.3">
      <c r="A100" s="1">
        <v>45357</v>
      </c>
      <c r="B100" t="s">
        <v>183</v>
      </c>
      <c r="C100" t="s">
        <v>227</v>
      </c>
      <c r="D100">
        <v>72</v>
      </c>
      <c r="E100">
        <v>1</v>
      </c>
      <c r="F100">
        <v>1</v>
      </c>
      <c r="G100" t="s">
        <v>51</v>
      </c>
      <c r="H100" t="s">
        <v>52</v>
      </c>
      <c r="I100">
        <v>0.125</v>
      </c>
      <c r="J100">
        <v>2.31</v>
      </c>
      <c r="K100">
        <v>24.5</v>
      </c>
      <c r="L100" t="s">
        <v>53</v>
      </c>
      <c r="M100" t="s">
        <v>54</v>
      </c>
      <c r="N100">
        <v>0.254</v>
      </c>
      <c r="O100">
        <v>4.42</v>
      </c>
      <c r="P100">
        <v>238</v>
      </c>
      <c r="R100" s="4">
        <v>1</v>
      </c>
      <c r="S100" s="4">
        <v>1</v>
      </c>
      <c r="T100" s="4"/>
      <c r="U100" s="4">
        <f t="shared" si="19"/>
        <v>24.5</v>
      </c>
      <c r="V100" s="4">
        <f t="shared" si="17"/>
        <v>24.5</v>
      </c>
      <c r="W100" s="4">
        <f t="shared" si="15"/>
        <v>24.5</v>
      </c>
      <c r="X100" s="4"/>
      <c r="Y100" s="4"/>
      <c r="AB100" s="4"/>
      <c r="AC100" s="4"/>
      <c r="AD100" s="4">
        <v>1</v>
      </c>
      <c r="AE100" s="4"/>
      <c r="AF100" s="4">
        <f t="shared" si="20"/>
        <v>238</v>
      </c>
      <c r="AG100" s="4">
        <f t="shared" si="18"/>
        <v>238</v>
      </c>
      <c r="AH100" s="4">
        <f t="shared" si="22"/>
        <v>238</v>
      </c>
      <c r="AI100" s="4"/>
      <c r="AJ100" s="4"/>
      <c r="AM100" s="4"/>
      <c r="AN100" s="4"/>
      <c r="AO100" s="4"/>
      <c r="AP100" s="4"/>
      <c r="AQ100" s="4"/>
    </row>
    <row r="101" spans="1:70" x14ac:dyDescent="0.3">
      <c r="A101" s="1">
        <v>45357</v>
      </c>
      <c r="B101" t="s">
        <v>183</v>
      </c>
      <c r="C101" t="s">
        <v>228</v>
      </c>
      <c r="D101">
        <v>73</v>
      </c>
      <c r="E101">
        <v>1</v>
      </c>
      <c r="F101">
        <v>1</v>
      </c>
      <c r="G101" t="s">
        <v>51</v>
      </c>
      <c r="H101" t="s">
        <v>52</v>
      </c>
      <c r="I101">
        <v>0.112</v>
      </c>
      <c r="J101">
        <v>2.0499999999999998</v>
      </c>
      <c r="K101">
        <v>16.399999999999999</v>
      </c>
      <c r="L101" t="s">
        <v>53</v>
      </c>
      <c r="M101" t="s">
        <v>54</v>
      </c>
      <c r="N101">
        <v>0.26500000000000001</v>
      </c>
      <c r="O101">
        <v>4.5599999999999996</v>
      </c>
      <c r="P101">
        <v>248</v>
      </c>
      <c r="R101" s="4">
        <v>1</v>
      </c>
      <c r="S101" s="4">
        <v>1</v>
      </c>
      <c r="T101" s="4"/>
      <c r="U101" s="4">
        <f t="shared" si="19"/>
        <v>16.399999999999999</v>
      </c>
      <c r="V101" s="4">
        <f t="shared" si="17"/>
        <v>16.399999999999999</v>
      </c>
      <c r="W101" s="4">
        <f t="shared" si="15"/>
        <v>16.399999999999999</v>
      </c>
      <c r="X101" s="4"/>
      <c r="Y101" s="4"/>
      <c r="Z101" s="4"/>
      <c r="AA101" s="4"/>
      <c r="AB101" s="4"/>
      <c r="AC101" s="4"/>
      <c r="AD101" s="4">
        <v>1</v>
      </c>
      <c r="AE101" s="4"/>
      <c r="AF101" s="4">
        <f t="shared" si="20"/>
        <v>248</v>
      </c>
      <c r="AG101" s="4">
        <f t="shared" si="18"/>
        <v>248</v>
      </c>
      <c r="AH101" s="4">
        <f t="shared" si="22"/>
        <v>248</v>
      </c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70" x14ac:dyDescent="0.3">
      <c r="A102" s="1">
        <v>45357</v>
      </c>
      <c r="B102" t="s">
        <v>183</v>
      </c>
      <c r="C102" t="s">
        <v>229</v>
      </c>
      <c r="D102">
        <v>74</v>
      </c>
      <c r="E102">
        <v>1</v>
      </c>
      <c r="F102">
        <v>1</v>
      </c>
      <c r="G102" t="s">
        <v>51</v>
      </c>
      <c r="H102" t="s">
        <v>52</v>
      </c>
      <c r="I102">
        <v>0.13100000000000001</v>
      </c>
      <c r="J102">
        <v>2.37</v>
      </c>
      <c r="K102">
        <v>26.4</v>
      </c>
      <c r="L102" t="s">
        <v>53</v>
      </c>
      <c r="M102" t="s">
        <v>54</v>
      </c>
      <c r="N102">
        <v>0.30299999999999999</v>
      </c>
      <c r="O102">
        <v>5.04</v>
      </c>
      <c r="P102">
        <v>280</v>
      </c>
      <c r="R102" s="4">
        <v>1</v>
      </c>
      <c r="S102" s="4">
        <v>1</v>
      </c>
      <c r="T102" s="4"/>
      <c r="U102" s="4">
        <f t="shared" si="19"/>
        <v>26.4</v>
      </c>
      <c r="V102" s="4">
        <f t="shared" si="17"/>
        <v>26.4</v>
      </c>
      <c r="W102" s="4">
        <f t="shared" si="15"/>
        <v>26.4</v>
      </c>
      <c r="X102" s="4"/>
      <c r="Y102" s="4"/>
      <c r="AB102" s="4"/>
      <c r="AC102" s="4"/>
      <c r="AD102" s="4">
        <v>1</v>
      </c>
      <c r="AE102" s="4"/>
      <c r="AF102" s="4">
        <f t="shared" si="20"/>
        <v>280</v>
      </c>
      <c r="AG102" s="4">
        <f t="shared" si="18"/>
        <v>280</v>
      </c>
      <c r="AH102" s="4">
        <f t="shared" si="22"/>
        <v>280</v>
      </c>
      <c r="AI102" s="4"/>
      <c r="AJ102" s="4"/>
      <c r="AM102" s="4"/>
      <c r="AN102" s="4"/>
      <c r="AO102" s="4"/>
      <c r="AP102" s="4"/>
      <c r="AQ102" s="4"/>
    </row>
    <row r="103" spans="1:70" x14ac:dyDescent="0.3">
      <c r="A103" s="1">
        <v>45357</v>
      </c>
      <c r="B103" t="s">
        <v>183</v>
      </c>
      <c r="C103" t="s">
        <v>230</v>
      </c>
      <c r="D103">
        <v>75</v>
      </c>
      <c r="E103">
        <v>1</v>
      </c>
      <c r="F103">
        <v>1</v>
      </c>
      <c r="G103" t="s">
        <v>51</v>
      </c>
      <c r="H103" t="s">
        <v>52</v>
      </c>
      <c r="I103">
        <v>0.107</v>
      </c>
      <c r="J103">
        <v>1.97</v>
      </c>
      <c r="K103">
        <v>14.1</v>
      </c>
      <c r="L103" t="s">
        <v>53</v>
      </c>
      <c r="M103" t="s">
        <v>54</v>
      </c>
      <c r="N103">
        <v>0.222</v>
      </c>
      <c r="O103">
        <v>3.78</v>
      </c>
      <c r="P103">
        <v>194</v>
      </c>
      <c r="R103" s="4">
        <v>1</v>
      </c>
      <c r="S103" s="4">
        <v>1</v>
      </c>
      <c r="T103" s="4"/>
      <c r="U103" s="4">
        <f t="shared" si="19"/>
        <v>14.1</v>
      </c>
      <c r="V103" s="4">
        <f t="shared" si="17"/>
        <v>14.1</v>
      </c>
      <c r="W103" s="4">
        <f t="shared" si="15"/>
        <v>14.1</v>
      </c>
      <c r="AD103" s="4">
        <v>1</v>
      </c>
      <c r="AE103" s="4"/>
      <c r="AF103" s="4">
        <f t="shared" si="20"/>
        <v>194</v>
      </c>
      <c r="AG103" s="4">
        <f t="shared" si="18"/>
        <v>194</v>
      </c>
      <c r="AH103" s="4">
        <f t="shared" si="22"/>
        <v>194</v>
      </c>
      <c r="AO103" s="4"/>
      <c r="AP103" s="4"/>
      <c r="AQ103" s="4"/>
    </row>
    <row r="104" spans="1:70" x14ac:dyDescent="0.3">
      <c r="A104" s="1">
        <v>45357</v>
      </c>
      <c r="B104" t="s">
        <v>183</v>
      </c>
      <c r="C104" t="s">
        <v>231</v>
      </c>
      <c r="D104">
        <v>76</v>
      </c>
      <c r="E104">
        <v>1</v>
      </c>
      <c r="F104">
        <v>1</v>
      </c>
      <c r="G104" t="s">
        <v>51</v>
      </c>
      <c r="H104" t="s">
        <v>52</v>
      </c>
      <c r="I104">
        <v>9.5500000000000002E-2</v>
      </c>
      <c r="J104">
        <v>1.78</v>
      </c>
      <c r="K104">
        <v>8.19</v>
      </c>
      <c r="L104" t="s">
        <v>53</v>
      </c>
      <c r="M104" t="s">
        <v>54</v>
      </c>
      <c r="N104">
        <v>0.121</v>
      </c>
      <c r="O104">
        <v>2.0499999999999998</v>
      </c>
      <c r="P104">
        <v>76.3</v>
      </c>
      <c r="Q104" s="4"/>
      <c r="R104" s="4">
        <v>1</v>
      </c>
      <c r="S104" s="4">
        <v>1</v>
      </c>
      <c r="T104" s="4"/>
      <c r="U104" s="4">
        <f t="shared" si="19"/>
        <v>8.19</v>
      </c>
      <c r="V104" s="4">
        <f t="shared" si="17"/>
        <v>8.19</v>
      </c>
      <c r="W104" s="4">
        <f t="shared" si="15"/>
        <v>8.19</v>
      </c>
      <c r="X104" s="4"/>
      <c r="Y104" s="4"/>
      <c r="AD104" s="4">
        <v>1</v>
      </c>
      <c r="AE104" s="4"/>
      <c r="AF104" s="4">
        <f t="shared" si="20"/>
        <v>76.3</v>
      </c>
      <c r="AG104" s="4">
        <f t="shared" si="18"/>
        <v>76.3</v>
      </c>
      <c r="AH104" s="4">
        <f t="shared" si="22"/>
        <v>76.3</v>
      </c>
      <c r="AI104" s="4"/>
      <c r="AJ104" s="4"/>
      <c r="AO104" s="4"/>
      <c r="AP104" s="4"/>
      <c r="AQ104" s="4"/>
    </row>
    <row r="105" spans="1:70" x14ac:dyDescent="0.3">
      <c r="A105" s="1">
        <v>45357</v>
      </c>
      <c r="B105" t="s">
        <v>183</v>
      </c>
      <c r="C105" t="s">
        <v>232</v>
      </c>
      <c r="D105">
        <v>77</v>
      </c>
      <c r="E105">
        <v>1</v>
      </c>
      <c r="F105">
        <v>1</v>
      </c>
      <c r="G105" t="s">
        <v>51</v>
      </c>
      <c r="H105" t="s">
        <v>52</v>
      </c>
      <c r="I105">
        <v>0.16</v>
      </c>
      <c r="J105">
        <v>2.89</v>
      </c>
      <c r="K105">
        <v>42.4</v>
      </c>
      <c r="L105" t="s">
        <v>53</v>
      </c>
      <c r="M105" t="s">
        <v>54</v>
      </c>
      <c r="N105">
        <v>0.23799999999999999</v>
      </c>
      <c r="O105">
        <v>3.76</v>
      </c>
      <c r="P105">
        <v>193</v>
      </c>
      <c r="R105" s="4">
        <v>1</v>
      </c>
      <c r="S105" s="4">
        <v>1</v>
      </c>
      <c r="U105" s="4">
        <f t="shared" si="19"/>
        <v>42.4</v>
      </c>
      <c r="V105" s="4">
        <f t="shared" si="17"/>
        <v>42.4</v>
      </c>
      <c r="W105" s="4">
        <f t="shared" si="15"/>
        <v>42.4</v>
      </c>
      <c r="X105" s="4"/>
      <c r="Y105" s="4"/>
      <c r="AD105" s="4">
        <v>1</v>
      </c>
      <c r="AE105" s="4"/>
      <c r="AF105" s="4">
        <f t="shared" si="20"/>
        <v>193</v>
      </c>
      <c r="AG105" s="4">
        <f t="shared" si="18"/>
        <v>193</v>
      </c>
      <c r="AH105" s="4">
        <f t="shared" si="22"/>
        <v>193</v>
      </c>
      <c r="AI105" s="4"/>
      <c r="AJ105" s="4"/>
      <c r="AO105" s="4"/>
      <c r="AP105" s="4"/>
      <c r="AQ105" s="4"/>
    </row>
    <row r="106" spans="1:70" x14ac:dyDescent="0.3">
      <c r="A106" s="1">
        <v>45357</v>
      </c>
      <c r="B106" t="s">
        <v>183</v>
      </c>
      <c r="C106" t="s">
        <v>233</v>
      </c>
      <c r="D106">
        <v>78</v>
      </c>
      <c r="E106">
        <v>1</v>
      </c>
      <c r="F106">
        <v>1</v>
      </c>
      <c r="G106" t="s">
        <v>51</v>
      </c>
      <c r="H106" t="s">
        <v>52</v>
      </c>
      <c r="I106">
        <v>0.13300000000000001</v>
      </c>
      <c r="J106">
        <v>2.4700000000000002</v>
      </c>
      <c r="K106">
        <v>29.5</v>
      </c>
      <c r="L106" t="s">
        <v>53</v>
      </c>
      <c r="M106" t="s">
        <v>54</v>
      </c>
      <c r="N106">
        <v>0.32100000000000001</v>
      </c>
      <c r="O106">
        <v>4.92</v>
      </c>
      <c r="P106">
        <v>272</v>
      </c>
      <c r="Q106" s="4"/>
      <c r="R106" s="4">
        <v>1</v>
      </c>
      <c r="S106" s="4">
        <v>1</v>
      </c>
      <c r="T106" s="4"/>
      <c r="U106" s="4">
        <f t="shared" si="19"/>
        <v>29.5</v>
      </c>
      <c r="V106" s="4">
        <f t="shared" si="17"/>
        <v>29.5</v>
      </c>
      <c r="W106" s="4">
        <f t="shared" ref="W106:W169" si="24">IF(R106=1,U106,(V106*R106))</f>
        <v>29.5</v>
      </c>
      <c r="X106" s="4"/>
      <c r="Y106" s="4"/>
      <c r="AD106" s="4">
        <v>1</v>
      </c>
      <c r="AE106" s="4"/>
      <c r="AF106" s="4">
        <f t="shared" si="20"/>
        <v>272</v>
      </c>
      <c r="AG106" s="4">
        <f t="shared" si="18"/>
        <v>272</v>
      </c>
      <c r="AH106" s="4">
        <f t="shared" si="22"/>
        <v>272</v>
      </c>
      <c r="AI106" s="4"/>
      <c r="AJ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</row>
    <row r="107" spans="1:70" x14ac:dyDescent="0.3">
      <c r="A107" s="1">
        <v>45357</v>
      </c>
      <c r="B107" t="s">
        <v>183</v>
      </c>
      <c r="C107" t="s">
        <v>234</v>
      </c>
      <c r="D107">
        <v>79</v>
      </c>
      <c r="E107">
        <v>1</v>
      </c>
      <c r="F107">
        <v>1</v>
      </c>
      <c r="G107" t="s">
        <v>51</v>
      </c>
      <c r="H107" t="s">
        <v>52</v>
      </c>
      <c r="I107">
        <v>0.108</v>
      </c>
      <c r="J107">
        <v>1.99</v>
      </c>
      <c r="K107">
        <v>14.5</v>
      </c>
      <c r="L107" t="s">
        <v>53</v>
      </c>
      <c r="M107" t="s">
        <v>54</v>
      </c>
      <c r="N107">
        <v>0.24099999999999999</v>
      </c>
      <c r="O107">
        <v>3.87</v>
      </c>
      <c r="P107">
        <v>200</v>
      </c>
      <c r="Q107" s="4"/>
      <c r="R107" s="4">
        <v>1</v>
      </c>
      <c r="S107" s="4">
        <v>1</v>
      </c>
      <c r="T107" s="4"/>
      <c r="U107" s="4">
        <f t="shared" si="19"/>
        <v>14.5</v>
      </c>
      <c r="V107" s="4">
        <f t="shared" si="17"/>
        <v>14.5</v>
      </c>
      <c r="W107" s="4">
        <f t="shared" si="24"/>
        <v>14.5</v>
      </c>
      <c r="AD107" s="4">
        <v>1</v>
      </c>
      <c r="AE107" s="4"/>
      <c r="AF107" s="4">
        <f t="shared" si="20"/>
        <v>200</v>
      </c>
      <c r="AG107" s="4">
        <f t="shared" si="18"/>
        <v>200</v>
      </c>
      <c r="AH107" s="4">
        <f t="shared" si="22"/>
        <v>200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</row>
    <row r="108" spans="1:70" x14ac:dyDescent="0.3">
      <c r="A108" s="1">
        <v>45357</v>
      </c>
      <c r="B108" t="s">
        <v>183</v>
      </c>
      <c r="C108" t="s">
        <v>235</v>
      </c>
      <c r="D108">
        <v>80</v>
      </c>
      <c r="E108">
        <v>1</v>
      </c>
      <c r="F108">
        <v>1</v>
      </c>
      <c r="G108" t="s">
        <v>51</v>
      </c>
      <c r="H108" t="s">
        <v>52</v>
      </c>
      <c r="I108">
        <v>0.17499999999999999</v>
      </c>
      <c r="J108">
        <v>3.15</v>
      </c>
      <c r="K108">
        <v>50.3</v>
      </c>
      <c r="L108" t="s">
        <v>53</v>
      </c>
      <c r="M108" t="s">
        <v>54</v>
      </c>
      <c r="N108">
        <v>0.28999999999999998</v>
      </c>
      <c r="O108">
        <v>4.7300000000000004</v>
      </c>
      <c r="P108">
        <v>259</v>
      </c>
      <c r="R108" s="4">
        <v>1</v>
      </c>
      <c r="S108" s="4">
        <v>1</v>
      </c>
      <c r="T108" s="4"/>
      <c r="U108" s="4">
        <f t="shared" si="19"/>
        <v>50.3</v>
      </c>
      <c r="V108" s="4">
        <f t="shared" si="17"/>
        <v>50.3</v>
      </c>
      <c r="W108" s="4">
        <f t="shared" si="24"/>
        <v>50.3</v>
      </c>
      <c r="X108" s="4"/>
      <c r="Y108" s="4"/>
      <c r="AB108" s="4"/>
      <c r="AC108" s="4"/>
      <c r="AD108" s="4">
        <v>1</v>
      </c>
      <c r="AE108" s="4"/>
      <c r="AF108" s="4">
        <f t="shared" si="20"/>
        <v>259</v>
      </c>
      <c r="AG108" s="4">
        <f t="shared" si="18"/>
        <v>259</v>
      </c>
      <c r="AH108" s="4">
        <f t="shared" si="22"/>
        <v>259</v>
      </c>
      <c r="AI108" s="4"/>
      <c r="AJ108" s="4"/>
      <c r="AM108" s="4"/>
      <c r="AN108" s="4"/>
      <c r="AO108" s="4"/>
      <c r="AP108" s="4"/>
      <c r="AQ108" s="4"/>
    </row>
    <row r="109" spans="1:70" x14ac:dyDescent="0.3">
      <c r="A109" s="1">
        <v>45357</v>
      </c>
      <c r="B109" t="s">
        <v>183</v>
      </c>
      <c r="C109" t="s">
        <v>236</v>
      </c>
      <c r="D109">
        <v>81</v>
      </c>
      <c r="E109">
        <v>1</v>
      </c>
      <c r="F109">
        <v>1</v>
      </c>
      <c r="G109" t="s">
        <v>51</v>
      </c>
      <c r="H109" t="s">
        <v>52</v>
      </c>
      <c r="I109">
        <v>0.109</v>
      </c>
      <c r="J109">
        <v>2.0099999999999998</v>
      </c>
      <c r="K109">
        <v>15.3</v>
      </c>
      <c r="L109" t="s">
        <v>53</v>
      </c>
      <c r="M109" t="s">
        <v>54</v>
      </c>
      <c r="N109">
        <v>0.20699999999999999</v>
      </c>
      <c r="O109">
        <v>3.53</v>
      </c>
      <c r="P109">
        <v>177</v>
      </c>
      <c r="R109" s="4">
        <v>1</v>
      </c>
      <c r="S109" s="4">
        <v>1</v>
      </c>
      <c r="T109" s="4"/>
      <c r="U109" s="4">
        <f t="shared" si="19"/>
        <v>15.3</v>
      </c>
      <c r="V109" s="4">
        <f t="shared" si="17"/>
        <v>15.3</v>
      </c>
      <c r="W109" s="4">
        <f t="shared" si="24"/>
        <v>15.3</v>
      </c>
      <c r="X109" s="4"/>
      <c r="Y109" s="4"/>
      <c r="Z109">
        <f>ABS(100*ABS(W109-W103)/AVERAGE(W109,W103))</f>
        <v>8.1632653061224563</v>
      </c>
      <c r="AA109" t="str">
        <f>IF(W109&gt;10, (IF((AND(Z109&gt;=0,Z109&lt;=20)=TRUE),"PASS","FAIL")),(IF((AND(Z109&gt;=0,Z109&lt;=50)=TRUE),"PASS","FAIL")))</f>
        <v>PASS</v>
      </c>
      <c r="AB109" s="4"/>
      <c r="AC109" s="4"/>
      <c r="AD109" s="4">
        <v>1</v>
      </c>
      <c r="AE109" s="4"/>
      <c r="AF109" s="4">
        <f t="shared" si="20"/>
        <v>177</v>
      </c>
      <c r="AG109" s="4">
        <f t="shared" si="18"/>
        <v>177</v>
      </c>
      <c r="AH109" s="4">
        <f t="shared" si="22"/>
        <v>177</v>
      </c>
      <c r="AI109" s="4"/>
      <c r="AJ109" s="4"/>
      <c r="AK109">
        <f>ABS(100*ABS(AH109-AH103)/AVERAGE(AH109,AH103))</f>
        <v>9.1644204851752029</v>
      </c>
      <c r="AL109" t="str">
        <f>IF(AH109&gt;10, (IF((AND(AK109&gt;=0,AK109&lt;=20)=TRUE),"PASS","FAIL")),(IF((AND(AK109&gt;=0,AK109&lt;=50)=TRUE),"PASS","FAIL")))</f>
        <v>PASS</v>
      </c>
      <c r="AM109" s="4"/>
      <c r="AN109" s="4"/>
      <c r="AO109" s="4"/>
      <c r="AP109" s="4"/>
      <c r="AQ109" s="4"/>
    </row>
    <row r="110" spans="1:70" x14ac:dyDescent="0.3">
      <c r="A110" s="1">
        <v>45357</v>
      </c>
      <c r="B110" t="s">
        <v>183</v>
      </c>
      <c r="C110" t="s">
        <v>237</v>
      </c>
      <c r="D110">
        <v>82</v>
      </c>
      <c r="E110">
        <v>1</v>
      </c>
      <c r="F110">
        <v>1</v>
      </c>
      <c r="G110" t="s">
        <v>51</v>
      </c>
      <c r="H110" t="s">
        <v>52</v>
      </c>
      <c r="I110">
        <v>0.217</v>
      </c>
      <c r="J110">
        <v>3.87</v>
      </c>
      <c r="K110">
        <v>72</v>
      </c>
      <c r="L110" t="s">
        <v>53</v>
      </c>
      <c r="M110" t="s">
        <v>54</v>
      </c>
      <c r="N110">
        <v>0.49099999999999999</v>
      </c>
      <c r="O110">
        <v>7.83</v>
      </c>
      <c r="P110">
        <v>472</v>
      </c>
      <c r="R110" s="4">
        <v>1</v>
      </c>
      <c r="S110" s="4">
        <v>1</v>
      </c>
      <c r="T110" s="4"/>
      <c r="U110" s="4">
        <f t="shared" si="19"/>
        <v>72</v>
      </c>
      <c r="V110" s="4">
        <f t="shared" si="17"/>
        <v>72</v>
      </c>
      <c r="W110" s="4">
        <f t="shared" si="24"/>
        <v>72</v>
      </c>
      <c r="X110" s="4"/>
      <c r="Y110" s="4"/>
      <c r="Z110" s="4"/>
      <c r="AA110" s="4"/>
      <c r="AB110">
        <f>100*((W110*10250)-(W108*10000))/(1000*250)</f>
        <v>94</v>
      </c>
      <c r="AC110" t="str">
        <f>IF(W110&gt;30, (IF((AND(AB110&gt;=80,AB110&lt;=120)=TRUE),"PASS","FAIL")),(IF((AND(AB110&gt;=50,AB110&lt;=150)=TRUE),"PASS","FAIL")))</f>
        <v>PASS</v>
      </c>
      <c r="AD110" s="4">
        <v>1</v>
      </c>
      <c r="AE110" s="4"/>
      <c r="AF110" s="4">
        <f t="shared" si="20"/>
        <v>472</v>
      </c>
      <c r="AG110" s="4">
        <f t="shared" si="18"/>
        <v>472</v>
      </c>
      <c r="AH110" s="4">
        <f t="shared" si="22"/>
        <v>472</v>
      </c>
      <c r="AI110" s="4"/>
      <c r="AJ110" s="4"/>
      <c r="AK110" s="4"/>
      <c r="AL110" s="4"/>
      <c r="AM110">
        <f>100*((AH110*10250)-(AH108*10000))/(10000*250)</f>
        <v>89.92</v>
      </c>
      <c r="AN110" t="str">
        <f>IF(AH110&gt;30, (IF((AND(AM110&gt;=80,AM110&lt;=120)=TRUE),"PASS","FAIL")),(IF((AND(AM110&gt;=50,AM110&lt;=150)=TRUE),"PASS","FAIL")))</f>
        <v>PASS</v>
      </c>
      <c r="AO110" s="4"/>
      <c r="AP110" s="4"/>
      <c r="AQ110" s="4"/>
    </row>
    <row r="111" spans="1:70" x14ac:dyDescent="0.3">
      <c r="A111" s="1">
        <v>45357</v>
      </c>
      <c r="B111" t="s">
        <v>183</v>
      </c>
      <c r="C111" t="s">
        <v>199</v>
      </c>
      <c r="D111">
        <v>7</v>
      </c>
      <c r="E111">
        <v>1</v>
      </c>
      <c r="F111">
        <v>1</v>
      </c>
      <c r="G111" t="s">
        <v>51</v>
      </c>
      <c r="H111" t="s">
        <v>52</v>
      </c>
      <c r="I111">
        <v>0.13300000000000001</v>
      </c>
      <c r="J111">
        <v>2.4300000000000002</v>
      </c>
      <c r="K111">
        <v>28.3</v>
      </c>
      <c r="L111" t="s">
        <v>53</v>
      </c>
      <c r="M111" t="s">
        <v>54</v>
      </c>
      <c r="N111">
        <v>0.28199999999999997</v>
      </c>
      <c r="O111">
        <v>4.55</v>
      </c>
      <c r="P111">
        <v>247</v>
      </c>
      <c r="R111" s="4">
        <v>1</v>
      </c>
      <c r="S111" s="4">
        <v>1</v>
      </c>
      <c r="T111" s="4"/>
      <c r="U111" s="4">
        <f t="shared" si="19"/>
        <v>28.3</v>
      </c>
      <c r="V111" s="4">
        <f t="shared" si="17"/>
        <v>28.3</v>
      </c>
      <c r="W111" s="4">
        <f t="shared" si="24"/>
        <v>28.3</v>
      </c>
      <c r="X111" s="4">
        <f>100*(W111-25)/25</f>
        <v>13.200000000000003</v>
      </c>
      <c r="Y111" s="4" t="str">
        <f t="shared" ref="Y111" si="25">IF((ABS(X111))&lt;=20,"PASS","FAIL")</f>
        <v>PASS</v>
      </c>
      <c r="AD111" s="4">
        <v>1</v>
      </c>
      <c r="AE111" s="4"/>
      <c r="AF111" s="4">
        <f t="shared" si="20"/>
        <v>247</v>
      </c>
      <c r="AG111" s="4">
        <f t="shared" si="18"/>
        <v>247</v>
      </c>
      <c r="AH111" s="4">
        <f t="shared" si="22"/>
        <v>247</v>
      </c>
      <c r="AI111" s="4">
        <f>100*(AH111-250)/250</f>
        <v>-1.2</v>
      </c>
      <c r="AJ111" s="4" t="str">
        <f>IF((ABS(AI111))&lt;=20,"PASS","FAIL")</f>
        <v>PASS</v>
      </c>
      <c r="AO111" s="4"/>
      <c r="AP111" s="4"/>
      <c r="AQ111" s="4"/>
    </row>
    <row r="112" spans="1:70" x14ac:dyDescent="0.3">
      <c r="A112" s="1">
        <v>45357</v>
      </c>
      <c r="B112" t="s">
        <v>183</v>
      </c>
      <c r="C112" t="s">
        <v>200</v>
      </c>
      <c r="D112" t="s">
        <v>11</v>
      </c>
      <c r="E112">
        <v>1</v>
      </c>
      <c r="F112">
        <v>1</v>
      </c>
      <c r="G112" t="s">
        <v>51</v>
      </c>
      <c r="H112" t="s">
        <v>52</v>
      </c>
      <c r="I112">
        <v>0.13700000000000001</v>
      </c>
      <c r="J112">
        <v>1.69</v>
      </c>
      <c r="K112">
        <v>5.13</v>
      </c>
      <c r="L112" t="s">
        <v>53</v>
      </c>
      <c r="M112" t="s">
        <v>54</v>
      </c>
      <c r="N112">
        <v>-1.43E-2</v>
      </c>
      <c r="O112">
        <v>-0.17100000000000001</v>
      </c>
      <c r="P112">
        <v>-74.3</v>
      </c>
      <c r="R112" s="4">
        <v>1</v>
      </c>
      <c r="S112" s="4">
        <v>1</v>
      </c>
      <c r="T112" s="4"/>
      <c r="U112" s="4">
        <f t="shared" si="19"/>
        <v>5.13</v>
      </c>
      <c r="V112" s="4">
        <f t="shared" si="17"/>
        <v>5.13</v>
      </c>
      <c r="W112" s="4">
        <f t="shared" si="24"/>
        <v>5.13</v>
      </c>
      <c r="X112" s="4"/>
      <c r="Y112" s="4"/>
      <c r="AD112" s="4">
        <v>1</v>
      </c>
      <c r="AE112" s="4"/>
      <c r="AF112" s="4">
        <f t="shared" si="20"/>
        <v>-74.3</v>
      </c>
      <c r="AG112" s="4">
        <f t="shared" si="18"/>
        <v>-74.3</v>
      </c>
      <c r="AH112" s="4">
        <f t="shared" si="22"/>
        <v>-74.3</v>
      </c>
      <c r="AI112" s="4"/>
      <c r="AJ112" s="4"/>
      <c r="AO112" s="4"/>
      <c r="AP112" s="4"/>
      <c r="AQ112" s="4"/>
    </row>
    <row r="113" spans="1:70" x14ac:dyDescent="0.3">
      <c r="A113" s="1">
        <v>45357</v>
      </c>
      <c r="B113" t="s">
        <v>183</v>
      </c>
      <c r="C113" t="s">
        <v>201</v>
      </c>
      <c r="D113" t="s">
        <v>121</v>
      </c>
      <c r="E113">
        <v>1</v>
      </c>
      <c r="F113">
        <v>1</v>
      </c>
      <c r="G113" t="s">
        <v>51</v>
      </c>
      <c r="H113" t="s">
        <v>52</v>
      </c>
      <c r="I113">
        <v>1.0699999999999999E-2</v>
      </c>
      <c r="J113">
        <v>0.128</v>
      </c>
      <c r="K113">
        <v>-44.6</v>
      </c>
      <c r="L113" t="s">
        <v>53</v>
      </c>
      <c r="M113" t="s">
        <v>54</v>
      </c>
      <c r="N113">
        <v>-1.3899999999999999E-2</v>
      </c>
      <c r="O113">
        <v>-0.16600000000000001</v>
      </c>
      <c r="P113">
        <v>-74</v>
      </c>
      <c r="R113" s="4">
        <v>1</v>
      </c>
      <c r="S113" s="4">
        <v>1</v>
      </c>
      <c r="T113" s="4"/>
      <c r="U113" s="4">
        <f t="shared" si="19"/>
        <v>-44.6</v>
      </c>
      <c r="V113" s="4">
        <f t="shared" si="17"/>
        <v>-44.6</v>
      </c>
      <c r="W113" s="4">
        <f t="shared" si="24"/>
        <v>-44.6</v>
      </c>
      <c r="X113" s="4"/>
      <c r="Y113" s="4"/>
      <c r="AD113" s="4">
        <v>1</v>
      </c>
      <c r="AE113" s="4"/>
      <c r="AF113" s="4">
        <f t="shared" si="20"/>
        <v>-74</v>
      </c>
      <c r="AG113" s="4">
        <f t="shared" si="18"/>
        <v>-74</v>
      </c>
      <c r="AH113" s="4">
        <f t="shared" si="22"/>
        <v>-74</v>
      </c>
      <c r="AI113" s="4"/>
      <c r="AJ113" s="4"/>
      <c r="AO113" s="4"/>
      <c r="AP113" s="4"/>
      <c r="AQ113" s="4"/>
    </row>
    <row r="114" spans="1:70" x14ac:dyDescent="0.3">
      <c r="A114" s="1">
        <v>45357</v>
      </c>
      <c r="B114" t="s">
        <v>183</v>
      </c>
      <c r="C114" t="s">
        <v>238</v>
      </c>
      <c r="D114">
        <v>83</v>
      </c>
      <c r="E114">
        <v>1</v>
      </c>
      <c r="F114">
        <v>1</v>
      </c>
      <c r="G114" t="s">
        <v>51</v>
      </c>
      <c r="H114" t="s">
        <v>52</v>
      </c>
      <c r="I114">
        <v>0.11700000000000001</v>
      </c>
      <c r="J114">
        <v>2.14</v>
      </c>
      <c r="K114">
        <v>19.2</v>
      </c>
      <c r="L114" t="s">
        <v>53</v>
      </c>
      <c r="M114" t="s">
        <v>54</v>
      </c>
      <c r="N114">
        <v>0.36299999999999999</v>
      </c>
      <c r="O114">
        <v>5.86</v>
      </c>
      <c r="P114">
        <v>336</v>
      </c>
      <c r="R114" s="4">
        <v>1</v>
      </c>
      <c r="S114" s="4">
        <v>1</v>
      </c>
      <c r="T114" s="4"/>
      <c r="U114" s="4">
        <f t="shared" si="19"/>
        <v>19.2</v>
      </c>
      <c r="V114" s="4">
        <f t="shared" si="17"/>
        <v>19.2</v>
      </c>
      <c r="W114" s="4">
        <f t="shared" si="24"/>
        <v>19.2</v>
      </c>
      <c r="X114" s="4"/>
      <c r="Y114" s="4"/>
      <c r="AB114" s="4"/>
      <c r="AC114" s="4"/>
      <c r="AD114" s="4">
        <v>1</v>
      </c>
      <c r="AE114" s="4"/>
      <c r="AF114" s="4">
        <f t="shared" si="20"/>
        <v>336</v>
      </c>
      <c r="AG114" s="4">
        <f t="shared" si="18"/>
        <v>336</v>
      </c>
      <c r="AH114" s="4">
        <f t="shared" si="22"/>
        <v>336</v>
      </c>
      <c r="AI114" s="4"/>
      <c r="AJ114" s="4"/>
      <c r="AM114" s="4"/>
      <c r="AN114" s="4"/>
      <c r="AO114" s="4"/>
      <c r="AP114" s="4"/>
      <c r="AQ114" s="4"/>
    </row>
    <row r="115" spans="1:70" x14ac:dyDescent="0.3">
      <c r="A115" s="1">
        <v>45357</v>
      </c>
      <c r="B115" t="s">
        <v>183</v>
      </c>
      <c r="C115" t="s">
        <v>239</v>
      </c>
      <c r="D115">
        <v>84</v>
      </c>
      <c r="E115">
        <v>1</v>
      </c>
      <c r="F115">
        <v>1</v>
      </c>
      <c r="G115" t="s">
        <v>51</v>
      </c>
      <c r="H115" t="s">
        <v>52</v>
      </c>
      <c r="I115">
        <v>0.128</v>
      </c>
      <c r="J115">
        <v>2.33</v>
      </c>
      <c r="K115">
        <v>25.1</v>
      </c>
      <c r="L115" t="s">
        <v>53</v>
      </c>
      <c r="M115" t="s">
        <v>54</v>
      </c>
      <c r="N115">
        <v>0.46</v>
      </c>
      <c r="O115">
        <v>7.46</v>
      </c>
      <c r="P115">
        <v>447</v>
      </c>
      <c r="R115" s="4">
        <v>1</v>
      </c>
      <c r="S115" s="4">
        <v>1</v>
      </c>
      <c r="T115" s="4"/>
      <c r="U115" s="4">
        <f t="shared" si="19"/>
        <v>25.1</v>
      </c>
      <c r="V115" s="4">
        <f t="shared" si="17"/>
        <v>25.1</v>
      </c>
      <c r="W115" s="4">
        <f t="shared" si="24"/>
        <v>25.1</v>
      </c>
      <c r="X115" s="4"/>
      <c r="Y115" s="4"/>
      <c r="AB115" s="4"/>
      <c r="AC115" s="4"/>
      <c r="AD115" s="4">
        <v>1</v>
      </c>
      <c r="AE115" s="4"/>
      <c r="AF115" s="4">
        <f t="shared" si="20"/>
        <v>447</v>
      </c>
      <c r="AG115" s="4">
        <f t="shared" si="18"/>
        <v>447</v>
      </c>
      <c r="AH115" s="4">
        <f t="shared" si="22"/>
        <v>447</v>
      </c>
      <c r="AI115" s="4"/>
      <c r="AJ115" s="4"/>
      <c r="AM115" s="4"/>
      <c r="AN115" s="4"/>
      <c r="AO115" s="4"/>
      <c r="AP115" s="4"/>
      <c r="AQ115" s="4"/>
    </row>
    <row r="116" spans="1:70" x14ac:dyDescent="0.3">
      <c r="A116" s="1">
        <v>45357</v>
      </c>
      <c r="B116" t="s">
        <v>183</v>
      </c>
      <c r="C116" t="s">
        <v>240</v>
      </c>
      <c r="D116">
        <v>85</v>
      </c>
      <c r="E116">
        <v>1</v>
      </c>
      <c r="F116">
        <v>1</v>
      </c>
      <c r="G116" t="s">
        <v>51</v>
      </c>
      <c r="H116" t="s">
        <v>52</v>
      </c>
      <c r="I116">
        <v>0.247</v>
      </c>
      <c r="J116">
        <v>4.43</v>
      </c>
      <c r="K116">
        <v>88.6</v>
      </c>
      <c r="L116" t="s">
        <v>53</v>
      </c>
      <c r="M116" t="s">
        <v>54</v>
      </c>
      <c r="N116">
        <v>0.42399999999999999</v>
      </c>
      <c r="O116">
        <v>6.75</v>
      </c>
      <c r="P116">
        <v>398</v>
      </c>
      <c r="R116" s="4">
        <v>1</v>
      </c>
      <c r="S116" s="4">
        <v>1</v>
      </c>
      <c r="T116" s="4"/>
      <c r="U116" s="4">
        <f t="shared" si="19"/>
        <v>88.6</v>
      </c>
      <c r="V116" s="4">
        <f t="shared" si="17"/>
        <v>88.6</v>
      </c>
      <c r="W116" s="4">
        <f t="shared" si="24"/>
        <v>88.6</v>
      </c>
      <c r="X116" s="4"/>
      <c r="Y116" s="4"/>
      <c r="AB116" s="4"/>
      <c r="AC116" s="4"/>
      <c r="AD116" s="4">
        <v>1</v>
      </c>
      <c r="AE116" s="4"/>
      <c r="AF116" s="4">
        <f t="shared" si="20"/>
        <v>398</v>
      </c>
      <c r="AG116" s="4">
        <f t="shared" si="18"/>
        <v>398</v>
      </c>
      <c r="AH116" s="4">
        <f t="shared" si="22"/>
        <v>398</v>
      </c>
      <c r="AI116" s="4"/>
      <c r="AJ116" s="4"/>
      <c r="AM116" s="4"/>
      <c r="AN116" s="4"/>
      <c r="AO116" s="4"/>
      <c r="AP116" s="4"/>
      <c r="AQ116" s="4"/>
    </row>
    <row r="117" spans="1:70" x14ac:dyDescent="0.3">
      <c r="A117" s="1">
        <v>45357</v>
      </c>
      <c r="B117" t="s">
        <v>183</v>
      </c>
      <c r="C117" t="s">
        <v>241</v>
      </c>
      <c r="D117">
        <v>86</v>
      </c>
      <c r="E117">
        <v>1</v>
      </c>
      <c r="F117">
        <v>1</v>
      </c>
      <c r="G117" t="s">
        <v>51</v>
      </c>
      <c r="H117" t="s">
        <v>52</v>
      </c>
      <c r="I117">
        <v>0.13</v>
      </c>
      <c r="J117">
        <v>2.36</v>
      </c>
      <c r="K117">
        <v>25.9</v>
      </c>
      <c r="L117" t="s">
        <v>53</v>
      </c>
      <c r="M117" t="s">
        <v>54</v>
      </c>
      <c r="N117">
        <v>0.71699999999999997</v>
      </c>
      <c r="O117">
        <v>11.3</v>
      </c>
      <c r="P117">
        <v>715</v>
      </c>
      <c r="R117" s="4">
        <v>1</v>
      </c>
      <c r="S117" s="4">
        <v>1</v>
      </c>
      <c r="T117" s="4"/>
      <c r="U117" s="4">
        <f t="shared" si="19"/>
        <v>25.9</v>
      </c>
      <c r="V117" s="4">
        <f t="shared" si="17"/>
        <v>25.9</v>
      </c>
      <c r="W117" s="4">
        <f t="shared" si="24"/>
        <v>25.9</v>
      </c>
      <c r="X117" s="4"/>
      <c r="Y117" s="4"/>
      <c r="Z117" s="4"/>
      <c r="AA117" s="4"/>
      <c r="AD117" s="4">
        <v>1</v>
      </c>
      <c r="AE117" s="4"/>
      <c r="AF117" s="4">
        <f t="shared" si="20"/>
        <v>715</v>
      </c>
      <c r="AG117" s="4">
        <f t="shared" si="18"/>
        <v>715</v>
      </c>
      <c r="AH117" s="4">
        <f t="shared" si="22"/>
        <v>715</v>
      </c>
      <c r="AI117" s="4"/>
      <c r="AJ117" s="4"/>
      <c r="AK117" s="4"/>
      <c r="AL117" s="4"/>
      <c r="AO117" s="4"/>
      <c r="AP117" s="4"/>
      <c r="AQ117" s="4"/>
    </row>
    <row r="118" spans="1:70" x14ac:dyDescent="0.3">
      <c r="A118" s="1">
        <v>45357</v>
      </c>
      <c r="B118" t="s">
        <v>183</v>
      </c>
      <c r="C118" t="s">
        <v>242</v>
      </c>
      <c r="D118">
        <v>87</v>
      </c>
      <c r="E118">
        <v>1</v>
      </c>
      <c r="F118">
        <v>1</v>
      </c>
      <c r="G118" t="s">
        <v>51</v>
      </c>
      <c r="H118" t="s">
        <v>52</v>
      </c>
      <c r="I118">
        <v>0.215</v>
      </c>
      <c r="J118">
        <v>3.8</v>
      </c>
      <c r="K118">
        <v>70</v>
      </c>
      <c r="L118" t="s">
        <v>53</v>
      </c>
      <c r="M118" t="s">
        <v>54</v>
      </c>
      <c r="N118">
        <v>0.246</v>
      </c>
      <c r="O118">
        <v>4.07</v>
      </c>
      <c r="P118">
        <v>214</v>
      </c>
      <c r="R118" s="4">
        <v>1</v>
      </c>
      <c r="S118" s="4">
        <v>1</v>
      </c>
      <c r="T118" s="4"/>
      <c r="U118" s="4">
        <f t="shared" si="19"/>
        <v>70</v>
      </c>
      <c r="V118" s="4">
        <f t="shared" si="17"/>
        <v>70</v>
      </c>
      <c r="W118" s="4">
        <f t="shared" si="24"/>
        <v>70</v>
      </c>
      <c r="X118" s="4"/>
      <c r="Y118" s="4"/>
      <c r="AD118" s="4">
        <v>1</v>
      </c>
      <c r="AE118" s="4"/>
      <c r="AF118" s="4">
        <f t="shared" si="20"/>
        <v>214</v>
      </c>
      <c r="AG118" s="4">
        <f t="shared" si="18"/>
        <v>214</v>
      </c>
      <c r="AH118" s="4">
        <f t="shared" si="22"/>
        <v>214</v>
      </c>
      <c r="AI118" s="4"/>
      <c r="AJ118" s="4"/>
      <c r="AO118" s="4"/>
      <c r="AP118" s="4"/>
      <c r="AQ118" s="4"/>
    </row>
    <row r="119" spans="1:70" x14ac:dyDescent="0.3">
      <c r="A119" s="1">
        <v>45357</v>
      </c>
      <c r="B119" t="s">
        <v>183</v>
      </c>
      <c r="C119" t="s">
        <v>243</v>
      </c>
      <c r="D119">
        <v>88</v>
      </c>
      <c r="E119">
        <v>1</v>
      </c>
      <c r="F119">
        <v>1</v>
      </c>
      <c r="G119" t="s">
        <v>51</v>
      </c>
      <c r="H119" t="s">
        <v>52</v>
      </c>
      <c r="I119">
        <v>0.13300000000000001</v>
      </c>
      <c r="J119">
        <v>2.4700000000000002</v>
      </c>
      <c r="K119">
        <v>29.4</v>
      </c>
      <c r="L119" t="s">
        <v>53</v>
      </c>
      <c r="M119" t="s">
        <v>54</v>
      </c>
      <c r="N119">
        <v>0.378</v>
      </c>
      <c r="O119">
        <v>6.12</v>
      </c>
      <c r="P119">
        <v>355</v>
      </c>
      <c r="R119" s="4">
        <v>1</v>
      </c>
      <c r="S119" s="4">
        <v>1</v>
      </c>
      <c r="T119" s="4"/>
      <c r="U119" s="4">
        <f t="shared" si="19"/>
        <v>29.4</v>
      </c>
      <c r="V119" s="4">
        <f t="shared" si="17"/>
        <v>29.4</v>
      </c>
      <c r="W119" s="4">
        <f t="shared" si="24"/>
        <v>29.4</v>
      </c>
      <c r="AD119" s="4">
        <v>1</v>
      </c>
      <c r="AE119" s="4"/>
      <c r="AF119" s="4">
        <f t="shared" si="20"/>
        <v>355</v>
      </c>
      <c r="AG119" s="4">
        <f t="shared" si="18"/>
        <v>355</v>
      </c>
      <c r="AH119" s="4">
        <f t="shared" si="22"/>
        <v>355</v>
      </c>
      <c r="AO119" s="4"/>
      <c r="AP119" s="4"/>
      <c r="AQ119" s="4"/>
    </row>
    <row r="120" spans="1:70" x14ac:dyDescent="0.3">
      <c r="A120" s="1">
        <v>45357</v>
      </c>
      <c r="B120" t="s">
        <v>183</v>
      </c>
      <c r="C120" t="s">
        <v>244</v>
      </c>
      <c r="D120">
        <v>89</v>
      </c>
      <c r="E120">
        <v>1</v>
      </c>
      <c r="F120">
        <v>1</v>
      </c>
      <c r="G120" t="s">
        <v>51</v>
      </c>
      <c r="H120" t="s">
        <v>52</v>
      </c>
      <c r="I120">
        <v>0.17599999999999999</v>
      </c>
      <c r="J120">
        <v>3.16</v>
      </c>
      <c r="K120">
        <v>50.7</v>
      </c>
      <c r="L120" t="s">
        <v>53</v>
      </c>
      <c r="M120" t="s">
        <v>54</v>
      </c>
      <c r="N120">
        <v>0.55600000000000005</v>
      </c>
      <c r="O120">
        <v>8.9700000000000006</v>
      </c>
      <c r="P120">
        <v>551</v>
      </c>
      <c r="Q120" s="4"/>
      <c r="R120" s="4">
        <v>1</v>
      </c>
      <c r="S120" s="4">
        <v>1</v>
      </c>
      <c r="T120" s="4"/>
      <c r="U120" s="4">
        <f t="shared" si="19"/>
        <v>50.7</v>
      </c>
      <c r="V120" s="4">
        <f t="shared" si="17"/>
        <v>50.7</v>
      </c>
      <c r="W120" s="4">
        <f t="shared" si="24"/>
        <v>50.7</v>
      </c>
      <c r="X120" s="4"/>
      <c r="Y120" s="4"/>
      <c r="AD120" s="4">
        <v>1</v>
      </c>
      <c r="AE120" s="4"/>
      <c r="AF120" s="4">
        <f t="shared" si="20"/>
        <v>551</v>
      </c>
      <c r="AG120" s="4">
        <f t="shared" si="18"/>
        <v>551</v>
      </c>
      <c r="AH120" s="4">
        <f t="shared" si="22"/>
        <v>551</v>
      </c>
      <c r="AI120" s="4"/>
      <c r="AJ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</row>
    <row r="121" spans="1:70" x14ac:dyDescent="0.3">
      <c r="A121" s="1">
        <v>45357</v>
      </c>
      <c r="B121" t="s">
        <v>183</v>
      </c>
      <c r="C121" t="s">
        <v>245</v>
      </c>
      <c r="D121">
        <v>90</v>
      </c>
      <c r="E121">
        <v>1</v>
      </c>
      <c r="F121">
        <v>1</v>
      </c>
      <c r="G121" t="s">
        <v>51</v>
      </c>
      <c r="H121" t="s">
        <v>52</v>
      </c>
      <c r="I121">
        <v>0.34799999999999998</v>
      </c>
      <c r="J121">
        <v>6.13</v>
      </c>
      <c r="K121">
        <v>138</v>
      </c>
      <c r="L121" t="s">
        <v>53</v>
      </c>
      <c r="M121" t="s">
        <v>54</v>
      </c>
      <c r="N121">
        <v>0.77300000000000002</v>
      </c>
      <c r="O121">
        <v>12.5</v>
      </c>
      <c r="P121">
        <v>796</v>
      </c>
      <c r="Q121" s="4"/>
      <c r="R121" s="4">
        <v>1</v>
      </c>
      <c r="S121" s="4">
        <v>1</v>
      </c>
      <c r="T121" s="4"/>
      <c r="U121" s="4">
        <f t="shared" si="19"/>
        <v>138</v>
      </c>
      <c r="V121" s="4">
        <f t="shared" si="17"/>
        <v>138</v>
      </c>
      <c r="W121" s="4">
        <f t="shared" si="24"/>
        <v>138</v>
      </c>
      <c r="X121" s="4"/>
      <c r="Y121" s="4"/>
      <c r="AD121" s="4">
        <v>1</v>
      </c>
      <c r="AE121" s="4"/>
      <c r="AF121" s="4">
        <f t="shared" si="20"/>
        <v>796</v>
      </c>
      <c r="AG121" s="4">
        <f t="shared" si="18"/>
        <v>796</v>
      </c>
      <c r="AH121" s="4">
        <f t="shared" si="22"/>
        <v>796</v>
      </c>
      <c r="AI121" s="4"/>
      <c r="AJ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</row>
    <row r="122" spans="1:70" x14ac:dyDescent="0.3">
      <c r="A122" s="1">
        <v>45357</v>
      </c>
      <c r="B122" t="s">
        <v>183</v>
      </c>
      <c r="C122" t="s">
        <v>246</v>
      </c>
      <c r="D122">
        <v>91</v>
      </c>
      <c r="E122">
        <v>1</v>
      </c>
      <c r="F122">
        <v>1</v>
      </c>
      <c r="G122" t="s">
        <v>51</v>
      </c>
      <c r="H122" t="s">
        <v>52</v>
      </c>
      <c r="I122">
        <v>0.128</v>
      </c>
      <c r="J122">
        <v>2.4500000000000002</v>
      </c>
      <c r="K122">
        <v>28.9</v>
      </c>
      <c r="L122" t="s">
        <v>53</v>
      </c>
      <c r="M122" t="s">
        <v>54</v>
      </c>
      <c r="N122">
        <v>0.28399999999999997</v>
      </c>
      <c r="O122">
        <v>4.59</v>
      </c>
      <c r="P122">
        <v>249</v>
      </c>
      <c r="Q122" s="4"/>
      <c r="R122" s="4">
        <v>1</v>
      </c>
      <c r="S122" s="4">
        <v>1</v>
      </c>
      <c r="T122" s="4"/>
      <c r="U122" s="4">
        <f t="shared" si="19"/>
        <v>28.9</v>
      </c>
      <c r="V122" s="4">
        <f t="shared" si="17"/>
        <v>28.9</v>
      </c>
      <c r="W122" s="4">
        <f t="shared" si="24"/>
        <v>28.9</v>
      </c>
      <c r="X122" s="4"/>
      <c r="Y122" s="4"/>
      <c r="AD122" s="4">
        <v>1</v>
      </c>
      <c r="AE122" s="4"/>
      <c r="AF122" s="4">
        <f t="shared" si="20"/>
        <v>249</v>
      </c>
      <c r="AG122" s="4">
        <f t="shared" si="18"/>
        <v>249</v>
      </c>
      <c r="AH122" s="4">
        <f t="shared" si="22"/>
        <v>249</v>
      </c>
      <c r="AI122" s="4"/>
      <c r="AJ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</row>
    <row r="123" spans="1:70" x14ac:dyDescent="0.3">
      <c r="A123" s="1">
        <v>45357</v>
      </c>
      <c r="B123" t="s">
        <v>183</v>
      </c>
      <c r="C123" t="s">
        <v>247</v>
      </c>
      <c r="D123">
        <v>92</v>
      </c>
      <c r="E123">
        <v>1</v>
      </c>
      <c r="F123">
        <v>1</v>
      </c>
      <c r="G123" t="s">
        <v>51</v>
      </c>
      <c r="H123" t="s">
        <v>52</v>
      </c>
      <c r="I123">
        <v>0.13100000000000001</v>
      </c>
      <c r="J123">
        <v>2.38</v>
      </c>
      <c r="K123">
        <v>26.7</v>
      </c>
      <c r="L123" t="s">
        <v>53</v>
      </c>
      <c r="M123" t="s">
        <v>54</v>
      </c>
      <c r="N123">
        <v>0.34</v>
      </c>
      <c r="O123">
        <v>5.42</v>
      </c>
      <c r="P123">
        <v>307</v>
      </c>
      <c r="Q123" s="4"/>
      <c r="R123" s="4">
        <v>1</v>
      </c>
      <c r="S123" s="4">
        <v>1</v>
      </c>
      <c r="T123" s="4"/>
      <c r="U123" s="4">
        <f t="shared" si="19"/>
        <v>26.7</v>
      </c>
      <c r="V123" s="4">
        <f t="shared" si="17"/>
        <v>26.7</v>
      </c>
      <c r="W123" s="4">
        <f t="shared" si="24"/>
        <v>26.7</v>
      </c>
      <c r="X123" s="4"/>
      <c r="Y123" s="4"/>
      <c r="AB123" s="4"/>
      <c r="AC123" s="4"/>
      <c r="AD123" s="4">
        <v>1</v>
      </c>
      <c r="AE123" s="4"/>
      <c r="AF123" s="4">
        <f t="shared" si="20"/>
        <v>307</v>
      </c>
      <c r="AG123" s="4">
        <f t="shared" si="18"/>
        <v>307</v>
      </c>
      <c r="AH123" s="4">
        <f t="shared" si="22"/>
        <v>307</v>
      </c>
      <c r="AI123" s="4"/>
      <c r="AJ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</row>
    <row r="124" spans="1:70" x14ac:dyDescent="0.3">
      <c r="A124" s="1">
        <v>45357</v>
      </c>
      <c r="B124" t="s">
        <v>183</v>
      </c>
      <c r="C124" t="s">
        <v>248</v>
      </c>
      <c r="D124">
        <v>93</v>
      </c>
      <c r="E124">
        <v>1</v>
      </c>
      <c r="F124">
        <v>1</v>
      </c>
      <c r="G124" t="s">
        <v>51</v>
      </c>
      <c r="H124" t="s">
        <v>52</v>
      </c>
      <c r="I124">
        <v>0.217</v>
      </c>
      <c r="J124">
        <v>3.9</v>
      </c>
      <c r="K124">
        <v>72.7</v>
      </c>
      <c r="L124" t="s">
        <v>53</v>
      </c>
      <c r="M124" t="s">
        <v>54</v>
      </c>
      <c r="N124">
        <v>0.245</v>
      </c>
      <c r="O124">
        <v>4.0999999999999996</v>
      </c>
      <c r="P124">
        <v>216</v>
      </c>
      <c r="R124" s="4">
        <v>1</v>
      </c>
      <c r="S124" s="4">
        <v>1</v>
      </c>
      <c r="T124" s="4"/>
      <c r="U124" s="4">
        <f t="shared" si="19"/>
        <v>72.7</v>
      </c>
      <c r="V124" s="4">
        <f t="shared" si="17"/>
        <v>72.7</v>
      </c>
      <c r="W124" s="4">
        <f t="shared" si="24"/>
        <v>72.7</v>
      </c>
      <c r="X124" s="4"/>
      <c r="Y124" s="4"/>
      <c r="Z124">
        <f>ABS(100*ABS(W124-W118)/AVERAGE(W124,W118))</f>
        <v>3.7841625788367246</v>
      </c>
      <c r="AA124" t="str">
        <f>IF(W124&gt;10, (IF((AND(Z124&gt;=0,Z124&lt;=20)=TRUE),"PASS","FAIL")),(IF((AND(Z124&gt;=0,Z124&lt;=50)=TRUE),"PASS","FAIL")))</f>
        <v>PASS</v>
      </c>
      <c r="AB124" s="4"/>
      <c r="AC124" s="4"/>
      <c r="AD124" s="4">
        <v>1</v>
      </c>
      <c r="AE124" s="4"/>
      <c r="AF124" s="4">
        <f t="shared" si="20"/>
        <v>216</v>
      </c>
      <c r="AG124" s="4">
        <f t="shared" si="18"/>
        <v>216</v>
      </c>
      <c r="AH124" s="4">
        <f t="shared" si="22"/>
        <v>216</v>
      </c>
      <c r="AI124" s="4"/>
      <c r="AJ124" s="4"/>
      <c r="AK124">
        <f>ABS(100*ABS(AH124-AH118)/AVERAGE(AH124,AH118))</f>
        <v>0.93023255813953487</v>
      </c>
      <c r="AL124" t="str">
        <f>IF(AH124&gt;10, (IF((AND(AK124&gt;=0,AK124&lt;=20)=TRUE),"PASS","FAIL")),(IF((AND(AK124&gt;=0,AK124&lt;=50)=TRUE),"PASS","FAIL")))</f>
        <v>PASS</v>
      </c>
      <c r="AM124" s="4"/>
      <c r="AN124" s="4"/>
      <c r="AO124" s="4"/>
      <c r="AP124" s="4"/>
      <c r="AQ124" s="4"/>
    </row>
    <row r="125" spans="1:70" x14ac:dyDescent="0.3">
      <c r="A125" s="1">
        <v>45357</v>
      </c>
      <c r="B125" t="s">
        <v>183</v>
      </c>
      <c r="C125" t="s">
        <v>249</v>
      </c>
      <c r="D125">
        <v>94</v>
      </c>
      <c r="E125">
        <v>1</v>
      </c>
      <c r="F125">
        <v>1</v>
      </c>
      <c r="G125" t="s">
        <v>51</v>
      </c>
      <c r="H125" t="s">
        <v>52</v>
      </c>
      <c r="I125">
        <v>0.18</v>
      </c>
      <c r="J125">
        <v>3.18</v>
      </c>
      <c r="K125">
        <v>51.2</v>
      </c>
      <c r="L125" t="s">
        <v>53</v>
      </c>
      <c r="M125" t="s">
        <v>54</v>
      </c>
      <c r="N125">
        <v>0.57999999999999996</v>
      </c>
      <c r="O125">
        <v>9.24</v>
      </c>
      <c r="P125">
        <v>570</v>
      </c>
      <c r="Q125" s="4"/>
      <c r="R125" s="4">
        <v>1</v>
      </c>
      <c r="S125" s="4">
        <v>1</v>
      </c>
      <c r="T125" s="4"/>
      <c r="U125" s="4">
        <f t="shared" si="19"/>
        <v>51.2</v>
      </c>
      <c r="V125" s="4">
        <f t="shared" si="17"/>
        <v>51.2</v>
      </c>
      <c r="W125" s="4">
        <f t="shared" si="24"/>
        <v>51.2</v>
      </c>
      <c r="X125" s="4"/>
      <c r="Y125" s="4"/>
      <c r="Z125" s="4"/>
      <c r="AA125" s="4"/>
      <c r="AB125">
        <f>100*((W125*10250)-(W123*10000))/(1000*250)</f>
        <v>103.12</v>
      </c>
      <c r="AC125" t="str">
        <f>IF(W125&gt;30, (IF((AND(AB125&gt;=80,AB125&lt;=120)=TRUE),"PASS","FAIL")),(IF((AND(AB125&gt;=50,AB125&lt;=150)=TRUE),"PASS","FAIL")))</f>
        <v>PASS</v>
      </c>
      <c r="AD125" s="4">
        <v>1</v>
      </c>
      <c r="AE125" s="4"/>
      <c r="AF125" s="4">
        <f t="shared" si="20"/>
        <v>570</v>
      </c>
      <c r="AG125" s="4">
        <f t="shared" si="18"/>
        <v>570</v>
      </c>
      <c r="AH125" s="4">
        <f t="shared" si="22"/>
        <v>570</v>
      </c>
      <c r="AI125" s="4"/>
      <c r="AJ125" s="4"/>
      <c r="AK125" s="4"/>
      <c r="AL125" s="4"/>
      <c r="AM125">
        <f>100*((AH125*10250)-(AH123*10000))/(10000*250)</f>
        <v>110.9</v>
      </c>
      <c r="AN125" t="str">
        <f>IF(AH125&gt;30, (IF((AND(AM125&gt;=80,AM125&lt;=120)=TRUE),"PASS","FAIL")),(IF((AND(AM125&gt;=50,AM125&lt;=150)=TRUE),"PASS","FAIL")))</f>
        <v>PASS</v>
      </c>
      <c r="AO125" s="4"/>
      <c r="AP125" s="4"/>
      <c r="AQ125" s="4"/>
    </row>
    <row r="126" spans="1:70" x14ac:dyDescent="0.3">
      <c r="A126" s="1">
        <v>45357</v>
      </c>
      <c r="B126" t="s">
        <v>183</v>
      </c>
      <c r="C126" t="s">
        <v>199</v>
      </c>
      <c r="D126">
        <v>7</v>
      </c>
      <c r="E126">
        <v>1</v>
      </c>
      <c r="F126">
        <v>1</v>
      </c>
      <c r="G126" t="s">
        <v>51</v>
      </c>
      <c r="H126" t="s">
        <v>52</v>
      </c>
      <c r="I126">
        <v>0.13200000000000001</v>
      </c>
      <c r="J126">
        <v>2.37</v>
      </c>
      <c r="K126">
        <v>26.3</v>
      </c>
      <c r="L126" t="s">
        <v>53</v>
      </c>
      <c r="M126" t="s">
        <v>54</v>
      </c>
      <c r="N126">
        <v>0.26900000000000002</v>
      </c>
      <c r="O126">
        <v>4.3</v>
      </c>
      <c r="P126">
        <v>230</v>
      </c>
      <c r="Q126" s="4"/>
      <c r="R126" s="4">
        <v>1</v>
      </c>
      <c r="S126" s="4">
        <v>1</v>
      </c>
      <c r="T126" s="4"/>
      <c r="U126" s="4">
        <f t="shared" si="19"/>
        <v>26.3</v>
      </c>
      <c r="V126" s="4">
        <f t="shared" si="17"/>
        <v>26.3</v>
      </c>
      <c r="W126" s="4">
        <f t="shared" si="24"/>
        <v>26.3</v>
      </c>
      <c r="X126" s="4">
        <f>100*(W126-25)/25</f>
        <v>5.200000000000002</v>
      </c>
      <c r="Y126" s="4" t="str">
        <f t="shared" ref="Y126" si="26">IF((ABS(X126))&lt;=20,"PASS","FAIL")</f>
        <v>PASS</v>
      </c>
      <c r="AD126" s="4">
        <v>1</v>
      </c>
      <c r="AE126" s="4"/>
      <c r="AF126" s="4">
        <f t="shared" si="20"/>
        <v>230</v>
      </c>
      <c r="AG126" s="4">
        <f t="shared" si="18"/>
        <v>230</v>
      </c>
      <c r="AH126" s="4">
        <f t="shared" si="22"/>
        <v>230</v>
      </c>
      <c r="AI126" s="4">
        <f>100*(AH126-250)/250</f>
        <v>-8</v>
      </c>
      <c r="AJ126" s="4" t="str">
        <f>IF((ABS(AI126))&lt;=20,"PASS","FAIL")</f>
        <v>PASS</v>
      </c>
      <c r="AO126" s="4"/>
      <c r="AP126" s="4"/>
      <c r="AQ126" s="4"/>
    </row>
    <row r="127" spans="1:70" x14ac:dyDescent="0.3">
      <c r="A127" s="1">
        <v>45357</v>
      </c>
      <c r="B127" t="s">
        <v>183</v>
      </c>
      <c r="C127" t="s">
        <v>200</v>
      </c>
      <c r="D127" t="s">
        <v>11</v>
      </c>
      <c r="E127">
        <v>1</v>
      </c>
      <c r="F127">
        <v>1</v>
      </c>
      <c r="G127" t="s">
        <v>51</v>
      </c>
      <c r="H127" t="s">
        <v>52</v>
      </c>
      <c r="I127">
        <v>0.13100000000000001</v>
      </c>
      <c r="J127">
        <v>1.57</v>
      </c>
      <c r="K127">
        <v>1.47</v>
      </c>
      <c r="L127" t="s">
        <v>53</v>
      </c>
      <c r="M127" t="s">
        <v>54</v>
      </c>
      <c r="N127">
        <v>1.1299999999999999E-2</v>
      </c>
      <c r="O127">
        <v>0.14699999999999999</v>
      </c>
      <c r="P127">
        <v>-52.8</v>
      </c>
      <c r="R127" s="4">
        <v>1</v>
      </c>
      <c r="S127" s="4">
        <v>1</v>
      </c>
      <c r="T127" s="4"/>
      <c r="U127" s="4">
        <f t="shared" si="19"/>
        <v>1.47</v>
      </c>
      <c r="V127" s="4">
        <f t="shared" si="17"/>
        <v>1.47</v>
      </c>
      <c r="W127" s="4">
        <f t="shared" si="24"/>
        <v>1.47</v>
      </c>
      <c r="X127" s="4"/>
      <c r="Y127" s="4"/>
      <c r="AD127" s="4">
        <v>1</v>
      </c>
      <c r="AE127" s="4"/>
      <c r="AF127" s="4">
        <f t="shared" si="20"/>
        <v>-52.8</v>
      </c>
      <c r="AG127" s="4">
        <f t="shared" si="18"/>
        <v>-52.8</v>
      </c>
      <c r="AH127" s="4">
        <f t="shared" si="22"/>
        <v>-52.8</v>
      </c>
      <c r="AI127" s="4"/>
      <c r="AJ127" s="4"/>
      <c r="AO127" s="4"/>
      <c r="AP127" s="4"/>
      <c r="AQ127" s="4"/>
    </row>
    <row r="128" spans="1:70" x14ac:dyDescent="0.3">
      <c r="A128" s="1">
        <v>45357</v>
      </c>
      <c r="B128" t="s">
        <v>183</v>
      </c>
      <c r="C128" t="s">
        <v>201</v>
      </c>
      <c r="D128" t="s">
        <v>121</v>
      </c>
      <c r="E128">
        <v>1</v>
      </c>
      <c r="F128">
        <v>1</v>
      </c>
      <c r="G128" t="s">
        <v>51</v>
      </c>
      <c r="H128" t="s">
        <v>52</v>
      </c>
      <c r="I128">
        <v>1.09E-2</v>
      </c>
      <c r="J128">
        <v>0.11899999999999999</v>
      </c>
      <c r="K128">
        <v>-44.9</v>
      </c>
      <c r="L128" t="s">
        <v>53</v>
      </c>
      <c r="M128" t="s">
        <v>54</v>
      </c>
      <c r="N128">
        <v>-2.8000000000000001E-2</v>
      </c>
      <c r="O128">
        <v>-0.21</v>
      </c>
      <c r="P128">
        <v>-77</v>
      </c>
      <c r="R128" s="4">
        <v>1</v>
      </c>
      <c r="S128" s="4">
        <v>1</v>
      </c>
      <c r="T128" s="4"/>
      <c r="U128" s="4">
        <f t="shared" si="19"/>
        <v>-44.9</v>
      </c>
      <c r="V128" s="4">
        <f t="shared" si="17"/>
        <v>-44.9</v>
      </c>
      <c r="W128" s="4">
        <f t="shared" si="24"/>
        <v>-44.9</v>
      </c>
      <c r="X128" s="4"/>
      <c r="Y128" s="4"/>
      <c r="AD128" s="4">
        <v>1</v>
      </c>
      <c r="AE128" s="4"/>
      <c r="AF128" s="4">
        <f t="shared" si="20"/>
        <v>-77</v>
      </c>
      <c r="AG128" s="4">
        <f t="shared" si="18"/>
        <v>-77</v>
      </c>
      <c r="AH128" s="4">
        <f t="shared" si="22"/>
        <v>-77</v>
      </c>
      <c r="AI128" s="4"/>
      <c r="AJ128" s="4"/>
      <c r="AO128" s="4"/>
      <c r="AP128" s="4"/>
      <c r="AQ128" s="4"/>
    </row>
    <row r="129" spans="1:70" x14ac:dyDescent="0.3">
      <c r="A129" s="1">
        <v>45357</v>
      </c>
      <c r="B129" t="s">
        <v>183</v>
      </c>
      <c r="C129" t="s">
        <v>250</v>
      </c>
      <c r="D129">
        <v>95</v>
      </c>
      <c r="E129">
        <v>1</v>
      </c>
      <c r="F129">
        <v>1</v>
      </c>
      <c r="G129" t="s">
        <v>51</v>
      </c>
      <c r="H129" t="s">
        <v>52</v>
      </c>
      <c r="I129">
        <v>9.3700000000000006E-2</v>
      </c>
      <c r="J129">
        <v>1.78</v>
      </c>
      <c r="K129">
        <v>7.99</v>
      </c>
      <c r="L129" t="s">
        <v>53</v>
      </c>
      <c r="M129" t="s">
        <v>54</v>
      </c>
      <c r="N129">
        <v>0.17699999999999999</v>
      </c>
      <c r="O129">
        <v>2.99</v>
      </c>
      <c r="P129">
        <v>140</v>
      </c>
      <c r="R129" s="4">
        <v>1</v>
      </c>
      <c r="S129" s="4">
        <v>1</v>
      </c>
      <c r="T129" s="4"/>
      <c r="U129" s="4">
        <f t="shared" si="19"/>
        <v>7.99</v>
      </c>
      <c r="V129" s="4">
        <f t="shared" si="17"/>
        <v>7.99</v>
      </c>
      <c r="W129" s="4">
        <f t="shared" si="24"/>
        <v>7.99</v>
      </c>
      <c r="X129" s="4"/>
      <c r="Y129" s="4"/>
      <c r="Z129" s="4"/>
      <c r="AA129" s="4"/>
      <c r="AB129" s="4"/>
      <c r="AC129" s="4"/>
      <c r="AD129" s="4">
        <v>1</v>
      </c>
      <c r="AE129" s="4"/>
      <c r="AF129" s="4">
        <f t="shared" si="20"/>
        <v>140</v>
      </c>
      <c r="AG129" s="4">
        <f t="shared" si="18"/>
        <v>140</v>
      </c>
      <c r="AH129" s="4">
        <f t="shared" si="22"/>
        <v>140</v>
      </c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70" x14ac:dyDescent="0.3">
      <c r="A130" s="1">
        <v>45357</v>
      </c>
      <c r="B130" t="s">
        <v>183</v>
      </c>
      <c r="C130" t="s">
        <v>251</v>
      </c>
      <c r="D130">
        <v>96</v>
      </c>
      <c r="E130">
        <v>1</v>
      </c>
      <c r="F130">
        <v>1</v>
      </c>
      <c r="G130" t="s">
        <v>51</v>
      </c>
      <c r="H130" t="s">
        <v>52</v>
      </c>
      <c r="I130">
        <v>0.115</v>
      </c>
      <c r="J130">
        <v>2.08</v>
      </c>
      <c r="K130">
        <v>17.600000000000001</v>
      </c>
      <c r="L130" t="s">
        <v>53</v>
      </c>
      <c r="M130" t="s">
        <v>54</v>
      </c>
      <c r="N130">
        <v>0.247</v>
      </c>
      <c r="O130">
        <v>4.13</v>
      </c>
      <c r="P130">
        <v>218</v>
      </c>
      <c r="R130" s="4">
        <v>1</v>
      </c>
      <c r="S130" s="4">
        <v>1</v>
      </c>
      <c r="T130" s="4"/>
      <c r="U130" s="4">
        <f t="shared" si="19"/>
        <v>17.600000000000001</v>
      </c>
      <c r="V130" s="4">
        <f t="shared" si="17"/>
        <v>17.600000000000001</v>
      </c>
      <c r="W130" s="4">
        <f t="shared" si="24"/>
        <v>17.600000000000001</v>
      </c>
      <c r="X130" s="4"/>
      <c r="Y130" s="4"/>
      <c r="AD130" s="4">
        <v>1</v>
      </c>
      <c r="AE130" s="4"/>
      <c r="AF130" s="4">
        <f t="shared" si="20"/>
        <v>218</v>
      </c>
      <c r="AG130" s="4">
        <f t="shared" si="18"/>
        <v>218</v>
      </c>
      <c r="AH130" s="4">
        <f t="shared" si="22"/>
        <v>218</v>
      </c>
      <c r="AI130" s="4"/>
      <c r="AJ130" s="4"/>
      <c r="AO130" s="4"/>
      <c r="AP130" s="4"/>
      <c r="AQ130" s="4"/>
    </row>
    <row r="131" spans="1:70" x14ac:dyDescent="0.3">
      <c r="A131" s="1">
        <v>45357</v>
      </c>
      <c r="B131" t="s">
        <v>183</v>
      </c>
      <c r="C131" t="s">
        <v>252</v>
      </c>
      <c r="D131">
        <v>97</v>
      </c>
      <c r="E131">
        <v>1</v>
      </c>
      <c r="F131">
        <v>1</v>
      </c>
      <c r="G131" t="s">
        <v>51</v>
      </c>
      <c r="H131" t="s">
        <v>52</v>
      </c>
      <c r="I131">
        <v>0.23899999999999999</v>
      </c>
      <c r="J131">
        <v>4.24</v>
      </c>
      <c r="K131">
        <v>82.8</v>
      </c>
      <c r="L131" t="s">
        <v>53</v>
      </c>
      <c r="M131" t="s">
        <v>54</v>
      </c>
      <c r="N131">
        <v>0.48099999999999998</v>
      </c>
      <c r="O131">
        <v>7.77</v>
      </c>
      <c r="P131">
        <v>468</v>
      </c>
      <c r="R131" s="4">
        <v>1</v>
      </c>
      <c r="S131" s="4">
        <v>1</v>
      </c>
      <c r="T131" s="4"/>
      <c r="U131" s="4">
        <f t="shared" si="19"/>
        <v>82.8</v>
      </c>
      <c r="V131" s="4">
        <f t="shared" si="17"/>
        <v>82.8</v>
      </c>
      <c r="W131" s="4">
        <f t="shared" si="24"/>
        <v>82.8</v>
      </c>
      <c r="X131" s="4"/>
      <c r="Y131" s="4"/>
      <c r="AB131" s="4"/>
      <c r="AC131" s="4"/>
      <c r="AD131" s="4">
        <v>1</v>
      </c>
      <c r="AE131" s="4"/>
      <c r="AF131" s="4">
        <f t="shared" si="20"/>
        <v>468</v>
      </c>
      <c r="AG131" s="4">
        <f t="shared" si="18"/>
        <v>468</v>
      </c>
      <c r="AH131" s="4">
        <f t="shared" si="22"/>
        <v>468</v>
      </c>
      <c r="AI131" s="4"/>
      <c r="AJ131" s="4"/>
      <c r="AM131" s="4"/>
      <c r="AN131" s="4"/>
      <c r="AO131" s="4"/>
      <c r="AP131" s="4"/>
      <c r="AQ131" s="4"/>
    </row>
    <row r="132" spans="1:70" x14ac:dyDescent="0.3">
      <c r="A132" s="1">
        <v>45357</v>
      </c>
      <c r="B132" t="s">
        <v>183</v>
      </c>
      <c r="C132" t="s">
        <v>253</v>
      </c>
      <c r="D132">
        <v>98</v>
      </c>
      <c r="E132">
        <v>1</v>
      </c>
      <c r="F132">
        <v>1</v>
      </c>
      <c r="G132" t="s">
        <v>51</v>
      </c>
      <c r="H132" t="s">
        <v>52</v>
      </c>
      <c r="I132">
        <v>0.13</v>
      </c>
      <c r="J132">
        <v>2.35</v>
      </c>
      <c r="K132">
        <v>25.9</v>
      </c>
      <c r="L132" t="s">
        <v>53</v>
      </c>
      <c r="M132" t="s">
        <v>54</v>
      </c>
      <c r="N132">
        <v>0.28000000000000003</v>
      </c>
      <c r="O132">
        <v>4.78</v>
      </c>
      <c r="P132">
        <v>262</v>
      </c>
      <c r="Q132" s="4"/>
      <c r="R132" s="4">
        <v>1</v>
      </c>
      <c r="S132" s="4">
        <v>1</v>
      </c>
      <c r="T132" s="4"/>
      <c r="U132" s="4">
        <f t="shared" si="19"/>
        <v>25.9</v>
      </c>
      <c r="V132" s="4">
        <f t="shared" si="17"/>
        <v>25.9</v>
      </c>
      <c r="W132" s="4">
        <f t="shared" si="24"/>
        <v>25.9</v>
      </c>
      <c r="X132" s="4"/>
      <c r="Y132" s="4"/>
      <c r="Z132" s="4"/>
      <c r="AA132" s="4"/>
      <c r="AD132" s="4">
        <v>1</v>
      </c>
      <c r="AE132" s="4"/>
      <c r="AF132" s="4">
        <f t="shared" si="20"/>
        <v>262</v>
      </c>
      <c r="AG132" s="4">
        <f t="shared" si="18"/>
        <v>262</v>
      </c>
      <c r="AH132" s="4">
        <f t="shared" si="22"/>
        <v>262</v>
      </c>
      <c r="AI132" s="4"/>
      <c r="AJ132" s="4"/>
      <c r="AK132" s="4"/>
      <c r="AL132" s="4"/>
      <c r="AO132" s="4"/>
      <c r="AP132" s="4"/>
      <c r="AQ132" s="4"/>
    </row>
    <row r="133" spans="1:70" x14ac:dyDescent="0.3">
      <c r="A133" s="1">
        <v>45357</v>
      </c>
      <c r="B133" t="s">
        <v>183</v>
      </c>
      <c r="C133" t="s">
        <v>254</v>
      </c>
      <c r="D133">
        <v>99</v>
      </c>
      <c r="E133">
        <v>1</v>
      </c>
      <c r="F133">
        <v>1</v>
      </c>
      <c r="G133" t="s">
        <v>51</v>
      </c>
      <c r="H133" t="s">
        <v>52</v>
      </c>
      <c r="I133">
        <v>0.129</v>
      </c>
      <c r="J133">
        <v>2.33</v>
      </c>
      <c r="K133">
        <v>25.1</v>
      </c>
      <c r="L133" t="s">
        <v>53</v>
      </c>
      <c r="M133" t="s">
        <v>54</v>
      </c>
      <c r="N133">
        <v>0.23200000000000001</v>
      </c>
      <c r="O133">
        <v>3.78</v>
      </c>
      <c r="P133">
        <v>194</v>
      </c>
      <c r="R133" s="4">
        <v>1</v>
      </c>
      <c r="S133" s="4">
        <v>1</v>
      </c>
      <c r="T133" s="4"/>
      <c r="U133" s="4">
        <f t="shared" si="19"/>
        <v>25.1</v>
      </c>
      <c r="V133" s="4">
        <f t="shared" si="17"/>
        <v>25.1</v>
      </c>
      <c r="W133" s="4">
        <f t="shared" si="24"/>
        <v>25.1</v>
      </c>
      <c r="X133" s="4"/>
      <c r="Y133" s="4"/>
      <c r="AD133" s="4">
        <v>1</v>
      </c>
      <c r="AE133" s="4"/>
      <c r="AF133" s="4">
        <f t="shared" si="20"/>
        <v>194</v>
      </c>
      <c r="AG133" s="4">
        <f t="shared" si="18"/>
        <v>194</v>
      </c>
      <c r="AH133" s="4">
        <f t="shared" si="22"/>
        <v>194</v>
      </c>
      <c r="AI133" s="4"/>
      <c r="AJ133" s="4"/>
      <c r="AO133" s="4"/>
      <c r="AP133" s="4"/>
      <c r="AQ133" s="4"/>
    </row>
    <row r="134" spans="1:70" x14ac:dyDescent="0.3">
      <c r="A134" s="1">
        <v>45357</v>
      </c>
      <c r="B134" t="s">
        <v>183</v>
      </c>
      <c r="C134" t="s">
        <v>255</v>
      </c>
      <c r="D134">
        <v>100</v>
      </c>
      <c r="E134">
        <v>1</v>
      </c>
      <c r="F134">
        <v>1</v>
      </c>
      <c r="G134" t="s">
        <v>51</v>
      </c>
      <c r="H134" t="s">
        <v>52</v>
      </c>
      <c r="I134">
        <v>0.125</v>
      </c>
      <c r="J134">
        <v>2.2799999999999998</v>
      </c>
      <c r="K134">
        <v>23.6</v>
      </c>
      <c r="L134" t="s">
        <v>53</v>
      </c>
      <c r="M134" t="s">
        <v>54</v>
      </c>
      <c r="N134">
        <v>0.33200000000000002</v>
      </c>
      <c r="O134">
        <v>5.61</v>
      </c>
      <c r="P134">
        <v>319</v>
      </c>
      <c r="Q134" s="4"/>
      <c r="R134" s="4">
        <v>1</v>
      </c>
      <c r="S134" s="4">
        <v>1</v>
      </c>
      <c r="T134" s="4"/>
      <c r="U134" s="4">
        <f t="shared" si="19"/>
        <v>23.6</v>
      </c>
      <c r="V134" s="4">
        <f t="shared" si="17"/>
        <v>23.6</v>
      </c>
      <c r="W134" s="4">
        <f t="shared" si="24"/>
        <v>23.6</v>
      </c>
      <c r="X134" s="4"/>
      <c r="Y134" s="4"/>
      <c r="Z134" s="4"/>
      <c r="AA134" s="4"/>
      <c r="AB134" s="4"/>
      <c r="AC134" s="4"/>
      <c r="AD134" s="4">
        <v>1</v>
      </c>
      <c r="AE134" s="4"/>
      <c r="AF134" s="4">
        <f t="shared" si="20"/>
        <v>319</v>
      </c>
      <c r="AG134" s="4">
        <f t="shared" si="18"/>
        <v>319</v>
      </c>
      <c r="AH134" s="4">
        <f t="shared" si="22"/>
        <v>319</v>
      </c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70" x14ac:dyDescent="0.3">
      <c r="A135" s="1">
        <v>45357</v>
      </c>
      <c r="B135" t="s">
        <v>183</v>
      </c>
      <c r="C135" t="s">
        <v>256</v>
      </c>
      <c r="D135">
        <v>101</v>
      </c>
      <c r="E135">
        <v>1</v>
      </c>
      <c r="F135">
        <v>1</v>
      </c>
      <c r="G135" t="s">
        <v>51</v>
      </c>
      <c r="H135" t="s">
        <v>52</v>
      </c>
      <c r="I135">
        <v>0.108</v>
      </c>
      <c r="J135">
        <v>2</v>
      </c>
      <c r="K135">
        <v>15</v>
      </c>
      <c r="L135" t="s">
        <v>53</v>
      </c>
      <c r="M135" t="s">
        <v>54</v>
      </c>
      <c r="N135">
        <v>0.216</v>
      </c>
      <c r="O135">
        <v>3.5</v>
      </c>
      <c r="P135">
        <v>175</v>
      </c>
      <c r="R135" s="4">
        <v>1</v>
      </c>
      <c r="S135" s="4">
        <v>1</v>
      </c>
      <c r="T135" s="4"/>
      <c r="U135" s="4">
        <f t="shared" si="19"/>
        <v>15</v>
      </c>
      <c r="V135" s="4">
        <f t="shared" si="17"/>
        <v>15</v>
      </c>
      <c r="W135" s="4">
        <f t="shared" si="24"/>
        <v>15</v>
      </c>
      <c r="X135" s="4"/>
      <c r="Y135" s="4"/>
      <c r="Z135" s="4"/>
      <c r="AA135" s="4"/>
      <c r="AB135" s="4"/>
      <c r="AC135" s="4"/>
      <c r="AD135" s="4">
        <v>1</v>
      </c>
      <c r="AE135" s="4"/>
      <c r="AF135" s="4">
        <f t="shared" si="20"/>
        <v>175</v>
      </c>
      <c r="AG135" s="4">
        <f t="shared" si="18"/>
        <v>175</v>
      </c>
      <c r="AH135" s="4">
        <f t="shared" si="22"/>
        <v>175</v>
      </c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70" x14ac:dyDescent="0.3">
      <c r="A136" s="1">
        <v>45357</v>
      </c>
      <c r="B136" t="s">
        <v>183</v>
      </c>
      <c r="C136" t="s">
        <v>257</v>
      </c>
      <c r="D136">
        <v>102</v>
      </c>
      <c r="E136">
        <v>1</v>
      </c>
      <c r="F136">
        <v>1</v>
      </c>
      <c r="G136" t="s">
        <v>51</v>
      </c>
      <c r="H136" t="s">
        <v>52</v>
      </c>
      <c r="I136">
        <v>0.30299999999999999</v>
      </c>
      <c r="J136">
        <v>5.35</v>
      </c>
      <c r="K136">
        <v>115</v>
      </c>
      <c r="L136" t="s">
        <v>53</v>
      </c>
      <c r="M136" t="s">
        <v>54</v>
      </c>
      <c r="N136">
        <v>0.69199999999999995</v>
      </c>
      <c r="O136">
        <v>11.4</v>
      </c>
      <c r="P136">
        <v>722</v>
      </c>
      <c r="Q136" s="4"/>
      <c r="R136" s="4">
        <v>1</v>
      </c>
      <c r="S136" s="4">
        <v>1</v>
      </c>
      <c r="T136" s="4"/>
      <c r="U136" s="4">
        <f t="shared" si="19"/>
        <v>115</v>
      </c>
      <c r="V136" s="4">
        <f t="shared" si="17"/>
        <v>115</v>
      </c>
      <c r="W136" s="4">
        <f t="shared" si="24"/>
        <v>115</v>
      </c>
      <c r="X136" s="4"/>
      <c r="Y136" s="4"/>
      <c r="Z136" s="4"/>
      <c r="AA136" s="4"/>
      <c r="AB136" s="4"/>
      <c r="AC136" s="4"/>
      <c r="AD136" s="4">
        <v>1</v>
      </c>
      <c r="AE136" s="4"/>
      <c r="AF136" s="4">
        <f t="shared" si="20"/>
        <v>722</v>
      </c>
      <c r="AG136" s="4">
        <f t="shared" si="18"/>
        <v>722</v>
      </c>
      <c r="AH136" s="4">
        <f t="shared" si="22"/>
        <v>722</v>
      </c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</row>
    <row r="137" spans="1:70" x14ac:dyDescent="0.3">
      <c r="A137" s="1">
        <v>45357</v>
      </c>
      <c r="B137" t="s">
        <v>183</v>
      </c>
      <c r="C137" t="s">
        <v>258</v>
      </c>
      <c r="D137">
        <v>103</v>
      </c>
      <c r="E137">
        <v>1</v>
      </c>
      <c r="F137">
        <v>1</v>
      </c>
      <c r="G137" t="s">
        <v>51</v>
      </c>
      <c r="H137" t="s">
        <v>52</v>
      </c>
      <c r="I137">
        <v>0.13200000000000001</v>
      </c>
      <c r="J137">
        <v>2.37</v>
      </c>
      <c r="K137">
        <v>26.3</v>
      </c>
      <c r="L137" t="s">
        <v>53</v>
      </c>
      <c r="M137" t="s">
        <v>54</v>
      </c>
      <c r="N137">
        <v>0.29499999999999998</v>
      </c>
      <c r="O137">
        <v>4.8499999999999996</v>
      </c>
      <c r="P137">
        <v>267</v>
      </c>
      <c r="R137" s="4">
        <v>1</v>
      </c>
      <c r="S137" s="4">
        <v>1</v>
      </c>
      <c r="T137" s="4"/>
      <c r="U137" s="4">
        <f t="shared" si="19"/>
        <v>26.3</v>
      </c>
      <c r="V137" s="4">
        <f t="shared" ref="V137:V200" si="27">IF(R137=1,U137,(U137-0))</f>
        <v>26.3</v>
      </c>
      <c r="W137" s="4">
        <f t="shared" si="24"/>
        <v>26.3</v>
      </c>
      <c r="X137" s="4"/>
      <c r="Y137" s="4"/>
      <c r="Z137" s="4"/>
      <c r="AA137" s="4"/>
      <c r="AB137" s="4"/>
      <c r="AC137" s="4"/>
      <c r="AD137" s="4">
        <v>1</v>
      </c>
      <c r="AE137" s="4"/>
      <c r="AF137" s="4">
        <f t="shared" si="20"/>
        <v>267</v>
      </c>
      <c r="AG137" s="4">
        <f t="shared" ref="AG137:AG200" si="28">IF(R137=1,AF137,(AF137-0))</f>
        <v>267</v>
      </c>
      <c r="AH137" s="4">
        <f t="shared" si="22"/>
        <v>267</v>
      </c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70" x14ac:dyDescent="0.3">
      <c r="A138" s="1">
        <v>45357</v>
      </c>
      <c r="B138" t="s">
        <v>183</v>
      </c>
      <c r="C138" t="s">
        <v>259</v>
      </c>
      <c r="D138">
        <v>104</v>
      </c>
      <c r="E138">
        <v>1</v>
      </c>
      <c r="F138">
        <v>1</v>
      </c>
      <c r="G138" t="s">
        <v>51</v>
      </c>
      <c r="H138" t="s">
        <v>52</v>
      </c>
      <c r="I138">
        <v>0.10100000000000001</v>
      </c>
      <c r="J138">
        <v>1.88</v>
      </c>
      <c r="K138">
        <v>11.3</v>
      </c>
      <c r="L138" t="s">
        <v>53</v>
      </c>
      <c r="M138" t="s">
        <v>54</v>
      </c>
      <c r="N138">
        <v>0.22900000000000001</v>
      </c>
      <c r="O138">
        <v>3.91</v>
      </c>
      <c r="P138">
        <v>203</v>
      </c>
      <c r="Q138" s="4"/>
      <c r="R138" s="4">
        <v>1</v>
      </c>
      <c r="S138" s="4">
        <v>1</v>
      </c>
      <c r="T138" s="4"/>
      <c r="U138" s="4">
        <f t="shared" ref="U138:U201" si="29">K138*F138</f>
        <v>11.3</v>
      </c>
      <c r="V138" s="4">
        <f t="shared" si="27"/>
        <v>11.3</v>
      </c>
      <c r="W138" s="4">
        <f t="shared" si="24"/>
        <v>11.3</v>
      </c>
      <c r="X138" s="4"/>
      <c r="Y138" s="4"/>
      <c r="Z138" s="4"/>
      <c r="AA138" s="4"/>
      <c r="AB138" s="4"/>
      <c r="AC138" s="4"/>
      <c r="AD138" s="4">
        <v>1</v>
      </c>
      <c r="AE138" s="4"/>
      <c r="AF138" s="4">
        <f t="shared" ref="AF138:AF201" si="30">P138*F138</f>
        <v>203</v>
      </c>
      <c r="AG138" s="4">
        <f t="shared" si="28"/>
        <v>203</v>
      </c>
      <c r="AH138" s="4">
        <f t="shared" si="22"/>
        <v>203</v>
      </c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</row>
    <row r="139" spans="1:70" x14ac:dyDescent="0.3">
      <c r="A139" s="1">
        <v>45357</v>
      </c>
      <c r="B139" t="s">
        <v>183</v>
      </c>
      <c r="C139" t="s">
        <v>260</v>
      </c>
      <c r="D139">
        <v>105</v>
      </c>
      <c r="E139">
        <v>1</v>
      </c>
      <c r="F139">
        <v>1</v>
      </c>
      <c r="G139" t="s">
        <v>51</v>
      </c>
      <c r="H139" t="s">
        <v>52</v>
      </c>
      <c r="I139">
        <v>0.125</v>
      </c>
      <c r="J139">
        <v>2.3199999999999998</v>
      </c>
      <c r="K139">
        <v>24.9</v>
      </c>
      <c r="L139" t="s">
        <v>53</v>
      </c>
      <c r="M139" t="s">
        <v>54</v>
      </c>
      <c r="N139">
        <v>0.23100000000000001</v>
      </c>
      <c r="O139">
        <v>3.83</v>
      </c>
      <c r="P139">
        <v>198</v>
      </c>
      <c r="R139" s="4">
        <v>1</v>
      </c>
      <c r="S139" s="4">
        <v>1</v>
      </c>
      <c r="T139" s="4"/>
      <c r="U139" s="4">
        <f t="shared" si="29"/>
        <v>24.9</v>
      </c>
      <c r="V139" s="4">
        <f t="shared" si="27"/>
        <v>24.9</v>
      </c>
      <c r="W139" s="4">
        <f t="shared" si="24"/>
        <v>24.9</v>
      </c>
      <c r="X139" s="4"/>
      <c r="Y139" s="4"/>
      <c r="AB139" s="4"/>
      <c r="AC139" s="4"/>
      <c r="AD139" s="4">
        <v>1</v>
      </c>
      <c r="AE139" s="4"/>
      <c r="AF139" s="4">
        <f t="shared" si="30"/>
        <v>198</v>
      </c>
      <c r="AG139" s="4">
        <f t="shared" si="28"/>
        <v>198</v>
      </c>
      <c r="AH139" s="4">
        <f t="shared" si="22"/>
        <v>198</v>
      </c>
      <c r="AI139" s="4"/>
      <c r="AJ139" s="4"/>
      <c r="AM139" s="4"/>
      <c r="AN139" s="4"/>
      <c r="AO139" s="4"/>
      <c r="AP139" s="4"/>
      <c r="AQ139" s="4"/>
    </row>
    <row r="140" spans="1:70" x14ac:dyDescent="0.3">
      <c r="A140" s="1">
        <v>45357</v>
      </c>
      <c r="B140" t="s">
        <v>183</v>
      </c>
      <c r="C140" t="s">
        <v>261</v>
      </c>
      <c r="D140">
        <v>106</v>
      </c>
      <c r="E140">
        <v>1</v>
      </c>
      <c r="F140">
        <v>1</v>
      </c>
      <c r="G140" t="s">
        <v>51</v>
      </c>
      <c r="H140" t="s">
        <v>52</v>
      </c>
      <c r="I140">
        <v>0.14499999999999999</v>
      </c>
      <c r="J140">
        <v>2.61</v>
      </c>
      <c r="K140">
        <v>33.9</v>
      </c>
      <c r="L140" t="s">
        <v>53</v>
      </c>
      <c r="M140" t="s">
        <v>54</v>
      </c>
      <c r="N140">
        <v>0.45100000000000001</v>
      </c>
      <c r="O140">
        <v>7.29</v>
      </c>
      <c r="P140">
        <v>435</v>
      </c>
      <c r="R140" s="4">
        <v>1</v>
      </c>
      <c r="S140" s="4">
        <v>1</v>
      </c>
      <c r="T140" s="4"/>
      <c r="U140" s="4">
        <f t="shared" si="29"/>
        <v>33.9</v>
      </c>
      <c r="V140" s="4">
        <f t="shared" si="27"/>
        <v>33.9</v>
      </c>
      <c r="W140" s="4">
        <f t="shared" si="24"/>
        <v>33.9</v>
      </c>
      <c r="X140" s="4"/>
      <c r="Y140" s="4"/>
      <c r="AD140" s="4">
        <v>1</v>
      </c>
      <c r="AE140" s="4"/>
      <c r="AF140" s="4">
        <f t="shared" si="30"/>
        <v>435</v>
      </c>
      <c r="AG140" s="4">
        <f t="shared" si="28"/>
        <v>435</v>
      </c>
      <c r="AH140" s="4">
        <f t="shared" si="22"/>
        <v>435</v>
      </c>
      <c r="AI140" s="4"/>
      <c r="AJ140" s="4"/>
      <c r="AK140" s="4"/>
      <c r="AL140" s="4"/>
      <c r="AO140" s="4"/>
      <c r="AP140" s="4"/>
      <c r="AQ140" s="4"/>
    </row>
    <row r="141" spans="1:70" x14ac:dyDescent="0.3">
      <c r="A141" s="1">
        <v>45357</v>
      </c>
      <c r="B141" t="s">
        <v>183</v>
      </c>
      <c r="C141" t="s">
        <v>262</v>
      </c>
      <c r="D141" t="s">
        <v>12</v>
      </c>
      <c r="E141">
        <v>1</v>
      </c>
      <c r="F141">
        <v>1</v>
      </c>
      <c r="G141" t="s">
        <v>51</v>
      </c>
      <c r="H141" t="s">
        <v>52</v>
      </c>
      <c r="I141">
        <v>0.14099999999999999</v>
      </c>
      <c r="J141">
        <v>1.69</v>
      </c>
      <c r="K141">
        <v>5.13</v>
      </c>
      <c r="L141" t="s">
        <v>53</v>
      </c>
      <c r="M141" t="s">
        <v>54</v>
      </c>
      <c r="N141">
        <v>1.42</v>
      </c>
      <c r="O141">
        <v>22.6</v>
      </c>
      <c r="P141">
        <v>1520</v>
      </c>
      <c r="Q141" s="4">
        <f>100*(O142/O141)</f>
        <v>95.575221238938056</v>
      </c>
      <c r="R141" s="4">
        <v>1</v>
      </c>
      <c r="S141" s="4">
        <v>1</v>
      </c>
      <c r="T141" s="4"/>
      <c r="U141" s="4">
        <f t="shared" si="29"/>
        <v>5.13</v>
      </c>
      <c r="V141" s="4">
        <f t="shared" si="27"/>
        <v>5.13</v>
      </c>
      <c r="W141" s="4">
        <f t="shared" si="24"/>
        <v>5.13</v>
      </c>
      <c r="X141" s="4"/>
      <c r="Y141" s="4"/>
      <c r="AD141" s="4">
        <v>1</v>
      </c>
      <c r="AE141" s="4"/>
      <c r="AF141" s="4">
        <f t="shared" si="30"/>
        <v>1520</v>
      </c>
      <c r="AG141" s="4">
        <f t="shared" si="28"/>
        <v>1520</v>
      </c>
      <c r="AH141" s="4">
        <f t="shared" si="22"/>
        <v>1520</v>
      </c>
      <c r="AI141" s="4"/>
      <c r="AJ141" s="4"/>
      <c r="AO141" s="4"/>
      <c r="AP141" s="4"/>
      <c r="AQ141" s="4"/>
    </row>
    <row r="142" spans="1:70" x14ac:dyDescent="0.3">
      <c r="A142" s="1">
        <v>45357</v>
      </c>
      <c r="B142" t="s">
        <v>183</v>
      </c>
      <c r="C142" t="s">
        <v>263</v>
      </c>
      <c r="D142" t="s">
        <v>13</v>
      </c>
      <c r="E142">
        <v>1</v>
      </c>
      <c r="F142">
        <v>1</v>
      </c>
      <c r="G142" t="s">
        <v>51</v>
      </c>
      <c r="H142" t="s">
        <v>52</v>
      </c>
      <c r="I142">
        <v>0.13400000000000001</v>
      </c>
      <c r="J142">
        <v>1.58</v>
      </c>
      <c r="K142">
        <v>1.91</v>
      </c>
      <c r="L142" t="s">
        <v>53</v>
      </c>
      <c r="M142" t="s">
        <v>54</v>
      </c>
      <c r="N142">
        <v>1.35</v>
      </c>
      <c r="O142">
        <v>21.6</v>
      </c>
      <c r="P142">
        <v>1440</v>
      </c>
      <c r="R142" s="4">
        <v>1</v>
      </c>
      <c r="S142" s="4">
        <v>1</v>
      </c>
      <c r="T142" s="4"/>
      <c r="U142" s="4">
        <f t="shared" si="29"/>
        <v>1.91</v>
      </c>
      <c r="V142" s="4">
        <f t="shared" si="27"/>
        <v>1.91</v>
      </c>
      <c r="W142" s="4">
        <f t="shared" si="24"/>
        <v>1.91</v>
      </c>
      <c r="X142" s="4"/>
      <c r="Y142" s="4"/>
      <c r="AD142" s="4">
        <v>1</v>
      </c>
      <c r="AE142" s="4"/>
      <c r="AF142" s="4">
        <f t="shared" si="30"/>
        <v>1440</v>
      </c>
      <c r="AG142" s="4">
        <f t="shared" si="28"/>
        <v>1440</v>
      </c>
      <c r="AH142" s="4">
        <f t="shared" si="22"/>
        <v>1440</v>
      </c>
      <c r="AI142" s="4"/>
      <c r="AJ142" s="4"/>
      <c r="AO142" s="4"/>
      <c r="AP142" s="4"/>
      <c r="AQ142" s="4"/>
    </row>
    <row r="143" spans="1:70" x14ac:dyDescent="0.3">
      <c r="A143" s="1">
        <v>45357</v>
      </c>
      <c r="B143" t="s">
        <v>183</v>
      </c>
      <c r="C143" t="s">
        <v>264</v>
      </c>
      <c r="D143">
        <v>1</v>
      </c>
      <c r="E143">
        <v>1</v>
      </c>
      <c r="F143">
        <v>1</v>
      </c>
      <c r="G143" t="s">
        <v>51</v>
      </c>
      <c r="H143" t="s">
        <v>52</v>
      </c>
      <c r="I143">
        <v>0.372</v>
      </c>
      <c r="J143">
        <v>6.49</v>
      </c>
      <c r="K143">
        <v>148</v>
      </c>
      <c r="L143" t="s">
        <v>53</v>
      </c>
      <c r="M143" t="s">
        <v>54</v>
      </c>
      <c r="N143">
        <v>1.39</v>
      </c>
      <c r="O143">
        <v>22.3</v>
      </c>
      <c r="P143">
        <v>1490</v>
      </c>
      <c r="R143" s="4">
        <v>1</v>
      </c>
      <c r="S143" s="4">
        <v>1</v>
      </c>
      <c r="T143" s="4"/>
      <c r="U143" s="4">
        <f t="shared" si="29"/>
        <v>148</v>
      </c>
      <c r="V143" s="4">
        <f t="shared" si="27"/>
        <v>148</v>
      </c>
      <c r="W143" s="4">
        <f t="shared" si="24"/>
        <v>148</v>
      </c>
      <c r="X143" s="4">
        <f>100*(W143-150)/150</f>
        <v>-1.3333333333333333</v>
      </c>
      <c r="Y143" s="4" t="str">
        <f t="shared" ref="Y143:Y149" si="31">IF((ABS(X143))&lt;=20,"PASS","FAIL")</f>
        <v>PASS</v>
      </c>
      <c r="AD143" s="4">
        <v>1</v>
      </c>
      <c r="AE143" s="4"/>
      <c r="AF143" s="4">
        <f t="shared" si="30"/>
        <v>1490</v>
      </c>
      <c r="AG143" s="4">
        <f t="shared" si="28"/>
        <v>1490</v>
      </c>
      <c r="AH143" s="4">
        <f t="shared" si="22"/>
        <v>1490</v>
      </c>
      <c r="AI143" s="4">
        <f>100*(AH143-1500)/1500</f>
        <v>-0.66666666666666663</v>
      </c>
      <c r="AJ143" s="4" t="str">
        <f t="shared" ref="AJ143:AJ149" si="32">IF((ABS(AI143))&lt;=20,"PASS","FAIL")</f>
        <v>PASS</v>
      </c>
      <c r="AO143" s="4"/>
      <c r="AP143" s="4"/>
      <c r="AQ143" s="4"/>
    </row>
    <row r="144" spans="1:70" x14ac:dyDescent="0.3">
      <c r="A144" s="1">
        <v>45357</v>
      </c>
      <c r="B144" t="s">
        <v>183</v>
      </c>
      <c r="C144" t="s">
        <v>265</v>
      </c>
      <c r="D144">
        <v>3</v>
      </c>
      <c r="E144">
        <v>1</v>
      </c>
      <c r="F144">
        <v>1</v>
      </c>
      <c r="G144" t="s">
        <v>51</v>
      </c>
      <c r="H144" t="s">
        <v>52</v>
      </c>
      <c r="I144">
        <v>0.27800000000000002</v>
      </c>
      <c r="J144">
        <v>4.8499999999999996</v>
      </c>
      <c r="K144">
        <v>101</v>
      </c>
      <c r="L144" t="s">
        <v>53</v>
      </c>
      <c r="M144" t="s">
        <v>54</v>
      </c>
      <c r="N144">
        <v>0.96099999999999997</v>
      </c>
      <c r="O144">
        <v>15.4</v>
      </c>
      <c r="P144">
        <v>997</v>
      </c>
      <c r="R144" s="4">
        <v>1</v>
      </c>
      <c r="S144" s="4">
        <v>1</v>
      </c>
      <c r="T144" s="4"/>
      <c r="U144" s="4">
        <f t="shared" si="29"/>
        <v>101</v>
      </c>
      <c r="V144" s="4">
        <f t="shared" si="27"/>
        <v>101</v>
      </c>
      <c r="W144" s="4">
        <f t="shared" si="24"/>
        <v>101</v>
      </c>
      <c r="X144" s="4">
        <f>100*(W144-100)/100</f>
        <v>1</v>
      </c>
      <c r="Y144" s="4" t="str">
        <f t="shared" si="31"/>
        <v>PASS</v>
      </c>
      <c r="AD144" s="4">
        <v>1</v>
      </c>
      <c r="AE144" s="4"/>
      <c r="AF144" s="4">
        <f t="shared" si="30"/>
        <v>997</v>
      </c>
      <c r="AG144" s="4">
        <f t="shared" si="28"/>
        <v>997</v>
      </c>
      <c r="AH144" s="4">
        <f t="shared" si="22"/>
        <v>997</v>
      </c>
      <c r="AI144" s="4">
        <f>100*(AH144-1000)/1000</f>
        <v>-0.3</v>
      </c>
      <c r="AJ144" s="4" t="str">
        <f t="shared" si="32"/>
        <v>PASS</v>
      </c>
      <c r="AO144" s="4"/>
      <c r="AP144" s="4"/>
      <c r="AQ144" s="4"/>
    </row>
    <row r="145" spans="1:70" x14ac:dyDescent="0.3">
      <c r="A145" s="1">
        <v>45357</v>
      </c>
      <c r="B145" t="s">
        <v>183</v>
      </c>
      <c r="C145" t="s">
        <v>266</v>
      </c>
      <c r="D145">
        <v>5</v>
      </c>
      <c r="E145">
        <v>1</v>
      </c>
      <c r="F145">
        <v>1</v>
      </c>
      <c r="G145" t="s">
        <v>51</v>
      </c>
      <c r="H145" t="s">
        <v>52</v>
      </c>
      <c r="I145">
        <v>0.18</v>
      </c>
      <c r="J145">
        <v>3.16</v>
      </c>
      <c r="K145">
        <v>50.6</v>
      </c>
      <c r="L145" t="s">
        <v>53</v>
      </c>
      <c r="M145" t="s">
        <v>54</v>
      </c>
      <c r="N145">
        <v>0.49299999999999999</v>
      </c>
      <c r="O145">
        <v>8.18</v>
      </c>
      <c r="P145">
        <v>496</v>
      </c>
      <c r="R145" s="4">
        <v>1</v>
      </c>
      <c r="S145" s="4">
        <v>1</v>
      </c>
      <c r="T145" s="4"/>
      <c r="U145" s="4">
        <f t="shared" si="29"/>
        <v>50.6</v>
      </c>
      <c r="V145" s="4">
        <f t="shared" si="27"/>
        <v>50.6</v>
      </c>
      <c r="W145" s="4">
        <f t="shared" si="24"/>
        <v>50.6</v>
      </c>
      <c r="X145" s="4">
        <f>100*(W145-50)/50</f>
        <v>1.2000000000000028</v>
      </c>
      <c r="Y145" s="4" t="str">
        <f t="shared" si="31"/>
        <v>PASS</v>
      </c>
      <c r="AD145" s="4">
        <v>1</v>
      </c>
      <c r="AE145" s="4"/>
      <c r="AF145" s="4">
        <f t="shared" si="30"/>
        <v>496</v>
      </c>
      <c r="AG145" s="4">
        <f t="shared" si="28"/>
        <v>496</v>
      </c>
      <c r="AH145" s="4">
        <f t="shared" si="22"/>
        <v>496</v>
      </c>
      <c r="AI145" s="4">
        <f>100*(AH145-500)/500</f>
        <v>-0.8</v>
      </c>
      <c r="AJ145" s="4" t="str">
        <f t="shared" si="32"/>
        <v>PASS</v>
      </c>
      <c r="AO145" s="4"/>
      <c r="AP145" s="4"/>
      <c r="AQ145" s="4"/>
    </row>
    <row r="146" spans="1:70" x14ac:dyDescent="0.3">
      <c r="A146" s="1">
        <v>45357</v>
      </c>
      <c r="B146" t="s">
        <v>183</v>
      </c>
      <c r="C146" t="s">
        <v>267</v>
      </c>
      <c r="D146">
        <v>7</v>
      </c>
      <c r="E146">
        <v>1</v>
      </c>
      <c r="F146">
        <v>1</v>
      </c>
      <c r="G146" t="s">
        <v>51</v>
      </c>
      <c r="H146" t="s">
        <v>52</v>
      </c>
      <c r="I146">
        <v>0.125</v>
      </c>
      <c r="J146">
        <v>2.13</v>
      </c>
      <c r="K146">
        <v>19</v>
      </c>
      <c r="L146" t="s">
        <v>53</v>
      </c>
      <c r="M146" t="s">
        <v>54</v>
      </c>
      <c r="N146">
        <v>0.115</v>
      </c>
      <c r="O146">
        <v>1.98</v>
      </c>
      <c r="P146">
        <v>71.3</v>
      </c>
      <c r="R146" s="4">
        <v>1</v>
      </c>
      <c r="S146" s="4">
        <v>1</v>
      </c>
      <c r="T146" s="4"/>
      <c r="U146" s="4">
        <f t="shared" si="29"/>
        <v>19</v>
      </c>
      <c r="V146" s="4">
        <f t="shared" si="27"/>
        <v>19</v>
      </c>
      <c r="W146" s="4">
        <f t="shared" si="24"/>
        <v>19</v>
      </c>
      <c r="X146" s="4">
        <f>100*(W146-25)/25</f>
        <v>-24</v>
      </c>
      <c r="Y146" s="4" t="str">
        <f t="shared" si="31"/>
        <v>FAIL</v>
      </c>
      <c r="AB146" s="4"/>
      <c r="AC146" s="4"/>
      <c r="AD146" s="4">
        <v>1</v>
      </c>
      <c r="AE146" s="4"/>
      <c r="AF146" s="4">
        <f t="shared" si="30"/>
        <v>71.3</v>
      </c>
      <c r="AG146" s="4">
        <f t="shared" si="28"/>
        <v>71.3</v>
      </c>
      <c r="AH146" s="4">
        <f t="shared" si="22"/>
        <v>71.3</v>
      </c>
      <c r="AI146" s="4">
        <f t="shared" ref="AI146" si="33">100*(AH146-250)/250</f>
        <v>-71.48</v>
      </c>
      <c r="AJ146" s="4" t="str">
        <f t="shared" si="32"/>
        <v>FAIL</v>
      </c>
      <c r="AM146" s="4"/>
      <c r="AN146" s="4"/>
      <c r="AO146" s="4"/>
      <c r="AP146" s="4"/>
      <c r="AQ146" s="4"/>
    </row>
    <row r="147" spans="1:70" x14ac:dyDescent="0.3">
      <c r="A147" s="1">
        <v>45357</v>
      </c>
      <c r="B147" t="s">
        <v>183</v>
      </c>
      <c r="C147" t="s">
        <v>268</v>
      </c>
      <c r="D147">
        <v>9</v>
      </c>
      <c r="E147">
        <v>1</v>
      </c>
      <c r="F147">
        <v>1</v>
      </c>
      <c r="G147" t="s">
        <v>51</v>
      </c>
      <c r="H147" t="s">
        <v>52</v>
      </c>
      <c r="I147">
        <v>0.104</v>
      </c>
      <c r="J147">
        <v>1.92</v>
      </c>
      <c r="K147">
        <v>12.5</v>
      </c>
      <c r="L147" t="s">
        <v>53</v>
      </c>
      <c r="M147" t="s">
        <v>54</v>
      </c>
      <c r="N147">
        <v>0.14699999999999999</v>
      </c>
      <c r="O147">
        <v>2.37</v>
      </c>
      <c r="P147">
        <v>97.7</v>
      </c>
      <c r="R147" s="4">
        <v>1</v>
      </c>
      <c r="S147" s="4">
        <v>1</v>
      </c>
      <c r="T147" s="4"/>
      <c r="U147" s="4">
        <f t="shared" si="29"/>
        <v>12.5</v>
      </c>
      <c r="V147" s="4">
        <f t="shared" si="27"/>
        <v>12.5</v>
      </c>
      <c r="W147" s="4">
        <f t="shared" si="24"/>
        <v>12.5</v>
      </c>
      <c r="X147" s="4">
        <f>100*(W147-10)/10</f>
        <v>25</v>
      </c>
      <c r="Y147" s="4" t="str">
        <f t="shared" si="31"/>
        <v>FAIL</v>
      </c>
      <c r="AB147" s="4"/>
      <c r="AC147" s="4"/>
      <c r="AD147" s="4">
        <v>1</v>
      </c>
      <c r="AE147" s="4"/>
      <c r="AF147" s="4">
        <f t="shared" si="30"/>
        <v>97.7</v>
      </c>
      <c r="AG147" s="4">
        <f t="shared" si="28"/>
        <v>97.7</v>
      </c>
      <c r="AH147" s="4">
        <f t="shared" si="22"/>
        <v>97.7</v>
      </c>
      <c r="AI147" s="4">
        <f>100*(AH147-100)/100</f>
        <v>-2.2999999999999972</v>
      </c>
      <c r="AJ147" s="4" t="str">
        <f t="shared" si="32"/>
        <v>PASS</v>
      </c>
      <c r="AM147" s="4"/>
      <c r="AN147" s="4"/>
      <c r="AO147" s="4"/>
      <c r="AP147" s="4"/>
      <c r="AQ147" s="4"/>
    </row>
    <row r="148" spans="1:70" x14ac:dyDescent="0.3">
      <c r="A148" s="1">
        <v>45357</v>
      </c>
      <c r="B148" t="s">
        <v>183</v>
      </c>
      <c r="C148" t="s">
        <v>269</v>
      </c>
      <c r="D148">
        <v>11</v>
      </c>
      <c r="E148">
        <v>1</v>
      </c>
      <c r="F148">
        <v>1</v>
      </c>
      <c r="G148" t="s">
        <v>51</v>
      </c>
      <c r="H148" t="s">
        <v>52</v>
      </c>
      <c r="I148">
        <v>9.35E-2</v>
      </c>
      <c r="J148">
        <v>1.73</v>
      </c>
      <c r="K148">
        <v>6.36</v>
      </c>
      <c r="L148" t="s">
        <v>53</v>
      </c>
      <c r="M148" t="s">
        <v>54</v>
      </c>
      <c r="N148">
        <v>0.106</v>
      </c>
      <c r="O148">
        <v>1.64</v>
      </c>
      <c r="P148">
        <v>48.6</v>
      </c>
      <c r="R148" s="4">
        <v>1</v>
      </c>
      <c r="S148" s="4">
        <v>1</v>
      </c>
      <c r="T148" s="4"/>
      <c r="U148" s="4">
        <f t="shared" si="29"/>
        <v>6.36</v>
      </c>
      <c r="V148" s="4">
        <f t="shared" si="27"/>
        <v>6.36</v>
      </c>
      <c r="W148" s="4">
        <f t="shared" si="24"/>
        <v>6.36</v>
      </c>
      <c r="X148" s="4">
        <f>100*(W148-5)/5</f>
        <v>27.200000000000006</v>
      </c>
      <c r="Y148" s="4" t="str">
        <f t="shared" si="31"/>
        <v>FAIL</v>
      </c>
      <c r="Z148" s="4"/>
      <c r="AA148" s="4"/>
      <c r="AD148" s="4">
        <v>1</v>
      </c>
      <c r="AE148" s="4"/>
      <c r="AF148" s="4">
        <f t="shared" si="30"/>
        <v>48.6</v>
      </c>
      <c r="AG148" s="4">
        <f t="shared" si="28"/>
        <v>48.6</v>
      </c>
      <c r="AH148" s="4">
        <f t="shared" si="22"/>
        <v>48.6</v>
      </c>
      <c r="AI148" s="4">
        <f>100*(AH148-50)/50</f>
        <v>-2.7999999999999972</v>
      </c>
      <c r="AJ148" s="4" t="str">
        <f t="shared" si="32"/>
        <v>PASS</v>
      </c>
      <c r="AK148" s="4"/>
      <c r="AL148" s="4"/>
      <c r="AO148" s="4"/>
      <c r="AP148" s="4"/>
      <c r="AQ148" s="4"/>
    </row>
    <row r="149" spans="1:70" x14ac:dyDescent="0.3">
      <c r="A149" s="1">
        <v>45357</v>
      </c>
      <c r="B149" t="s">
        <v>183</v>
      </c>
      <c r="C149" t="s">
        <v>270</v>
      </c>
      <c r="D149">
        <v>13</v>
      </c>
      <c r="E149">
        <v>1</v>
      </c>
      <c r="F149">
        <v>1</v>
      </c>
      <c r="G149" t="s">
        <v>51</v>
      </c>
      <c r="H149" t="s">
        <v>52</v>
      </c>
      <c r="I149">
        <v>8.8700000000000001E-2</v>
      </c>
      <c r="J149">
        <v>1.62</v>
      </c>
      <c r="K149">
        <v>3</v>
      </c>
      <c r="L149" t="s">
        <v>53</v>
      </c>
      <c r="M149" t="s">
        <v>54</v>
      </c>
      <c r="N149">
        <v>8.5999999999999993E-2</v>
      </c>
      <c r="O149">
        <v>1.55</v>
      </c>
      <c r="P149">
        <v>42.4</v>
      </c>
      <c r="R149" s="4">
        <v>1</v>
      </c>
      <c r="S149" s="4">
        <v>1</v>
      </c>
      <c r="T149" s="4"/>
      <c r="U149" s="4">
        <f t="shared" si="29"/>
        <v>3</v>
      </c>
      <c r="V149" s="4">
        <f t="shared" si="27"/>
        <v>3</v>
      </c>
      <c r="W149" s="4">
        <f t="shared" si="24"/>
        <v>3</v>
      </c>
      <c r="X149" s="4">
        <f>100*(W149-2.5)/2.5</f>
        <v>20</v>
      </c>
      <c r="Y149" s="4" t="str">
        <f t="shared" si="31"/>
        <v>PASS</v>
      </c>
      <c r="AD149" s="4">
        <v>1</v>
      </c>
      <c r="AE149" s="4"/>
      <c r="AF149" s="4">
        <f t="shared" si="30"/>
        <v>42.4</v>
      </c>
      <c r="AG149" s="4">
        <f t="shared" si="28"/>
        <v>42.4</v>
      </c>
      <c r="AH149" s="4">
        <f t="shared" si="22"/>
        <v>42.4</v>
      </c>
      <c r="AI149" s="4">
        <f>100*(AH149-25)/25</f>
        <v>69.599999999999994</v>
      </c>
      <c r="AJ149" s="4" t="str">
        <f t="shared" si="32"/>
        <v>FAIL</v>
      </c>
      <c r="AO149" s="4"/>
      <c r="AP149" s="4"/>
      <c r="AQ149" s="4"/>
    </row>
    <row r="150" spans="1:70" x14ac:dyDescent="0.3">
      <c r="A150" s="1">
        <v>45357</v>
      </c>
      <c r="B150" t="s">
        <v>183</v>
      </c>
      <c r="C150" t="s">
        <v>271</v>
      </c>
      <c r="D150">
        <v>15</v>
      </c>
      <c r="E150">
        <v>1</v>
      </c>
      <c r="F150">
        <v>1</v>
      </c>
      <c r="G150" t="s">
        <v>51</v>
      </c>
      <c r="H150" t="s">
        <v>52</v>
      </c>
      <c r="I150">
        <v>8.6199999999999999E-2</v>
      </c>
      <c r="J150">
        <v>1.57</v>
      </c>
      <c r="K150">
        <v>1.4</v>
      </c>
      <c r="L150" t="s">
        <v>53</v>
      </c>
      <c r="M150" t="s">
        <v>54</v>
      </c>
      <c r="N150">
        <v>6.8599999999999994E-2</v>
      </c>
      <c r="O150">
        <v>1.55</v>
      </c>
      <c r="P150">
        <v>41.9</v>
      </c>
      <c r="Q150" s="4"/>
      <c r="R150" s="4">
        <v>1</v>
      </c>
      <c r="S150" s="4">
        <v>1</v>
      </c>
      <c r="T150" s="4"/>
      <c r="U150" s="4">
        <f t="shared" si="29"/>
        <v>1.4</v>
      </c>
      <c r="V150" s="4">
        <f t="shared" si="27"/>
        <v>1.4</v>
      </c>
      <c r="W150" s="4">
        <f t="shared" si="24"/>
        <v>1.4</v>
      </c>
      <c r="X150" s="4"/>
      <c r="Y150" s="4"/>
      <c r="AD150" s="4">
        <v>1</v>
      </c>
      <c r="AE150" s="4"/>
      <c r="AF150" s="4">
        <f t="shared" si="30"/>
        <v>41.9</v>
      </c>
      <c r="AG150" s="4">
        <f t="shared" si="28"/>
        <v>41.9</v>
      </c>
      <c r="AH150" s="4">
        <f t="shared" si="22"/>
        <v>41.9</v>
      </c>
      <c r="AI150" s="4"/>
      <c r="AJ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</row>
    <row r="151" spans="1:70" x14ac:dyDescent="0.3">
      <c r="A151" s="1">
        <v>45357</v>
      </c>
      <c r="B151" t="s">
        <v>183</v>
      </c>
      <c r="C151" t="s">
        <v>200</v>
      </c>
      <c r="D151" t="s">
        <v>11</v>
      </c>
      <c r="E151">
        <v>1</v>
      </c>
      <c r="F151">
        <v>1</v>
      </c>
      <c r="G151" t="s">
        <v>51</v>
      </c>
      <c r="H151" t="s">
        <v>52</v>
      </c>
      <c r="I151">
        <v>0.13</v>
      </c>
      <c r="J151">
        <v>1.52</v>
      </c>
      <c r="K151">
        <v>-9.3899999999999997E-2</v>
      </c>
      <c r="L151" t="s">
        <v>53</v>
      </c>
      <c r="M151" t="s">
        <v>54</v>
      </c>
      <c r="N151">
        <v>-3.0099999999999998E-2</v>
      </c>
      <c r="O151">
        <v>-0.625</v>
      </c>
      <c r="P151">
        <v>-105</v>
      </c>
      <c r="Q151" s="4"/>
      <c r="R151" s="4">
        <v>1</v>
      </c>
      <c r="S151" s="4">
        <v>1</v>
      </c>
      <c r="T151" s="4"/>
      <c r="U151" s="4">
        <f t="shared" si="29"/>
        <v>-9.3899999999999997E-2</v>
      </c>
      <c r="V151" s="4">
        <f t="shared" si="27"/>
        <v>-9.3899999999999997E-2</v>
      </c>
      <c r="W151" s="4">
        <f t="shared" si="24"/>
        <v>-9.3899999999999997E-2</v>
      </c>
      <c r="AD151" s="4">
        <v>1</v>
      </c>
      <c r="AE151" s="4"/>
      <c r="AF151" s="4">
        <f t="shared" si="30"/>
        <v>-105</v>
      </c>
      <c r="AG151" s="4">
        <f t="shared" si="28"/>
        <v>-105</v>
      </c>
      <c r="AH151" s="4">
        <f t="shared" si="22"/>
        <v>-105</v>
      </c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</row>
    <row r="152" spans="1:70" x14ac:dyDescent="0.3">
      <c r="A152" s="1">
        <v>45357</v>
      </c>
      <c r="B152" t="s">
        <v>183</v>
      </c>
      <c r="C152" t="s">
        <v>201</v>
      </c>
      <c r="D152" t="s">
        <v>121</v>
      </c>
      <c r="E152">
        <v>1</v>
      </c>
      <c r="F152">
        <v>1</v>
      </c>
      <c r="G152" t="s">
        <v>51</v>
      </c>
      <c r="H152" t="s">
        <v>52</v>
      </c>
      <c r="I152">
        <v>1.0699999999999999E-2</v>
      </c>
      <c r="J152">
        <v>0.121</v>
      </c>
      <c r="K152">
        <v>-44.8</v>
      </c>
      <c r="L152" t="s">
        <v>53</v>
      </c>
      <c r="M152" t="s">
        <v>54</v>
      </c>
      <c r="N152">
        <v>1.77E-2</v>
      </c>
      <c r="O152">
        <v>0.31</v>
      </c>
      <c r="P152">
        <v>-41.8</v>
      </c>
      <c r="Q152" s="4"/>
      <c r="R152" s="4">
        <v>1</v>
      </c>
      <c r="S152" s="4">
        <v>1</v>
      </c>
      <c r="T152" s="4"/>
      <c r="U152" s="4">
        <f t="shared" si="29"/>
        <v>-44.8</v>
      </c>
      <c r="V152" s="4">
        <f t="shared" si="27"/>
        <v>-44.8</v>
      </c>
      <c r="W152" s="4">
        <f t="shared" si="24"/>
        <v>-44.8</v>
      </c>
      <c r="X152" s="4"/>
      <c r="Y152" s="4"/>
      <c r="AB152" s="4"/>
      <c r="AC152" s="4"/>
      <c r="AD152" s="4">
        <v>1</v>
      </c>
      <c r="AE152" s="4"/>
      <c r="AF152" s="4">
        <f t="shared" si="30"/>
        <v>-41.8</v>
      </c>
      <c r="AG152" s="4">
        <f t="shared" si="28"/>
        <v>-41.8</v>
      </c>
      <c r="AH152" s="4">
        <f t="shared" si="22"/>
        <v>-41.8</v>
      </c>
      <c r="AI152" s="4"/>
      <c r="AJ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</row>
    <row r="153" spans="1:70" x14ac:dyDescent="0.3">
      <c r="A153" s="1">
        <v>45357</v>
      </c>
      <c r="B153" t="s">
        <v>183</v>
      </c>
      <c r="C153" t="s">
        <v>272</v>
      </c>
      <c r="D153">
        <v>107</v>
      </c>
      <c r="E153">
        <v>1</v>
      </c>
      <c r="F153">
        <v>1</v>
      </c>
      <c r="G153" t="s">
        <v>51</v>
      </c>
      <c r="H153" t="s">
        <v>52</v>
      </c>
      <c r="I153">
        <v>0.13900000000000001</v>
      </c>
      <c r="J153">
        <v>2.52</v>
      </c>
      <c r="K153">
        <v>31</v>
      </c>
      <c r="L153" t="s">
        <v>53</v>
      </c>
      <c r="M153" t="s">
        <v>54</v>
      </c>
      <c r="N153">
        <v>0.28299999999999997</v>
      </c>
      <c r="O153">
        <v>4.5999999999999996</v>
      </c>
      <c r="P153">
        <v>250</v>
      </c>
      <c r="Q153" s="4"/>
      <c r="R153" s="4">
        <v>1</v>
      </c>
      <c r="S153" s="4">
        <v>1</v>
      </c>
      <c r="T153" s="4"/>
      <c r="U153" s="4">
        <f t="shared" si="29"/>
        <v>31</v>
      </c>
      <c r="V153" s="4">
        <f t="shared" si="27"/>
        <v>31</v>
      </c>
      <c r="W153" s="4">
        <f t="shared" si="24"/>
        <v>31</v>
      </c>
      <c r="X153" s="4"/>
      <c r="Y153" s="4"/>
      <c r="Z153" s="4"/>
      <c r="AA153" s="4"/>
      <c r="AB153" s="4"/>
      <c r="AC153" s="4"/>
      <c r="AD153" s="4">
        <v>1</v>
      </c>
      <c r="AE153" s="4"/>
      <c r="AF153" s="4">
        <f t="shared" si="30"/>
        <v>250</v>
      </c>
      <c r="AG153" s="4">
        <f t="shared" si="28"/>
        <v>250</v>
      </c>
      <c r="AH153" s="4">
        <f t="shared" si="22"/>
        <v>250</v>
      </c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</row>
    <row r="154" spans="1:70" x14ac:dyDescent="0.3">
      <c r="A154" s="1">
        <v>45357</v>
      </c>
      <c r="B154" t="s">
        <v>183</v>
      </c>
      <c r="C154" t="s">
        <v>273</v>
      </c>
      <c r="D154">
        <v>108</v>
      </c>
      <c r="E154">
        <v>1</v>
      </c>
      <c r="F154">
        <v>1</v>
      </c>
      <c r="G154" t="s">
        <v>51</v>
      </c>
      <c r="H154" t="s">
        <v>52</v>
      </c>
      <c r="I154">
        <v>0.13200000000000001</v>
      </c>
      <c r="J154">
        <v>2.41</v>
      </c>
      <c r="K154">
        <v>27.8</v>
      </c>
      <c r="L154" t="s">
        <v>53</v>
      </c>
      <c r="M154" t="s">
        <v>54</v>
      </c>
      <c r="N154">
        <v>0.309</v>
      </c>
      <c r="O154">
        <v>5.32</v>
      </c>
      <c r="P154">
        <v>299</v>
      </c>
      <c r="Q154" s="4"/>
      <c r="R154" s="4">
        <v>1</v>
      </c>
      <c r="S154" s="4">
        <v>1</v>
      </c>
      <c r="T154" s="4"/>
      <c r="U154" s="4">
        <f t="shared" si="29"/>
        <v>27.8</v>
      </c>
      <c r="V154" s="4">
        <f t="shared" si="27"/>
        <v>27.8</v>
      </c>
      <c r="W154" s="4">
        <f t="shared" si="24"/>
        <v>27.8</v>
      </c>
      <c r="AD154" s="4">
        <v>1</v>
      </c>
      <c r="AE154" s="4"/>
      <c r="AF154" s="4">
        <f t="shared" si="30"/>
        <v>299</v>
      </c>
      <c r="AG154" s="4">
        <f t="shared" si="28"/>
        <v>299</v>
      </c>
      <c r="AH154" s="4">
        <f t="shared" si="22"/>
        <v>299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</row>
    <row r="155" spans="1:70" x14ac:dyDescent="0.3">
      <c r="A155" s="1">
        <v>45357</v>
      </c>
      <c r="B155" t="s">
        <v>183</v>
      </c>
      <c r="C155" t="s">
        <v>274</v>
      </c>
      <c r="D155">
        <v>109</v>
      </c>
      <c r="E155">
        <v>1</v>
      </c>
      <c r="F155">
        <v>1</v>
      </c>
      <c r="G155" t="s">
        <v>51</v>
      </c>
      <c r="H155" t="s">
        <v>52</v>
      </c>
      <c r="I155">
        <v>0.13200000000000001</v>
      </c>
      <c r="J155">
        <v>2.44</v>
      </c>
      <c r="K155">
        <v>28.6</v>
      </c>
      <c r="L155" t="s">
        <v>53</v>
      </c>
      <c r="M155" t="s">
        <v>54</v>
      </c>
      <c r="N155">
        <v>0.26300000000000001</v>
      </c>
      <c r="O155">
        <v>4.45</v>
      </c>
      <c r="P155">
        <v>240</v>
      </c>
      <c r="Q155" s="4"/>
      <c r="R155" s="4">
        <v>1</v>
      </c>
      <c r="S155" s="4">
        <v>1</v>
      </c>
      <c r="T155" s="4"/>
      <c r="U155" s="4">
        <f t="shared" si="29"/>
        <v>28.6</v>
      </c>
      <c r="V155" s="4">
        <f t="shared" si="27"/>
        <v>28.6</v>
      </c>
      <c r="W155" s="4">
        <f t="shared" si="24"/>
        <v>28.6</v>
      </c>
      <c r="X155" s="4"/>
      <c r="Y155" s="4"/>
      <c r="AD155" s="4">
        <v>1</v>
      </c>
      <c r="AE155" s="4"/>
      <c r="AF155" s="4">
        <f t="shared" si="30"/>
        <v>240</v>
      </c>
      <c r="AG155" s="4">
        <f t="shared" si="28"/>
        <v>240</v>
      </c>
      <c r="AH155" s="4">
        <f t="shared" si="22"/>
        <v>240</v>
      </c>
      <c r="AI155" s="4"/>
      <c r="AJ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</row>
    <row r="156" spans="1:70" x14ac:dyDescent="0.3">
      <c r="A156" s="1">
        <v>45357</v>
      </c>
      <c r="B156" t="s">
        <v>183</v>
      </c>
      <c r="C156" t="s">
        <v>275</v>
      </c>
      <c r="D156">
        <v>110</v>
      </c>
      <c r="E156">
        <v>1</v>
      </c>
      <c r="F156">
        <v>1</v>
      </c>
      <c r="G156" t="s">
        <v>51</v>
      </c>
      <c r="H156" t="s">
        <v>52</v>
      </c>
      <c r="I156">
        <v>0.157</v>
      </c>
      <c r="J156">
        <v>2.83</v>
      </c>
      <c r="K156">
        <v>40.6</v>
      </c>
      <c r="L156" t="s">
        <v>53</v>
      </c>
      <c r="M156" t="s">
        <v>54</v>
      </c>
      <c r="N156">
        <v>0.3</v>
      </c>
      <c r="O156">
        <v>4.8600000000000003</v>
      </c>
      <c r="P156">
        <v>268</v>
      </c>
      <c r="Q156" s="4"/>
      <c r="R156" s="4">
        <v>1</v>
      </c>
      <c r="S156" s="4">
        <v>1</v>
      </c>
      <c r="T156" s="4"/>
      <c r="U156" s="4">
        <f t="shared" si="29"/>
        <v>40.6</v>
      </c>
      <c r="V156" s="4">
        <f t="shared" si="27"/>
        <v>40.6</v>
      </c>
      <c r="W156" s="4">
        <f t="shared" si="24"/>
        <v>40.6</v>
      </c>
      <c r="AD156" s="4">
        <v>1</v>
      </c>
      <c r="AE156" s="4"/>
      <c r="AF156" s="4">
        <f t="shared" si="30"/>
        <v>268</v>
      </c>
      <c r="AG156" s="4">
        <f t="shared" si="28"/>
        <v>268</v>
      </c>
      <c r="AH156" s="4">
        <f t="shared" si="22"/>
        <v>268</v>
      </c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</row>
    <row r="157" spans="1:70" x14ac:dyDescent="0.3">
      <c r="A157" s="1">
        <v>45357</v>
      </c>
      <c r="B157" t="s">
        <v>183</v>
      </c>
      <c r="C157" t="s">
        <v>276</v>
      </c>
      <c r="D157">
        <v>111</v>
      </c>
      <c r="E157">
        <v>1</v>
      </c>
      <c r="F157">
        <v>1</v>
      </c>
      <c r="G157" t="s">
        <v>51</v>
      </c>
      <c r="H157" t="s">
        <v>52</v>
      </c>
      <c r="I157">
        <v>0.124</v>
      </c>
      <c r="J157">
        <v>2.31</v>
      </c>
      <c r="K157">
        <v>24.6</v>
      </c>
      <c r="L157" t="s">
        <v>53</v>
      </c>
      <c r="M157" t="s">
        <v>54</v>
      </c>
      <c r="N157">
        <v>0.94499999999999995</v>
      </c>
      <c r="O157">
        <v>15.2</v>
      </c>
      <c r="P157">
        <v>990</v>
      </c>
      <c r="Q157" s="4"/>
      <c r="R157" s="4">
        <v>1</v>
      </c>
      <c r="S157" s="4">
        <v>1</v>
      </c>
      <c r="T157" s="4"/>
      <c r="U157" s="4">
        <f t="shared" si="29"/>
        <v>24.6</v>
      </c>
      <c r="V157" s="4">
        <f t="shared" si="27"/>
        <v>24.6</v>
      </c>
      <c r="W157" s="4">
        <f t="shared" si="24"/>
        <v>24.6</v>
      </c>
      <c r="X157" s="4"/>
      <c r="Y157" s="4"/>
      <c r="AD157" s="4">
        <v>1</v>
      </c>
      <c r="AE157" s="4"/>
      <c r="AF157" s="4">
        <f t="shared" si="30"/>
        <v>990</v>
      </c>
      <c r="AG157" s="4">
        <f t="shared" si="28"/>
        <v>990</v>
      </c>
      <c r="AH157" s="4">
        <f t="shared" si="22"/>
        <v>990</v>
      </c>
      <c r="AI157" s="4"/>
      <c r="AJ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</row>
    <row r="158" spans="1:70" x14ac:dyDescent="0.3">
      <c r="A158" s="1">
        <v>45357</v>
      </c>
      <c r="B158" t="s">
        <v>183</v>
      </c>
      <c r="C158" t="s">
        <v>277</v>
      </c>
      <c r="D158">
        <v>112</v>
      </c>
      <c r="E158">
        <v>1</v>
      </c>
      <c r="F158">
        <v>1</v>
      </c>
      <c r="G158" t="s">
        <v>51</v>
      </c>
      <c r="H158" t="s">
        <v>52</v>
      </c>
      <c r="I158">
        <v>0.126</v>
      </c>
      <c r="J158">
        <v>2.29</v>
      </c>
      <c r="K158">
        <v>24</v>
      </c>
      <c r="L158" t="s">
        <v>53</v>
      </c>
      <c r="M158" t="s">
        <v>54</v>
      </c>
      <c r="N158">
        <v>0.24</v>
      </c>
      <c r="O158">
        <v>3.99</v>
      </c>
      <c r="P158">
        <v>208</v>
      </c>
      <c r="Q158" s="4"/>
      <c r="R158" s="4">
        <v>1</v>
      </c>
      <c r="S158" s="4">
        <v>1</v>
      </c>
      <c r="T158" s="4"/>
      <c r="U158" s="4">
        <f t="shared" si="29"/>
        <v>24</v>
      </c>
      <c r="V158" s="4">
        <f t="shared" si="27"/>
        <v>24</v>
      </c>
      <c r="W158" s="4">
        <f t="shared" si="24"/>
        <v>24</v>
      </c>
      <c r="X158" s="4"/>
      <c r="Y158" s="4"/>
      <c r="AD158" s="4">
        <v>1</v>
      </c>
      <c r="AE158" s="4"/>
      <c r="AF158" s="4">
        <f t="shared" si="30"/>
        <v>208</v>
      </c>
      <c r="AG158" s="4">
        <f t="shared" si="28"/>
        <v>208</v>
      </c>
      <c r="AH158" s="4">
        <f t="shared" si="22"/>
        <v>208</v>
      </c>
      <c r="AI158" s="4"/>
      <c r="AJ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</row>
    <row r="159" spans="1:70" x14ac:dyDescent="0.3">
      <c r="A159" s="1">
        <v>45357</v>
      </c>
      <c r="B159" t="s">
        <v>183</v>
      </c>
      <c r="C159" t="s">
        <v>278</v>
      </c>
      <c r="D159">
        <v>113</v>
      </c>
      <c r="E159">
        <v>1</v>
      </c>
      <c r="F159">
        <v>1</v>
      </c>
      <c r="G159" t="s">
        <v>51</v>
      </c>
      <c r="H159" t="s">
        <v>52</v>
      </c>
      <c r="I159">
        <v>0.12</v>
      </c>
      <c r="J159">
        <v>2.19</v>
      </c>
      <c r="K159">
        <v>20.8</v>
      </c>
      <c r="L159" t="s">
        <v>53</v>
      </c>
      <c r="M159" t="s">
        <v>54</v>
      </c>
      <c r="N159">
        <v>0.41499999999999998</v>
      </c>
      <c r="O159">
        <v>6.8</v>
      </c>
      <c r="P159">
        <v>401</v>
      </c>
      <c r="Q159" s="4"/>
      <c r="R159" s="4">
        <v>1</v>
      </c>
      <c r="S159" s="4">
        <v>1</v>
      </c>
      <c r="T159" s="4"/>
      <c r="U159" s="4">
        <f t="shared" si="29"/>
        <v>20.8</v>
      </c>
      <c r="V159" s="4">
        <f t="shared" si="27"/>
        <v>20.8</v>
      </c>
      <c r="W159" s="4">
        <f t="shared" si="24"/>
        <v>20.8</v>
      </c>
      <c r="X159" s="4"/>
      <c r="Y159" s="4"/>
      <c r="AD159" s="4">
        <v>1</v>
      </c>
      <c r="AE159" s="4"/>
      <c r="AF159" s="4">
        <f t="shared" si="30"/>
        <v>401</v>
      </c>
      <c r="AG159" s="4">
        <f t="shared" si="28"/>
        <v>401</v>
      </c>
      <c r="AH159" s="4">
        <f t="shared" ref="AH159:AH217" si="34">IF(R159=1,AF159,(AG159*R159))</f>
        <v>401</v>
      </c>
      <c r="AI159" s="4"/>
      <c r="AJ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</row>
    <row r="160" spans="1:70" x14ac:dyDescent="0.3">
      <c r="A160" s="1">
        <v>45357</v>
      </c>
      <c r="B160" t="s">
        <v>183</v>
      </c>
      <c r="C160" t="s">
        <v>279</v>
      </c>
      <c r="D160">
        <v>114</v>
      </c>
      <c r="E160">
        <v>1</v>
      </c>
      <c r="F160">
        <v>1</v>
      </c>
      <c r="G160" t="s">
        <v>51</v>
      </c>
      <c r="H160" t="s">
        <v>52</v>
      </c>
      <c r="I160">
        <v>0.13</v>
      </c>
      <c r="J160">
        <v>2.33</v>
      </c>
      <c r="K160">
        <v>25.1</v>
      </c>
      <c r="L160" t="s">
        <v>53</v>
      </c>
      <c r="M160" t="s">
        <v>54</v>
      </c>
      <c r="N160">
        <v>0.26300000000000001</v>
      </c>
      <c r="O160">
        <v>4.55</v>
      </c>
      <c r="P160">
        <v>247</v>
      </c>
      <c r="Q160" s="4"/>
      <c r="R160" s="4">
        <v>1</v>
      </c>
      <c r="S160" s="4">
        <v>1</v>
      </c>
      <c r="T160" s="4"/>
      <c r="U160" s="4">
        <f t="shared" si="29"/>
        <v>25.1</v>
      </c>
      <c r="V160" s="4">
        <f t="shared" si="27"/>
        <v>25.1</v>
      </c>
      <c r="W160" s="4">
        <f t="shared" si="24"/>
        <v>25.1</v>
      </c>
      <c r="X160" s="4"/>
      <c r="Y160" s="4"/>
      <c r="AD160" s="4">
        <v>1</v>
      </c>
      <c r="AE160" s="4"/>
      <c r="AF160" s="4">
        <f t="shared" si="30"/>
        <v>247</v>
      </c>
      <c r="AG160" s="4">
        <f t="shared" si="28"/>
        <v>247</v>
      </c>
      <c r="AH160" s="4">
        <f t="shared" si="34"/>
        <v>247</v>
      </c>
      <c r="AI160" s="4"/>
      <c r="AJ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</row>
    <row r="161" spans="1:70" x14ac:dyDescent="0.3">
      <c r="A161" s="1">
        <v>45357</v>
      </c>
      <c r="B161" t="s">
        <v>183</v>
      </c>
      <c r="C161" t="s">
        <v>280</v>
      </c>
      <c r="D161">
        <v>115</v>
      </c>
      <c r="E161">
        <v>1</v>
      </c>
      <c r="F161">
        <v>1</v>
      </c>
      <c r="G161" t="s">
        <v>51</v>
      </c>
      <c r="H161" t="s">
        <v>52</v>
      </c>
      <c r="I161">
        <v>9.69E-2</v>
      </c>
      <c r="J161">
        <v>1.81</v>
      </c>
      <c r="K161">
        <v>9.07</v>
      </c>
      <c r="L161" t="s">
        <v>53</v>
      </c>
      <c r="M161" t="s">
        <v>54</v>
      </c>
      <c r="N161">
        <v>0.222</v>
      </c>
      <c r="O161">
        <v>3.9</v>
      </c>
      <c r="P161">
        <v>202</v>
      </c>
      <c r="Q161" s="4"/>
      <c r="R161" s="4">
        <v>1</v>
      </c>
      <c r="S161" s="4">
        <v>1</v>
      </c>
      <c r="T161" s="4"/>
      <c r="U161" s="4">
        <f t="shared" si="29"/>
        <v>9.07</v>
      </c>
      <c r="V161" s="4">
        <f t="shared" si="27"/>
        <v>9.07</v>
      </c>
      <c r="W161" s="4">
        <f t="shared" si="24"/>
        <v>9.07</v>
      </c>
      <c r="X161" s="4"/>
      <c r="Y161" s="4"/>
      <c r="AB161" s="4"/>
      <c r="AC161" s="4"/>
      <c r="AD161" s="4">
        <v>1</v>
      </c>
      <c r="AE161" s="4"/>
      <c r="AF161" s="4">
        <f t="shared" si="30"/>
        <v>202</v>
      </c>
      <c r="AG161" s="4">
        <f t="shared" si="28"/>
        <v>202</v>
      </c>
      <c r="AH161" s="4">
        <f t="shared" si="34"/>
        <v>202</v>
      </c>
      <c r="AI161" s="4"/>
      <c r="AJ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</row>
    <row r="162" spans="1:70" x14ac:dyDescent="0.3">
      <c r="A162" s="1">
        <v>45357</v>
      </c>
      <c r="B162" t="s">
        <v>183</v>
      </c>
      <c r="C162" t="s">
        <v>281</v>
      </c>
      <c r="D162">
        <v>116</v>
      </c>
      <c r="E162">
        <v>1</v>
      </c>
      <c r="F162">
        <v>1</v>
      </c>
      <c r="G162" t="s">
        <v>51</v>
      </c>
      <c r="H162" t="s">
        <v>52</v>
      </c>
      <c r="I162">
        <v>0.10199999999999999</v>
      </c>
      <c r="J162">
        <v>1.89</v>
      </c>
      <c r="K162">
        <v>11.4</v>
      </c>
      <c r="L162" t="s">
        <v>53</v>
      </c>
      <c r="M162" t="s">
        <v>54</v>
      </c>
      <c r="N162">
        <v>0.187</v>
      </c>
      <c r="O162">
        <v>3.28</v>
      </c>
      <c r="P162">
        <v>160</v>
      </c>
      <c r="R162" s="4">
        <v>1</v>
      </c>
      <c r="S162" s="4">
        <v>1</v>
      </c>
      <c r="T162" s="4"/>
      <c r="U162" s="4">
        <f t="shared" si="29"/>
        <v>11.4</v>
      </c>
      <c r="V162" s="4">
        <f t="shared" si="27"/>
        <v>11.4</v>
      </c>
      <c r="W162" s="4">
        <f t="shared" si="24"/>
        <v>11.4</v>
      </c>
      <c r="X162" s="4"/>
      <c r="Y162" s="4"/>
      <c r="AB162" s="4"/>
      <c r="AC162" s="4"/>
      <c r="AD162" s="4">
        <v>1</v>
      </c>
      <c r="AE162" s="4"/>
      <c r="AF162" s="4">
        <f t="shared" si="30"/>
        <v>160</v>
      </c>
      <c r="AG162" s="4">
        <f t="shared" si="28"/>
        <v>160</v>
      </c>
      <c r="AH162" s="4">
        <f t="shared" si="34"/>
        <v>160</v>
      </c>
      <c r="AI162" s="4"/>
      <c r="AJ162" s="4"/>
      <c r="AM162" s="4"/>
      <c r="AN162" s="4"/>
      <c r="AO162" s="4"/>
      <c r="AP162" s="4"/>
      <c r="AQ162" s="4"/>
    </row>
    <row r="163" spans="1:70" x14ac:dyDescent="0.3">
      <c r="A163" s="1">
        <v>45357</v>
      </c>
      <c r="B163" t="s">
        <v>183</v>
      </c>
      <c r="C163" t="s">
        <v>282</v>
      </c>
      <c r="D163">
        <v>117</v>
      </c>
      <c r="E163">
        <v>1</v>
      </c>
      <c r="F163">
        <v>1</v>
      </c>
      <c r="G163" t="s">
        <v>51</v>
      </c>
      <c r="H163" t="s">
        <v>52</v>
      </c>
      <c r="I163">
        <v>0.122</v>
      </c>
      <c r="J163">
        <v>2.2599999999999998</v>
      </c>
      <c r="K163">
        <v>23</v>
      </c>
      <c r="L163" t="s">
        <v>53</v>
      </c>
      <c r="M163" t="s">
        <v>54</v>
      </c>
      <c r="N163">
        <v>0.99099999999999999</v>
      </c>
      <c r="O163">
        <v>16</v>
      </c>
      <c r="P163">
        <v>1040</v>
      </c>
      <c r="R163" s="4">
        <v>1</v>
      </c>
      <c r="S163" s="4">
        <v>1</v>
      </c>
      <c r="T163" s="4"/>
      <c r="U163" s="4">
        <f t="shared" si="29"/>
        <v>23</v>
      </c>
      <c r="V163" s="4">
        <f t="shared" si="27"/>
        <v>23</v>
      </c>
      <c r="W163" s="4">
        <f t="shared" si="24"/>
        <v>23</v>
      </c>
      <c r="X163" s="4"/>
      <c r="Y163" s="4"/>
      <c r="Z163">
        <f>ABS(100*ABS(W163-W157)/AVERAGE(W163,W157))</f>
        <v>6.7226890756302575</v>
      </c>
      <c r="AA163" t="str">
        <f>IF(W163&gt;10, (IF((AND(Z163&gt;=0,Z163&lt;=20)=TRUE),"PASS","FAIL")),(IF((AND(Z163&gt;=0,Z163&lt;=50)=TRUE),"PASS","FAIL")))</f>
        <v>PASS</v>
      </c>
      <c r="AB163" s="4"/>
      <c r="AC163" s="4"/>
      <c r="AD163" s="4">
        <v>1</v>
      </c>
      <c r="AE163" s="4"/>
      <c r="AF163" s="4">
        <f t="shared" si="30"/>
        <v>1040</v>
      </c>
      <c r="AG163" s="4">
        <f t="shared" si="28"/>
        <v>1040</v>
      </c>
      <c r="AH163" s="4">
        <f t="shared" si="34"/>
        <v>1040</v>
      </c>
      <c r="AI163" s="4"/>
      <c r="AJ163" s="4"/>
      <c r="AK163">
        <f>ABS(100*ABS(AH163-AH157)/AVERAGE(AH163,AH157))</f>
        <v>4.9261083743842367</v>
      </c>
      <c r="AL163" t="str">
        <f>IF(AH163&gt;10, (IF((AND(AK163&gt;=0,AK163&lt;=20)=TRUE),"PASS","FAIL")),(IF((AND(AK163&gt;=0,AK163&lt;=50)=TRUE),"PASS","FAIL")))</f>
        <v>PASS</v>
      </c>
      <c r="AM163" s="4"/>
      <c r="AN163" s="4"/>
      <c r="AO163" s="4"/>
      <c r="AP163" s="4"/>
      <c r="AQ163" s="4"/>
    </row>
    <row r="164" spans="1:70" x14ac:dyDescent="0.3">
      <c r="A164" s="1">
        <v>45357</v>
      </c>
      <c r="B164" t="s">
        <v>183</v>
      </c>
      <c r="C164" t="s">
        <v>283</v>
      </c>
      <c r="D164">
        <v>118</v>
      </c>
      <c r="E164">
        <v>1</v>
      </c>
      <c r="F164">
        <v>1</v>
      </c>
      <c r="G164" t="s">
        <v>51</v>
      </c>
      <c r="H164" t="s">
        <v>52</v>
      </c>
      <c r="I164">
        <v>0.14699999999999999</v>
      </c>
      <c r="J164">
        <v>2.66</v>
      </c>
      <c r="K164">
        <v>35.4</v>
      </c>
      <c r="L164" t="s">
        <v>53</v>
      </c>
      <c r="M164" t="s">
        <v>54</v>
      </c>
      <c r="N164">
        <v>0.40300000000000002</v>
      </c>
      <c r="O164">
        <v>6.61</v>
      </c>
      <c r="P164">
        <v>388</v>
      </c>
      <c r="R164" s="4">
        <v>1</v>
      </c>
      <c r="S164" s="4">
        <v>1</v>
      </c>
      <c r="T164" s="4"/>
      <c r="U164" s="4">
        <f t="shared" si="29"/>
        <v>35.4</v>
      </c>
      <c r="V164" s="4">
        <f t="shared" si="27"/>
        <v>35.4</v>
      </c>
      <c r="W164" s="4">
        <f t="shared" si="24"/>
        <v>35.4</v>
      </c>
      <c r="X164" s="4"/>
      <c r="Y164" s="4"/>
      <c r="Z164" s="4"/>
      <c r="AA164" s="4"/>
      <c r="AB164">
        <f>100*((W164*10250)-(W162*10000))/(1000*250)</f>
        <v>99.54</v>
      </c>
      <c r="AC164" t="str">
        <f>IF(W164&gt;30, (IF((AND(AB164&gt;=80,AB164&lt;=120)=TRUE),"PASS","FAIL")),(IF((AND(AB164&gt;=50,AB164&lt;=150)=TRUE),"PASS","FAIL")))</f>
        <v>PASS</v>
      </c>
      <c r="AD164" s="4">
        <v>1</v>
      </c>
      <c r="AE164" s="4"/>
      <c r="AF164" s="4">
        <f t="shared" si="30"/>
        <v>388</v>
      </c>
      <c r="AG164" s="4">
        <f t="shared" si="28"/>
        <v>388</v>
      </c>
      <c r="AH164" s="4">
        <f t="shared" si="34"/>
        <v>388</v>
      </c>
      <c r="AI164" s="4"/>
      <c r="AJ164" s="4"/>
      <c r="AK164" s="4"/>
      <c r="AL164" s="4"/>
      <c r="AM164">
        <f>100*((AH164*10250)-(AH162*10000))/(10000*250)</f>
        <v>95.08</v>
      </c>
      <c r="AN164" t="str">
        <f>IF(AH164&gt;30, (IF((AND(AM164&gt;=80,AM164&lt;=120)=TRUE),"PASS","FAIL")),(IF((AND(AM164&gt;=50,AM164&lt;=150)=TRUE),"PASS","FAIL")))</f>
        <v>PASS</v>
      </c>
      <c r="AO164" s="4"/>
      <c r="AP164" s="4"/>
      <c r="AQ164" s="4"/>
    </row>
    <row r="165" spans="1:70" x14ac:dyDescent="0.3">
      <c r="A165" s="1">
        <v>45357</v>
      </c>
      <c r="B165" t="s">
        <v>183</v>
      </c>
      <c r="C165" t="s">
        <v>199</v>
      </c>
      <c r="D165">
        <v>7</v>
      </c>
      <c r="E165">
        <v>1</v>
      </c>
      <c r="F165">
        <v>1</v>
      </c>
      <c r="G165" t="s">
        <v>51</v>
      </c>
      <c r="H165" t="s">
        <v>52</v>
      </c>
      <c r="I165">
        <v>4.4400000000000004</v>
      </c>
      <c r="J165">
        <v>10.6</v>
      </c>
      <c r="K165">
        <v>258</v>
      </c>
      <c r="L165" t="s">
        <v>53</v>
      </c>
      <c r="M165" t="s">
        <v>54</v>
      </c>
      <c r="N165">
        <v>-1.61E-2</v>
      </c>
      <c r="O165">
        <v>-0.17399999999999999</v>
      </c>
      <c r="P165">
        <v>-74.599999999999994</v>
      </c>
      <c r="R165" s="4">
        <v>1</v>
      </c>
      <c r="S165" s="4">
        <v>3</v>
      </c>
      <c r="T165" s="4" t="s">
        <v>165</v>
      </c>
      <c r="U165" s="4">
        <f t="shared" si="29"/>
        <v>258</v>
      </c>
      <c r="V165" s="4">
        <f t="shared" si="27"/>
        <v>258</v>
      </c>
      <c r="W165" s="4">
        <f t="shared" si="24"/>
        <v>258</v>
      </c>
      <c r="X165" s="4">
        <f>100*(W165-25)/25</f>
        <v>932</v>
      </c>
      <c r="Y165" s="4" t="str">
        <f t="shared" ref="Y165" si="35">IF((ABS(X165))&lt;=20,"PASS","FAIL")</f>
        <v>FAIL</v>
      </c>
      <c r="AD165" s="4">
        <v>3</v>
      </c>
      <c r="AE165" s="4" t="s">
        <v>165</v>
      </c>
      <c r="AF165" s="4">
        <f t="shared" si="30"/>
        <v>-74.599999999999994</v>
      </c>
      <c r="AG165" s="4">
        <f t="shared" si="28"/>
        <v>-74.599999999999994</v>
      </c>
      <c r="AH165" s="4">
        <f t="shared" si="34"/>
        <v>-74.599999999999994</v>
      </c>
      <c r="AI165" s="4">
        <f t="shared" ref="AI165" si="36">100*(AH165-250)/250</f>
        <v>-129.84</v>
      </c>
      <c r="AJ165" s="4" t="str">
        <f t="shared" ref="AJ165" si="37">IF((ABS(AI165))&lt;=20,"PASS","FAIL")</f>
        <v>FAIL</v>
      </c>
      <c r="AO165" s="4"/>
      <c r="AP165" s="4"/>
      <c r="AQ165" s="4"/>
    </row>
    <row r="166" spans="1:70" x14ac:dyDescent="0.3">
      <c r="A166" s="1">
        <v>45357</v>
      </c>
      <c r="B166" t="s">
        <v>183</v>
      </c>
      <c r="C166" t="s">
        <v>200</v>
      </c>
      <c r="D166" t="s">
        <v>11</v>
      </c>
      <c r="E166">
        <v>1</v>
      </c>
      <c r="F166">
        <v>1</v>
      </c>
      <c r="G166" t="s">
        <v>51</v>
      </c>
      <c r="H166" t="s">
        <v>52</v>
      </c>
      <c r="I166">
        <v>0.13</v>
      </c>
      <c r="J166">
        <v>1.5</v>
      </c>
      <c r="K166">
        <v>-0.77800000000000002</v>
      </c>
      <c r="L166" t="s">
        <v>53</v>
      </c>
      <c r="M166" t="s">
        <v>54</v>
      </c>
      <c r="N166">
        <v>6.8199999999999997E-3</v>
      </c>
      <c r="O166">
        <v>-0.186</v>
      </c>
      <c r="P166">
        <v>-75.3</v>
      </c>
      <c r="Q166" s="4"/>
      <c r="R166" s="4">
        <v>1</v>
      </c>
      <c r="S166" s="4">
        <v>1</v>
      </c>
      <c r="T166" s="4"/>
      <c r="U166" s="4">
        <f t="shared" si="29"/>
        <v>-0.77800000000000002</v>
      </c>
      <c r="V166" s="4">
        <f t="shared" si="27"/>
        <v>-0.77800000000000002</v>
      </c>
      <c r="W166" s="4">
        <f t="shared" si="24"/>
        <v>-0.77800000000000002</v>
      </c>
      <c r="X166" s="4"/>
      <c r="Y166" s="4"/>
      <c r="AD166" s="4">
        <v>1</v>
      </c>
      <c r="AE166" s="4"/>
      <c r="AF166" s="4">
        <f t="shared" si="30"/>
        <v>-75.3</v>
      </c>
      <c r="AG166" s="4">
        <f t="shared" si="28"/>
        <v>-75.3</v>
      </c>
      <c r="AH166" s="4">
        <f t="shared" si="34"/>
        <v>-75.3</v>
      </c>
      <c r="AI166" s="4"/>
      <c r="AJ166" s="4"/>
      <c r="AO166" s="4"/>
      <c r="AP166" s="4"/>
      <c r="AQ166" s="4"/>
    </row>
    <row r="167" spans="1:70" x14ac:dyDescent="0.3">
      <c r="A167" s="1">
        <v>45357</v>
      </c>
      <c r="B167" t="s">
        <v>183</v>
      </c>
      <c r="C167" t="s">
        <v>201</v>
      </c>
      <c r="D167" t="s">
        <v>121</v>
      </c>
      <c r="E167">
        <v>1</v>
      </c>
      <c r="F167">
        <v>1</v>
      </c>
      <c r="G167" t="s">
        <v>51</v>
      </c>
      <c r="H167" t="s">
        <v>52</v>
      </c>
      <c r="I167">
        <v>8.6700000000000006E-3</v>
      </c>
      <c r="J167">
        <v>8.72E-2</v>
      </c>
      <c r="K167">
        <v>-45.9</v>
      </c>
      <c r="L167" t="s">
        <v>53</v>
      </c>
      <c r="M167" t="s">
        <v>54</v>
      </c>
      <c r="N167">
        <v>3.1600000000000003E-2</v>
      </c>
      <c r="O167">
        <v>0.57299999999999995</v>
      </c>
      <c r="P167">
        <v>-24</v>
      </c>
      <c r="R167" s="4">
        <v>1</v>
      </c>
      <c r="S167" s="4">
        <v>1</v>
      </c>
      <c r="T167" s="4"/>
      <c r="U167" s="4">
        <f t="shared" si="29"/>
        <v>-45.9</v>
      </c>
      <c r="V167" s="4">
        <f t="shared" si="27"/>
        <v>-45.9</v>
      </c>
      <c r="W167" s="4">
        <f t="shared" si="24"/>
        <v>-45.9</v>
      </c>
      <c r="X167" s="4"/>
      <c r="Y167" s="4"/>
      <c r="AD167" s="4">
        <v>1</v>
      </c>
      <c r="AE167" s="4"/>
      <c r="AF167" s="4">
        <f t="shared" si="30"/>
        <v>-24</v>
      </c>
      <c r="AG167" s="4">
        <f t="shared" si="28"/>
        <v>-24</v>
      </c>
      <c r="AH167" s="4">
        <f t="shared" si="34"/>
        <v>-24</v>
      </c>
      <c r="AI167" s="4"/>
      <c r="AJ167" s="4"/>
      <c r="AO167" s="4"/>
      <c r="AP167" s="4"/>
      <c r="AQ167" s="4"/>
    </row>
    <row r="168" spans="1:70" x14ac:dyDescent="0.3">
      <c r="A168" s="1">
        <v>45357</v>
      </c>
      <c r="B168" t="s">
        <v>183</v>
      </c>
      <c r="C168" t="s">
        <v>284</v>
      </c>
      <c r="D168">
        <v>119</v>
      </c>
      <c r="E168">
        <v>1</v>
      </c>
      <c r="F168">
        <v>1</v>
      </c>
      <c r="G168" t="s">
        <v>51</v>
      </c>
      <c r="H168" t="s">
        <v>52</v>
      </c>
      <c r="I168">
        <v>0.124</v>
      </c>
      <c r="J168">
        <v>2.2200000000000002</v>
      </c>
      <c r="K168">
        <v>21.6</v>
      </c>
      <c r="L168" t="s">
        <v>53</v>
      </c>
      <c r="M168" t="s">
        <v>54</v>
      </c>
      <c r="N168">
        <v>0.313</v>
      </c>
      <c r="O168">
        <v>5.13</v>
      </c>
      <c r="P168">
        <v>286</v>
      </c>
      <c r="R168" s="4">
        <v>1</v>
      </c>
      <c r="S168" s="4">
        <v>1</v>
      </c>
      <c r="T168" s="4"/>
      <c r="U168" s="4">
        <f t="shared" si="29"/>
        <v>21.6</v>
      </c>
      <c r="V168" s="4">
        <f t="shared" si="27"/>
        <v>21.6</v>
      </c>
      <c r="W168" s="4">
        <f t="shared" si="24"/>
        <v>21.6</v>
      </c>
      <c r="X168" s="4"/>
      <c r="Y168" s="4"/>
      <c r="AD168" s="4">
        <v>1</v>
      </c>
      <c r="AE168" s="4"/>
      <c r="AF168" s="4">
        <f t="shared" si="30"/>
        <v>286</v>
      </c>
      <c r="AG168" s="4">
        <f t="shared" si="28"/>
        <v>286</v>
      </c>
      <c r="AH168" s="4">
        <f t="shared" si="34"/>
        <v>286</v>
      </c>
      <c r="AI168" s="4"/>
      <c r="AJ168" s="4"/>
      <c r="AO168" s="4"/>
      <c r="AP168" s="4"/>
      <c r="AQ168" s="4"/>
    </row>
    <row r="169" spans="1:70" x14ac:dyDescent="0.3">
      <c r="A169" s="1">
        <v>45357</v>
      </c>
      <c r="B169" t="s">
        <v>183</v>
      </c>
      <c r="C169" t="s">
        <v>285</v>
      </c>
      <c r="D169">
        <v>120</v>
      </c>
      <c r="E169">
        <v>1</v>
      </c>
      <c r="F169">
        <v>1</v>
      </c>
      <c r="G169" t="s">
        <v>51</v>
      </c>
      <c r="H169" t="s">
        <v>52</v>
      </c>
      <c r="I169">
        <v>0.13</v>
      </c>
      <c r="J169">
        <v>2.31</v>
      </c>
      <c r="K169">
        <v>24.6</v>
      </c>
      <c r="L169" t="s">
        <v>53</v>
      </c>
      <c r="M169" t="s">
        <v>54</v>
      </c>
      <c r="N169">
        <v>0.255</v>
      </c>
      <c r="O169">
        <v>4.24</v>
      </c>
      <c r="P169">
        <v>225</v>
      </c>
      <c r="R169" s="4">
        <v>1</v>
      </c>
      <c r="S169" s="4">
        <v>1</v>
      </c>
      <c r="T169" s="4"/>
      <c r="U169" s="4">
        <f t="shared" si="29"/>
        <v>24.6</v>
      </c>
      <c r="V169" s="4">
        <f t="shared" si="27"/>
        <v>24.6</v>
      </c>
      <c r="W169" s="4">
        <f t="shared" si="24"/>
        <v>24.6</v>
      </c>
      <c r="X169" s="4"/>
      <c r="Y169" s="4"/>
      <c r="Z169" s="4"/>
      <c r="AA169" s="4"/>
      <c r="AB169" s="4"/>
      <c r="AC169" s="4"/>
      <c r="AD169" s="4">
        <v>1</v>
      </c>
      <c r="AE169" s="4"/>
      <c r="AF169" s="4">
        <f t="shared" si="30"/>
        <v>225</v>
      </c>
      <c r="AG169" s="4">
        <f t="shared" si="28"/>
        <v>225</v>
      </c>
      <c r="AH169" s="4">
        <f t="shared" si="34"/>
        <v>225</v>
      </c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70" x14ac:dyDescent="0.3">
      <c r="A170" s="1">
        <v>45357</v>
      </c>
      <c r="B170" t="s">
        <v>183</v>
      </c>
      <c r="C170" t="s">
        <v>286</v>
      </c>
      <c r="D170">
        <v>121</v>
      </c>
      <c r="E170">
        <v>1</v>
      </c>
      <c r="F170">
        <v>1</v>
      </c>
      <c r="G170" t="s">
        <v>51</v>
      </c>
      <c r="H170" t="s">
        <v>52</v>
      </c>
      <c r="I170">
        <v>0.10199999999999999</v>
      </c>
      <c r="J170">
        <v>1.84</v>
      </c>
      <c r="K170">
        <v>10.1</v>
      </c>
      <c r="L170" t="s">
        <v>53</v>
      </c>
      <c r="M170" t="s">
        <v>54</v>
      </c>
      <c r="N170">
        <v>0.16200000000000001</v>
      </c>
      <c r="O170">
        <v>3.05</v>
      </c>
      <c r="P170">
        <v>144</v>
      </c>
      <c r="R170" s="4">
        <v>1</v>
      </c>
      <c r="S170" s="4">
        <v>1</v>
      </c>
      <c r="T170" s="4"/>
      <c r="U170" s="4">
        <f t="shared" si="29"/>
        <v>10.1</v>
      </c>
      <c r="V170" s="4">
        <f t="shared" si="27"/>
        <v>10.1</v>
      </c>
      <c r="W170" s="4">
        <f t="shared" ref="W170:W217" si="38">IF(R170=1,U170,(V170*R170))</f>
        <v>10.1</v>
      </c>
      <c r="AD170" s="4">
        <v>1</v>
      </c>
      <c r="AE170" s="4"/>
      <c r="AF170" s="4">
        <f t="shared" si="30"/>
        <v>144</v>
      </c>
      <c r="AG170" s="4">
        <f t="shared" si="28"/>
        <v>144</v>
      </c>
      <c r="AH170" s="4">
        <f t="shared" si="34"/>
        <v>144</v>
      </c>
      <c r="AO170" s="4"/>
      <c r="AP170" s="4"/>
      <c r="AQ170" s="4"/>
    </row>
    <row r="171" spans="1:70" x14ac:dyDescent="0.3">
      <c r="A171" s="1">
        <v>45357</v>
      </c>
      <c r="B171" t="s">
        <v>183</v>
      </c>
      <c r="C171" t="s">
        <v>287</v>
      </c>
      <c r="D171">
        <v>122</v>
      </c>
      <c r="E171">
        <v>1</v>
      </c>
      <c r="F171">
        <v>1</v>
      </c>
      <c r="G171" t="s">
        <v>51</v>
      </c>
      <c r="H171" t="s">
        <v>52</v>
      </c>
      <c r="I171">
        <v>0.13200000000000001</v>
      </c>
      <c r="J171">
        <v>2.39</v>
      </c>
      <c r="K171">
        <v>26.9</v>
      </c>
      <c r="L171" t="s">
        <v>53</v>
      </c>
      <c r="M171" t="s">
        <v>54</v>
      </c>
      <c r="N171">
        <v>0.14000000000000001</v>
      </c>
      <c r="O171">
        <v>2.5</v>
      </c>
      <c r="P171">
        <v>107</v>
      </c>
      <c r="R171" s="4">
        <v>1</v>
      </c>
      <c r="S171" s="4">
        <v>1</v>
      </c>
      <c r="T171" s="4"/>
      <c r="U171" s="4">
        <f t="shared" si="29"/>
        <v>26.9</v>
      </c>
      <c r="V171" s="4">
        <f t="shared" si="27"/>
        <v>26.9</v>
      </c>
      <c r="W171" s="4">
        <f t="shared" si="38"/>
        <v>26.9</v>
      </c>
      <c r="X171" s="4"/>
      <c r="Y171" s="4"/>
      <c r="AD171" s="4">
        <v>1</v>
      </c>
      <c r="AE171" s="4"/>
      <c r="AF171" s="4">
        <f t="shared" si="30"/>
        <v>107</v>
      </c>
      <c r="AG171" s="4">
        <f t="shared" si="28"/>
        <v>107</v>
      </c>
      <c r="AH171" s="4">
        <f t="shared" si="34"/>
        <v>107</v>
      </c>
      <c r="AI171" s="4"/>
      <c r="AJ171" s="4"/>
      <c r="AO171" s="4"/>
      <c r="AP171" s="4"/>
      <c r="AQ171" s="4"/>
    </row>
    <row r="172" spans="1:70" x14ac:dyDescent="0.3">
      <c r="A172" s="1">
        <v>45357</v>
      </c>
      <c r="B172" t="s">
        <v>183</v>
      </c>
      <c r="C172" t="s">
        <v>288</v>
      </c>
      <c r="D172">
        <v>123</v>
      </c>
      <c r="E172">
        <v>1</v>
      </c>
      <c r="F172">
        <v>1</v>
      </c>
      <c r="G172" t="s">
        <v>51</v>
      </c>
      <c r="H172" t="s">
        <v>52</v>
      </c>
      <c r="I172">
        <v>0.108</v>
      </c>
      <c r="J172">
        <v>1.94</v>
      </c>
      <c r="K172">
        <v>13</v>
      </c>
      <c r="L172" t="s">
        <v>53</v>
      </c>
      <c r="M172" t="s">
        <v>54</v>
      </c>
      <c r="N172">
        <v>0.24099999999999999</v>
      </c>
      <c r="O172">
        <v>4.46</v>
      </c>
      <c r="P172">
        <v>240</v>
      </c>
      <c r="R172" s="4">
        <v>1</v>
      </c>
      <c r="S172" s="4">
        <v>1</v>
      </c>
      <c r="T172" s="4"/>
      <c r="U172" s="4">
        <f t="shared" si="29"/>
        <v>13</v>
      </c>
      <c r="V172" s="4">
        <f t="shared" si="27"/>
        <v>13</v>
      </c>
      <c r="W172" s="4">
        <f t="shared" si="38"/>
        <v>13</v>
      </c>
      <c r="X172" s="4"/>
      <c r="Y172" s="4"/>
      <c r="AD172" s="4">
        <v>1</v>
      </c>
      <c r="AE172" s="4"/>
      <c r="AF172" s="4">
        <f t="shared" si="30"/>
        <v>240</v>
      </c>
      <c r="AG172" s="4">
        <f t="shared" si="28"/>
        <v>240</v>
      </c>
      <c r="AH172" s="4">
        <f t="shared" si="34"/>
        <v>240</v>
      </c>
      <c r="AI172" s="4"/>
      <c r="AJ172" s="4"/>
      <c r="AO172" s="4"/>
      <c r="AP172" s="4"/>
      <c r="AQ172" s="4"/>
    </row>
    <row r="173" spans="1:70" x14ac:dyDescent="0.3">
      <c r="A173" s="1">
        <v>45357</v>
      </c>
      <c r="B173" t="s">
        <v>183</v>
      </c>
      <c r="C173" t="s">
        <v>289</v>
      </c>
      <c r="D173">
        <v>124</v>
      </c>
      <c r="E173">
        <v>1</v>
      </c>
      <c r="F173">
        <v>1</v>
      </c>
      <c r="G173" t="s">
        <v>51</v>
      </c>
      <c r="H173" t="s">
        <v>52</v>
      </c>
      <c r="I173">
        <v>9.7100000000000006E-2</v>
      </c>
      <c r="J173">
        <v>1.77</v>
      </c>
      <c r="K173">
        <v>7.74</v>
      </c>
      <c r="L173" t="s">
        <v>53</v>
      </c>
      <c r="M173" t="s">
        <v>54</v>
      </c>
      <c r="N173">
        <v>0.19400000000000001</v>
      </c>
      <c r="O173">
        <v>3.41</v>
      </c>
      <c r="P173">
        <v>169</v>
      </c>
      <c r="R173" s="4">
        <v>1</v>
      </c>
      <c r="S173" s="4">
        <v>1</v>
      </c>
      <c r="T173" s="4"/>
      <c r="U173" s="4">
        <f t="shared" si="29"/>
        <v>7.74</v>
      </c>
      <c r="V173" s="4">
        <f t="shared" si="27"/>
        <v>7.74</v>
      </c>
      <c r="W173" s="4">
        <f t="shared" si="38"/>
        <v>7.74</v>
      </c>
      <c r="X173" s="4"/>
      <c r="Y173" s="4"/>
      <c r="AD173" s="4">
        <v>1</v>
      </c>
      <c r="AE173" s="4"/>
      <c r="AF173" s="4">
        <f t="shared" si="30"/>
        <v>169</v>
      </c>
      <c r="AG173" s="4">
        <f t="shared" si="28"/>
        <v>169</v>
      </c>
      <c r="AH173" s="4">
        <f t="shared" si="34"/>
        <v>169</v>
      </c>
      <c r="AI173" s="4"/>
      <c r="AJ173" s="4"/>
      <c r="AO173" s="4"/>
      <c r="AP173" s="4"/>
      <c r="AQ173" s="4"/>
    </row>
    <row r="174" spans="1:70" x14ac:dyDescent="0.3">
      <c r="A174" s="1">
        <v>45357</v>
      </c>
      <c r="B174" t="s">
        <v>183</v>
      </c>
      <c r="C174" t="s">
        <v>290</v>
      </c>
      <c r="D174">
        <v>125</v>
      </c>
      <c r="E174">
        <v>1</v>
      </c>
      <c r="F174">
        <v>1</v>
      </c>
      <c r="G174" t="s">
        <v>51</v>
      </c>
      <c r="H174" t="s">
        <v>52</v>
      </c>
      <c r="I174">
        <v>0.104</v>
      </c>
      <c r="J174">
        <v>1.89</v>
      </c>
      <c r="K174">
        <v>11.5</v>
      </c>
      <c r="L174" t="s">
        <v>53</v>
      </c>
      <c r="M174" t="s">
        <v>54</v>
      </c>
      <c r="N174">
        <v>0.187</v>
      </c>
      <c r="O174">
        <v>3.34</v>
      </c>
      <c r="P174">
        <v>164</v>
      </c>
      <c r="Q174" s="4"/>
      <c r="R174" s="4">
        <v>1</v>
      </c>
      <c r="S174" s="4">
        <v>1</v>
      </c>
      <c r="T174" s="4"/>
      <c r="U174" s="4">
        <f t="shared" si="29"/>
        <v>11.5</v>
      </c>
      <c r="V174" s="4">
        <f t="shared" si="27"/>
        <v>11.5</v>
      </c>
      <c r="W174" s="4">
        <f t="shared" si="38"/>
        <v>11.5</v>
      </c>
      <c r="X174" s="4"/>
      <c r="Y174" s="4"/>
      <c r="AD174" s="4">
        <v>1</v>
      </c>
      <c r="AE174" s="4"/>
      <c r="AF174" s="4">
        <f t="shared" si="30"/>
        <v>164</v>
      </c>
      <c r="AG174" s="4">
        <f t="shared" si="28"/>
        <v>164</v>
      </c>
      <c r="AH174" s="4">
        <f t="shared" si="34"/>
        <v>164</v>
      </c>
      <c r="AI174" s="4"/>
      <c r="AJ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</row>
    <row r="175" spans="1:70" x14ac:dyDescent="0.3">
      <c r="A175" s="1">
        <v>45357</v>
      </c>
      <c r="B175" t="s">
        <v>183</v>
      </c>
      <c r="C175" t="s">
        <v>291</v>
      </c>
      <c r="D175">
        <v>126</v>
      </c>
      <c r="E175">
        <v>1</v>
      </c>
      <c r="F175">
        <v>1</v>
      </c>
      <c r="G175" t="s">
        <v>51</v>
      </c>
      <c r="H175" t="s">
        <v>52</v>
      </c>
      <c r="I175">
        <v>9.9299999999999999E-2</v>
      </c>
      <c r="J175">
        <v>1.81</v>
      </c>
      <c r="K175">
        <v>9.07</v>
      </c>
      <c r="L175" t="s">
        <v>53</v>
      </c>
      <c r="M175" t="s">
        <v>54</v>
      </c>
      <c r="N175">
        <v>0.217</v>
      </c>
      <c r="O175">
        <v>3.76</v>
      </c>
      <c r="P175">
        <v>192</v>
      </c>
      <c r="Q175" s="4"/>
      <c r="R175" s="4">
        <v>1</v>
      </c>
      <c r="S175" s="4">
        <v>1</v>
      </c>
      <c r="T175" s="4"/>
      <c r="U175" s="4">
        <f t="shared" si="29"/>
        <v>9.07</v>
      </c>
      <c r="V175" s="4">
        <f t="shared" si="27"/>
        <v>9.07</v>
      </c>
      <c r="W175" s="4">
        <f t="shared" si="38"/>
        <v>9.07</v>
      </c>
      <c r="X175" s="4"/>
      <c r="Y175" s="4"/>
      <c r="Z175" s="4"/>
      <c r="AA175" s="4"/>
      <c r="AB175" s="4"/>
      <c r="AC175" s="4"/>
      <c r="AD175" s="4">
        <v>1</v>
      </c>
      <c r="AE175" s="4"/>
      <c r="AF175" s="4">
        <f t="shared" si="30"/>
        <v>192</v>
      </c>
      <c r="AG175" s="4">
        <f t="shared" si="28"/>
        <v>192</v>
      </c>
      <c r="AH175" s="4">
        <f t="shared" si="34"/>
        <v>192</v>
      </c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</row>
    <row r="176" spans="1:70" x14ac:dyDescent="0.3">
      <c r="A176" s="1">
        <v>45357</v>
      </c>
      <c r="B176" t="s">
        <v>183</v>
      </c>
      <c r="C176" t="s">
        <v>292</v>
      </c>
      <c r="D176">
        <v>127</v>
      </c>
      <c r="E176">
        <v>1</v>
      </c>
      <c r="F176">
        <v>1</v>
      </c>
      <c r="G176" t="s">
        <v>51</v>
      </c>
      <c r="H176" t="s">
        <v>52</v>
      </c>
      <c r="I176">
        <v>0.11</v>
      </c>
      <c r="J176">
        <v>1.99</v>
      </c>
      <c r="K176">
        <v>14.6</v>
      </c>
      <c r="L176" t="s">
        <v>53</v>
      </c>
      <c r="M176" t="s">
        <v>54</v>
      </c>
      <c r="N176">
        <v>0.221</v>
      </c>
      <c r="O176">
        <v>3.65</v>
      </c>
      <c r="P176">
        <v>185</v>
      </c>
      <c r="R176" s="4">
        <v>1</v>
      </c>
      <c r="S176" s="4">
        <v>1</v>
      </c>
      <c r="T176" s="4"/>
      <c r="U176" s="4">
        <f t="shared" si="29"/>
        <v>14.6</v>
      </c>
      <c r="V176" s="4">
        <f t="shared" si="27"/>
        <v>14.6</v>
      </c>
      <c r="W176" s="4">
        <f t="shared" si="38"/>
        <v>14.6</v>
      </c>
      <c r="X176" s="4"/>
      <c r="Y176" s="4"/>
      <c r="AB176" s="4"/>
      <c r="AC176" s="4"/>
      <c r="AD176" s="4">
        <v>1</v>
      </c>
      <c r="AE176" s="4"/>
      <c r="AF176" s="4">
        <f t="shared" si="30"/>
        <v>185</v>
      </c>
      <c r="AG176" s="4">
        <f t="shared" si="28"/>
        <v>185</v>
      </c>
      <c r="AH176" s="4">
        <f t="shared" si="34"/>
        <v>185</v>
      </c>
      <c r="AI176" s="4"/>
      <c r="AJ176" s="4"/>
      <c r="AM176" s="4"/>
      <c r="AN176" s="4"/>
      <c r="AO176" s="4"/>
      <c r="AP176" s="4"/>
      <c r="AQ176" s="4"/>
    </row>
    <row r="177" spans="1:70" x14ac:dyDescent="0.3">
      <c r="A177" s="1">
        <v>45357</v>
      </c>
      <c r="B177" t="s">
        <v>183</v>
      </c>
      <c r="C177" t="s">
        <v>293</v>
      </c>
      <c r="D177">
        <v>128</v>
      </c>
      <c r="E177">
        <v>1</v>
      </c>
      <c r="F177">
        <v>1</v>
      </c>
      <c r="G177" t="s">
        <v>51</v>
      </c>
      <c r="H177" t="s">
        <v>52</v>
      </c>
      <c r="I177">
        <v>0.151</v>
      </c>
      <c r="J177">
        <v>2.71</v>
      </c>
      <c r="K177">
        <v>36.9</v>
      </c>
      <c r="L177" t="s">
        <v>53</v>
      </c>
      <c r="M177" t="s">
        <v>54</v>
      </c>
      <c r="N177">
        <v>0.746</v>
      </c>
      <c r="O177">
        <v>12</v>
      </c>
      <c r="P177">
        <v>764</v>
      </c>
      <c r="R177" s="4">
        <v>1</v>
      </c>
      <c r="S177" s="4">
        <v>1</v>
      </c>
      <c r="T177" s="4"/>
      <c r="U177" s="4">
        <f t="shared" si="29"/>
        <v>36.9</v>
      </c>
      <c r="V177" s="4">
        <f t="shared" si="27"/>
        <v>36.9</v>
      </c>
      <c r="W177" s="4">
        <f t="shared" si="38"/>
        <v>36.9</v>
      </c>
      <c r="X177" s="4"/>
      <c r="Y177" s="4"/>
      <c r="AB177" s="4"/>
      <c r="AC177" s="4"/>
      <c r="AD177" s="4">
        <v>1</v>
      </c>
      <c r="AE177" s="4"/>
      <c r="AF177" s="4">
        <f t="shared" si="30"/>
        <v>764</v>
      </c>
      <c r="AG177" s="4">
        <f t="shared" si="28"/>
        <v>764</v>
      </c>
      <c r="AH177" s="4">
        <f t="shared" si="34"/>
        <v>764</v>
      </c>
      <c r="AI177" s="4"/>
      <c r="AJ177" s="4"/>
      <c r="AM177" s="4"/>
      <c r="AN177" s="4"/>
      <c r="AO177" s="4"/>
      <c r="AP177" s="4"/>
      <c r="AQ177" s="4"/>
    </row>
    <row r="178" spans="1:70" x14ac:dyDescent="0.3">
      <c r="A178" s="1">
        <v>45357</v>
      </c>
      <c r="B178" t="s">
        <v>183</v>
      </c>
      <c r="C178" t="s">
        <v>157</v>
      </c>
      <c r="D178">
        <v>129</v>
      </c>
      <c r="E178">
        <v>1</v>
      </c>
      <c r="F178">
        <v>1</v>
      </c>
      <c r="G178" t="s">
        <v>51</v>
      </c>
      <c r="H178" t="s">
        <v>52</v>
      </c>
      <c r="I178">
        <v>0.107</v>
      </c>
      <c r="J178">
        <v>1.92</v>
      </c>
      <c r="K178">
        <v>12.3</v>
      </c>
      <c r="L178" t="s">
        <v>53</v>
      </c>
      <c r="M178" t="s">
        <v>54</v>
      </c>
      <c r="N178">
        <v>0.224</v>
      </c>
      <c r="O178">
        <v>3.66</v>
      </c>
      <c r="P178">
        <v>186</v>
      </c>
      <c r="R178" s="4">
        <v>1</v>
      </c>
      <c r="S178" s="4">
        <v>1</v>
      </c>
      <c r="T178" s="4"/>
      <c r="U178" s="4">
        <f t="shared" si="29"/>
        <v>12.3</v>
      </c>
      <c r="V178" s="4">
        <f t="shared" si="27"/>
        <v>12.3</v>
      </c>
      <c r="W178" s="4">
        <f t="shared" si="38"/>
        <v>12.3</v>
      </c>
      <c r="X178" s="4"/>
      <c r="Y178" s="4"/>
      <c r="Z178">
        <f>ABS(100*ABS(W178-W172)/AVERAGE(W178,W172))</f>
        <v>5.5335968379446578</v>
      </c>
      <c r="AA178" t="str">
        <f>IF(W178&gt;10, (IF((AND(Z178&gt;=0,Z178&lt;=20)=TRUE),"PASS","FAIL")),(IF((AND(Z178&gt;=0,Z178&lt;=50)=TRUE),"PASS","FAIL")))</f>
        <v>PASS</v>
      </c>
      <c r="AB178" s="4"/>
      <c r="AC178" s="4"/>
      <c r="AD178" s="4">
        <v>1</v>
      </c>
      <c r="AE178" s="4"/>
      <c r="AF178" s="4">
        <f t="shared" si="30"/>
        <v>186</v>
      </c>
      <c r="AG178" s="4">
        <f t="shared" si="28"/>
        <v>186</v>
      </c>
      <c r="AH178" s="4">
        <f t="shared" si="34"/>
        <v>186</v>
      </c>
      <c r="AI178" s="4"/>
      <c r="AJ178" s="4"/>
      <c r="AK178">
        <f>ABS(100*ABS(AH178-AH172)/AVERAGE(AH178,AH172))</f>
        <v>25.35211267605634</v>
      </c>
      <c r="AL178" t="str">
        <f>IF(AH178&gt;10, (IF((AND(AK178&gt;=0,AK178&lt;=20)=TRUE),"PASS","FAIL")),(IF((AND(AK178&gt;=0,AK178&lt;=50)=TRUE),"PASS","FAIL")))</f>
        <v>FAIL</v>
      </c>
      <c r="AM178" s="4"/>
      <c r="AN178" s="4"/>
      <c r="AO178" s="4"/>
      <c r="AP178" s="4"/>
      <c r="AQ178" s="4"/>
    </row>
    <row r="179" spans="1:70" x14ac:dyDescent="0.3">
      <c r="A179" s="1">
        <v>45357</v>
      </c>
      <c r="B179" t="s">
        <v>183</v>
      </c>
      <c r="C179" t="s">
        <v>158</v>
      </c>
      <c r="D179">
        <v>130</v>
      </c>
      <c r="E179">
        <v>1</v>
      </c>
      <c r="F179">
        <v>1</v>
      </c>
      <c r="G179" t="s">
        <v>51</v>
      </c>
      <c r="H179" t="s">
        <v>52</v>
      </c>
      <c r="I179">
        <v>0.191</v>
      </c>
      <c r="J179">
        <v>3.36</v>
      </c>
      <c r="K179">
        <v>56.5</v>
      </c>
      <c r="L179" t="s">
        <v>53</v>
      </c>
      <c r="M179" t="s">
        <v>54</v>
      </c>
      <c r="N179">
        <v>0.90600000000000003</v>
      </c>
      <c r="O179">
        <v>14.7</v>
      </c>
      <c r="P179">
        <v>951</v>
      </c>
      <c r="R179" s="4">
        <v>1</v>
      </c>
      <c r="S179" s="4">
        <v>1</v>
      </c>
      <c r="T179" s="4"/>
      <c r="U179" s="4">
        <f t="shared" si="29"/>
        <v>56.5</v>
      </c>
      <c r="V179" s="4">
        <f t="shared" si="27"/>
        <v>56.5</v>
      </c>
      <c r="W179" s="4">
        <f t="shared" si="38"/>
        <v>56.5</v>
      </c>
      <c r="X179" s="4"/>
      <c r="Y179" s="4"/>
      <c r="Z179" s="4"/>
      <c r="AA179" s="4"/>
      <c r="AB179">
        <f>100*((W179*10250)-(W177*10000))/(1000*250)</f>
        <v>84.05</v>
      </c>
      <c r="AC179" t="str">
        <f>IF(W179&gt;30, (IF((AND(AB179&gt;=80,AB179&lt;=120)=TRUE),"PASS","FAIL")),(IF((AND(AB179&gt;=50,AB179&lt;=150)=TRUE),"PASS","FAIL")))</f>
        <v>PASS</v>
      </c>
      <c r="AD179" s="4">
        <v>1</v>
      </c>
      <c r="AE179" s="4"/>
      <c r="AF179" s="4">
        <f t="shared" si="30"/>
        <v>951</v>
      </c>
      <c r="AG179" s="4">
        <f t="shared" si="28"/>
        <v>951</v>
      </c>
      <c r="AH179" s="4">
        <f t="shared" si="34"/>
        <v>951</v>
      </c>
      <c r="AI179" s="4"/>
      <c r="AJ179" s="4"/>
      <c r="AK179" s="4"/>
      <c r="AL179" s="4"/>
      <c r="AM179">
        <f>100*((AH179*10250)-(AH177*10000))/(10000*250)</f>
        <v>84.31</v>
      </c>
      <c r="AN179" t="str">
        <f>IF(AH179&gt;30, (IF((AND(AM179&gt;=80,AM179&lt;=120)=TRUE),"PASS","FAIL")),(IF((AND(AM179&gt;=50,AM179&lt;=150)=TRUE),"PASS","FAIL")))</f>
        <v>PASS</v>
      </c>
      <c r="AO179" s="4"/>
      <c r="AP179" s="4"/>
      <c r="AQ179" s="4"/>
    </row>
    <row r="180" spans="1:70" x14ac:dyDescent="0.3">
      <c r="A180" s="1">
        <v>45357</v>
      </c>
      <c r="B180" t="s">
        <v>183</v>
      </c>
      <c r="C180" t="s">
        <v>199</v>
      </c>
      <c r="D180">
        <v>7</v>
      </c>
      <c r="E180">
        <v>1</v>
      </c>
      <c r="F180">
        <v>1</v>
      </c>
      <c r="G180" t="s">
        <v>51</v>
      </c>
      <c r="H180" t="s">
        <v>52</v>
      </c>
      <c r="I180">
        <v>4.97</v>
      </c>
      <c r="J180">
        <v>26</v>
      </c>
      <c r="K180">
        <v>559</v>
      </c>
      <c r="L180" t="s">
        <v>53</v>
      </c>
      <c r="M180" t="s">
        <v>54</v>
      </c>
      <c r="N180">
        <v>9.7300000000000008E-3</v>
      </c>
      <c r="O180">
        <v>-5.7099999999999998E-2</v>
      </c>
      <c r="P180">
        <v>-66.599999999999994</v>
      </c>
      <c r="R180" s="4">
        <v>1</v>
      </c>
      <c r="S180" s="4">
        <v>3</v>
      </c>
      <c r="T180" s="4" t="s">
        <v>165</v>
      </c>
      <c r="U180" s="4">
        <f t="shared" si="29"/>
        <v>559</v>
      </c>
      <c r="V180" s="4">
        <f t="shared" si="27"/>
        <v>559</v>
      </c>
      <c r="W180" s="4">
        <f t="shared" si="38"/>
        <v>559</v>
      </c>
      <c r="X180" s="4">
        <f>100*(W180-25)/25</f>
        <v>2136</v>
      </c>
      <c r="Y180" s="4" t="str">
        <f t="shared" ref="Y180" si="39">IF((ABS(X180))&lt;=20,"PASS","FAIL")</f>
        <v>FAIL</v>
      </c>
      <c r="AD180" s="4">
        <v>3</v>
      </c>
      <c r="AE180" s="4" t="s">
        <v>165</v>
      </c>
      <c r="AF180" s="4">
        <f t="shared" si="30"/>
        <v>-66.599999999999994</v>
      </c>
      <c r="AG180" s="4">
        <f t="shared" si="28"/>
        <v>-66.599999999999994</v>
      </c>
      <c r="AH180" s="4">
        <f t="shared" si="34"/>
        <v>-66.599999999999994</v>
      </c>
      <c r="AI180" s="4">
        <f t="shared" ref="AI180" si="40">100*(AH180-250)/250</f>
        <v>-126.64000000000001</v>
      </c>
      <c r="AJ180" s="4" t="str">
        <f t="shared" ref="AJ180" si="41">IF((ABS(AI180))&lt;=20,"PASS","FAIL")</f>
        <v>FAIL</v>
      </c>
      <c r="AO180" s="4"/>
      <c r="AP180" s="4"/>
      <c r="AQ180" s="4"/>
    </row>
    <row r="181" spans="1:70" x14ac:dyDescent="0.3">
      <c r="A181" s="1">
        <v>45357</v>
      </c>
      <c r="B181" t="s">
        <v>183</v>
      </c>
      <c r="C181" t="s">
        <v>200</v>
      </c>
      <c r="D181" t="s">
        <v>11</v>
      </c>
      <c r="E181">
        <v>1</v>
      </c>
      <c r="F181">
        <v>1</v>
      </c>
      <c r="G181" t="s">
        <v>51</v>
      </c>
      <c r="H181" t="s">
        <v>52</v>
      </c>
      <c r="I181">
        <v>0.14099999999999999</v>
      </c>
      <c r="J181">
        <v>1.74</v>
      </c>
      <c r="K181">
        <v>6.95</v>
      </c>
      <c r="L181" t="s">
        <v>53</v>
      </c>
      <c r="M181" t="s">
        <v>54</v>
      </c>
      <c r="N181">
        <v>-1.23E-2</v>
      </c>
      <c r="O181">
        <v>-0.11700000000000001</v>
      </c>
      <c r="P181">
        <v>-70.7</v>
      </c>
      <c r="R181" s="4">
        <v>1</v>
      </c>
      <c r="S181" s="4">
        <v>1</v>
      </c>
      <c r="T181" s="4"/>
      <c r="U181" s="4">
        <f t="shared" si="29"/>
        <v>6.95</v>
      </c>
      <c r="V181" s="4">
        <f t="shared" si="27"/>
        <v>6.95</v>
      </c>
      <c r="W181" s="4">
        <f t="shared" si="38"/>
        <v>6.95</v>
      </c>
      <c r="X181" s="4"/>
      <c r="Y181" s="4"/>
      <c r="AD181" s="4">
        <v>1</v>
      </c>
      <c r="AE181" s="4"/>
      <c r="AF181" s="4">
        <f t="shared" si="30"/>
        <v>-70.7</v>
      </c>
      <c r="AG181" s="4">
        <f t="shared" si="28"/>
        <v>-70.7</v>
      </c>
      <c r="AH181" s="4">
        <f t="shared" si="34"/>
        <v>-70.7</v>
      </c>
      <c r="AI181" s="4"/>
      <c r="AJ181" s="4"/>
      <c r="AO181" s="4"/>
      <c r="AP181" s="4"/>
      <c r="AQ181" s="4"/>
    </row>
    <row r="182" spans="1:70" x14ac:dyDescent="0.3">
      <c r="A182" s="1">
        <v>45357</v>
      </c>
      <c r="B182" t="s">
        <v>183</v>
      </c>
      <c r="C182" t="s">
        <v>201</v>
      </c>
      <c r="D182" t="s">
        <v>121</v>
      </c>
      <c r="E182">
        <v>1</v>
      </c>
      <c r="F182">
        <v>1</v>
      </c>
      <c r="G182" t="s">
        <v>51</v>
      </c>
      <c r="H182" t="s">
        <v>52</v>
      </c>
      <c r="I182">
        <v>1.04E-2</v>
      </c>
      <c r="J182">
        <v>0.13400000000000001</v>
      </c>
      <c r="K182">
        <v>-44.4</v>
      </c>
      <c r="L182" t="s">
        <v>53</v>
      </c>
      <c r="M182" t="s">
        <v>54</v>
      </c>
      <c r="N182">
        <v>-1.5800000000000002E-2</v>
      </c>
      <c r="O182">
        <v>-0.19800000000000001</v>
      </c>
      <c r="P182">
        <v>-76.099999999999994</v>
      </c>
      <c r="R182" s="4">
        <v>1</v>
      </c>
      <c r="S182" s="4">
        <v>1</v>
      </c>
      <c r="T182" s="4"/>
      <c r="U182" s="4">
        <f t="shared" si="29"/>
        <v>-44.4</v>
      </c>
      <c r="V182" s="4">
        <f t="shared" si="27"/>
        <v>-44.4</v>
      </c>
      <c r="W182" s="4">
        <f t="shared" si="38"/>
        <v>-44.4</v>
      </c>
      <c r="X182" s="4"/>
      <c r="Y182" s="4"/>
      <c r="AD182" s="4">
        <v>1</v>
      </c>
      <c r="AE182" s="4"/>
      <c r="AF182" s="4">
        <f t="shared" si="30"/>
        <v>-76.099999999999994</v>
      </c>
      <c r="AG182" s="4">
        <f t="shared" si="28"/>
        <v>-76.099999999999994</v>
      </c>
      <c r="AH182" s="4">
        <f t="shared" si="34"/>
        <v>-76.099999999999994</v>
      </c>
      <c r="AI182" s="4"/>
      <c r="AJ182" s="4"/>
      <c r="AO182" s="4"/>
      <c r="AP182" s="4"/>
      <c r="AQ182" s="4"/>
    </row>
    <row r="183" spans="1:70" x14ac:dyDescent="0.3">
      <c r="A183" s="1">
        <v>45357</v>
      </c>
      <c r="B183" t="s">
        <v>183</v>
      </c>
      <c r="C183" t="s">
        <v>294</v>
      </c>
      <c r="D183">
        <v>131</v>
      </c>
      <c r="E183">
        <v>1</v>
      </c>
      <c r="F183">
        <v>1</v>
      </c>
      <c r="G183" t="s">
        <v>51</v>
      </c>
      <c r="H183" t="s">
        <v>52</v>
      </c>
      <c r="I183">
        <v>0.13</v>
      </c>
      <c r="J183">
        <v>2.35</v>
      </c>
      <c r="K183">
        <v>25.8</v>
      </c>
      <c r="L183" t="s">
        <v>53</v>
      </c>
      <c r="M183" t="s">
        <v>54</v>
      </c>
      <c r="N183">
        <v>0.24399999999999999</v>
      </c>
      <c r="O183">
        <v>4.01</v>
      </c>
      <c r="P183">
        <v>210</v>
      </c>
      <c r="R183" s="4">
        <v>1</v>
      </c>
      <c r="S183" s="4">
        <v>1</v>
      </c>
      <c r="T183" s="4"/>
      <c r="U183" s="4">
        <f t="shared" si="29"/>
        <v>25.8</v>
      </c>
      <c r="V183" s="4">
        <f t="shared" si="27"/>
        <v>25.8</v>
      </c>
      <c r="W183" s="4">
        <f t="shared" si="38"/>
        <v>25.8</v>
      </c>
      <c r="X183" s="4"/>
      <c r="Y183" s="4"/>
      <c r="Z183" s="4"/>
      <c r="AA183" s="4"/>
      <c r="AB183" s="4"/>
      <c r="AC183" s="4"/>
      <c r="AD183" s="4">
        <v>1</v>
      </c>
      <c r="AE183" s="4"/>
      <c r="AF183" s="4">
        <f t="shared" si="30"/>
        <v>210</v>
      </c>
      <c r="AG183" s="4">
        <f t="shared" si="28"/>
        <v>210</v>
      </c>
      <c r="AH183" s="4">
        <f t="shared" si="34"/>
        <v>210</v>
      </c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70" x14ac:dyDescent="0.3">
      <c r="A184" s="1">
        <v>45357</v>
      </c>
      <c r="B184" t="s">
        <v>183</v>
      </c>
      <c r="C184" t="s">
        <v>295</v>
      </c>
      <c r="D184">
        <v>132</v>
      </c>
      <c r="E184">
        <v>1</v>
      </c>
      <c r="F184">
        <v>1</v>
      </c>
      <c r="G184" t="s">
        <v>51</v>
      </c>
      <c r="H184" t="s">
        <v>52</v>
      </c>
      <c r="I184">
        <v>0.128</v>
      </c>
      <c r="J184">
        <v>2.34</v>
      </c>
      <c r="K184">
        <v>25.3</v>
      </c>
      <c r="L184" t="s">
        <v>53</v>
      </c>
      <c r="M184" t="s">
        <v>54</v>
      </c>
      <c r="N184">
        <v>0.32600000000000001</v>
      </c>
      <c r="O184">
        <v>5.33</v>
      </c>
      <c r="P184">
        <v>300</v>
      </c>
      <c r="R184" s="4">
        <v>1</v>
      </c>
      <c r="S184" s="4">
        <v>1</v>
      </c>
      <c r="T184" s="4"/>
      <c r="U184" s="4">
        <f t="shared" si="29"/>
        <v>25.3</v>
      </c>
      <c r="V184" s="4">
        <f t="shared" si="27"/>
        <v>25.3</v>
      </c>
      <c r="W184" s="4">
        <f t="shared" si="38"/>
        <v>25.3</v>
      </c>
      <c r="X184" s="4"/>
      <c r="Y184" s="4"/>
      <c r="AD184" s="4">
        <v>1</v>
      </c>
      <c r="AE184" s="4"/>
      <c r="AF184" s="4">
        <f t="shared" si="30"/>
        <v>300</v>
      </c>
      <c r="AG184" s="4">
        <f t="shared" si="28"/>
        <v>300</v>
      </c>
      <c r="AH184" s="4">
        <f t="shared" si="34"/>
        <v>300</v>
      </c>
      <c r="AI184" s="4"/>
      <c r="AJ184" s="4"/>
      <c r="AO184" s="4"/>
      <c r="AP184" s="4"/>
      <c r="AQ184" s="4"/>
    </row>
    <row r="185" spans="1:70" x14ac:dyDescent="0.3">
      <c r="A185" s="1">
        <v>45357</v>
      </c>
      <c r="B185" t="s">
        <v>183</v>
      </c>
      <c r="C185" t="s">
        <v>296</v>
      </c>
      <c r="D185">
        <v>133</v>
      </c>
      <c r="E185">
        <v>1</v>
      </c>
      <c r="F185">
        <v>1</v>
      </c>
      <c r="G185" t="s">
        <v>51</v>
      </c>
      <c r="H185" t="s">
        <v>52</v>
      </c>
      <c r="I185">
        <v>0.124</v>
      </c>
      <c r="J185">
        <v>2.21</v>
      </c>
      <c r="K185">
        <v>21.5</v>
      </c>
      <c r="L185" t="s">
        <v>53</v>
      </c>
      <c r="M185" t="s">
        <v>54</v>
      </c>
      <c r="N185">
        <v>0.27600000000000002</v>
      </c>
      <c r="O185">
        <v>4.84</v>
      </c>
      <c r="P185">
        <v>266</v>
      </c>
      <c r="R185" s="4">
        <v>1</v>
      </c>
      <c r="S185" s="4">
        <v>1</v>
      </c>
      <c r="T185" s="4"/>
      <c r="U185" s="4">
        <f t="shared" si="29"/>
        <v>21.5</v>
      </c>
      <c r="V185" s="4">
        <f t="shared" si="27"/>
        <v>21.5</v>
      </c>
      <c r="W185" s="4">
        <f t="shared" si="38"/>
        <v>21.5</v>
      </c>
      <c r="AD185" s="4">
        <v>1</v>
      </c>
      <c r="AE185" s="4"/>
      <c r="AF185" s="4">
        <f t="shared" si="30"/>
        <v>266</v>
      </c>
      <c r="AG185" s="4">
        <f t="shared" si="28"/>
        <v>266</v>
      </c>
      <c r="AH185" s="4">
        <f t="shared" si="34"/>
        <v>266</v>
      </c>
      <c r="AO185" s="4"/>
      <c r="AP185" s="4"/>
      <c r="AQ185" s="4"/>
    </row>
    <row r="186" spans="1:70" x14ac:dyDescent="0.3">
      <c r="A186" s="1">
        <v>45357</v>
      </c>
      <c r="B186" t="s">
        <v>183</v>
      </c>
      <c r="C186" t="s">
        <v>297</v>
      </c>
      <c r="D186">
        <v>134</v>
      </c>
      <c r="E186">
        <v>1</v>
      </c>
      <c r="F186">
        <v>1</v>
      </c>
      <c r="G186" t="s">
        <v>51</v>
      </c>
      <c r="H186" t="s">
        <v>52</v>
      </c>
      <c r="I186">
        <v>0.13</v>
      </c>
      <c r="J186">
        <v>2.35</v>
      </c>
      <c r="K186">
        <v>25.6</v>
      </c>
      <c r="L186" t="s">
        <v>53</v>
      </c>
      <c r="M186" t="s">
        <v>54</v>
      </c>
      <c r="N186">
        <v>0.27100000000000002</v>
      </c>
      <c r="O186">
        <v>4.49</v>
      </c>
      <c r="P186">
        <v>243</v>
      </c>
      <c r="R186" s="4">
        <v>1</v>
      </c>
      <c r="S186" s="4">
        <v>1</v>
      </c>
      <c r="T186" s="4"/>
      <c r="U186" s="4">
        <f t="shared" si="29"/>
        <v>25.6</v>
      </c>
      <c r="V186" s="4">
        <f t="shared" si="27"/>
        <v>25.6</v>
      </c>
      <c r="W186" s="4">
        <f t="shared" si="38"/>
        <v>25.6</v>
      </c>
      <c r="X186" s="4"/>
      <c r="Y186" s="4"/>
      <c r="AD186" s="4">
        <v>1</v>
      </c>
      <c r="AE186" s="4"/>
      <c r="AF186" s="4">
        <f t="shared" si="30"/>
        <v>243</v>
      </c>
      <c r="AG186" s="4">
        <f t="shared" si="28"/>
        <v>243</v>
      </c>
      <c r="AH186" s="4">
        <f t="shared" si="34"/>
        <v>243</v>
      </c>
      <c r="AI186" s="4"/>
      <c r="AJ186" s="4"/>
      <c r="AO186" s="4"/>
      <c r="AP186" s="4"/>
      <c r="AQ186" s="4"/>
    </row>
    <row r="187" spans="1:70" x14ac:dyDescent="0.3">
      <c r="A187" s="1">
        <v>45357</v>
      </c>
      <c r="B187" t="s">
        <v>183</v>
      </c>
      <c r="C187" t="s">
        <v>298</v>
      </c>
      <c r="D187">
        <v>135</v>
      </c>
      <c r="E187">
        <v>1</v>
      </c>
      <c r="F187">
        <v>1</v>
      </c>
      <c r="G187" t="s">
        <v>51</v>
      </c>
      <c r="H187" t="s">
        <v>52</v>
      </c>
      <c r="I187">
        <v>0.121</v>
      </c>
      <c r="J187">
        <v>2.17</v>
      </c>
      <c r="K187">
        <v>20.100000000000001</v>
      </c>
      <c r="L187" t="s">
        <v>53</v>
      </c>
      <c r="M187" t="s">
        <v>54</v>
      </c>
      <c r="N187">
        <v>0.28199999999999997</v>
      </c>
      <c r="O187">
        <v>4.79</v>
      </c>
      <c r="P187">
        <v>263</v>
      </c>
      <c r="Q187" s="4"/>
      <c r="R187" s="4">
        <v>1</v>
      </c>
      <c r="S187" s="4">
        <v>1</v>
      </c>
      <c r="T187" s="4"/>
      <c r="U187" s="4">
        <f t="shared" si="29"/>
        <v>20.100000000000001</v>
      </c>
      <c r="V187" s="4">
        <f t="shared" si="27"/>
        <v>20.100000000000001</v>
      </c>
      <c r="W187" s="4">
        <f t="shared" si="38"/>
        <v>20.100000000000001</v>
      </c>
      <c r="X187" s="4"/>
      <c r="Y187" s="4"/>
      <c r="AD187" s="4">
        <v>1</v>
      </c>
      <c r="AE187" s="4"/>
      <c r="AF187" s="4">
        <f t="shared" si="30"/>
        <v>263</v>
      </c>
      <c r="AG187" s="4">
        <f t="shared" si="28"/>
        <v>263</v>
      </c>
      <c r="AH187" s="4">
        <f t="shared" si="34"/>
        <v>263</v>
      </c>
      <c r="AI187" s="4"/>
      <c r="AJ187" s="4"/>
      <c r="AO187" s="4"/>
      <c r="AP187" s="4"/>
      <c r="AQ187" s="4"/>
    </row>
    <row r="188" spans="1:70" x14ac:dyDescent="0.3">
      <c r="A188" s="1">
        <v>45357</v>
      </c>
      <c r="B188" t="s">
        <v>183</v>
      </c>
      <c r="C188" t="s">
        <v>299</v>
      </c>
      <c r="D188">
        <v>136</v>
      </c>
      <c r="E188">
        <v>1</v>
      </c>
      <c r="F188">
        <v>1</v>
      </c>
      <c r="G188" t="s">
        <v>51</v>
      </c>
      <c r="H188" t="s">
        <v>52</v>
      </c>
      <c r="I188">
        <v>0.1</v>
      </c>
      <c r="J188">
        <v>1.83</v>
      </c>
      <c r="K188">
        <v>9.4700000000000006</v>
      </c>
      <c r="L188" t="s">
        <v>53</v>
      </c>
      <c r="M188" t="s">
        <v>54</v>
      </c>
      <c r="N188">
        <v>0.13300000000000001</v>
      </c>
      <c r="O188">
        <v>2.39</v>
      </c>
      <c r="P188">
        <v>99.5</v>
      </c>
      <c r="Q188" s="4"/>
      <c r="R188" s="4">
        <v>1</v>
      </c>
      <c r="S188" s="4">
        <v>1</v>
      </c>
      <c r="T188" s="4"/>
      <c r="U188" s="4">
        <f t="shared" si="29"/>
        <v>9.4700000000000006</v>
      </c>
      <c r="V188" s="4">
        <f t="shared" si="27"/>
        <v>9.4700000000000006</v>
      </c>
      <c r="W188" s="4">
        <f t="shared" si="38"/>
        <v>9.4700000000000006</v>
      </c>
      <c r="X188" s="4"/>
      <c r="Y188" s="4"/>
      <c r="AD188" s="4">
        <v>1</v>
      </c>
      <c r="AE188" s="4"/>
      <c r="AF188" s="4">
        <f t="shared" si="30"/>
        <v>99.5</v>
      </c>
      <c r="AG188" s="4">
        <f t="shared" si="28"/>
        <v>99.5</v>
      </c>
      <c r="AH188" s="4">
        <f t="shared" si="34"/>
        <v>99.5</v>
      </c>
      <c r="AI188" s="4"/>
      <c r="AJ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</row>
    <row r="189" spans="1:70" x14ac:dyDescent="0.3">
      <c r="A189" s="1">
        <v>45357</v>
      </c>
      <c r="B189" t="s">
        <v>183</v>
      </c>
      <c r="C189" t="s">
        <v>300</v>
      </c>
      <c r="D189">
        <v>137</v>
      </c>
      <c r="E189">
        <v>1</v>
      </c>
      <c r="F189">
        <v>1</v>
      </c>
      <c r="G189" t="s">
        <v>51</v>
      </c>
      <c r="H189" t="s">
        <v>52</v>
      </c>
      <c r="I189">
        <v>0.13700000000000001</v>
      </c>
      <c r="J189">
        <v>2.4700000000000002</v>
      </c>
      <c r="K189">
        <v>29.5</v>
      </c>
      <c r="L189" t="s">
        <v>53</v>
      </c>
      <c r="M189" t="s">
        <v>54</v>
      </c>
      <c r="N189">
        <v>0.157</v>
      </c>
      <c r="O189">
        <v>2.75</v>
      </c>
      <c r="P189">
        <v>124</v>
      </c>
      <c r="Q189" s="4"/>
      <c r="R189" s="4">
        <v>1</v>
      </c>
      <c r="S189" s="4">
        <v>1</v>
      </c>
      <c r="T189" s="4"/>
      <c r="U189" s="4">
        <f t="shared" si="29"/>
        <v>29.5</v>
      </c>
      <c r="V189" s="4">
        <f t="shared" si="27"/>
        <v>29.5</v>
      </c>
      <c r="W189" s="4">
        <f t="shared" si="38"/>
        <v>29.5</v>
      </c>
      <c r="X189" s="4"/>
      <c r="Y189" s="4"/>
      <c r="AB189" s="4"/>
      <c r="AC189" s="4"/>
      <c r="AD189" s="4">
        <v>1</v>
      </c>
      <c r="AE189" s="4"/>
      <c r="AF189" s="4">
        <f t="shared" si="30"/>
        <v>124</v>
      </c>
      <c r="AG189" s="4">
        <f t="shared" si="28"/>
        <v>124</v>
      </c>
      <c r="AH189" s="4">
        <f t="shared" si="34"/>
        <v>124</v>
      </c>
      <c r="AI189" s="4"/>
      <c r="AJ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</row>
    <row r="190" spans="1:70" x14ac:dyDescent="0.3">
      <c r="A190" s="1">
        <v>45357</v>
      </c>
      <c r="B190" t="s">
        <v>183</v>
      </c>
      <c r="C190" t="s">
        <v>301</v>
      </c>
      <c r="D190">
        <v>138</v>
      </c>
      <c r="E190">
        <v>1</v>
      </c>
      <c r="F190">
        <v>1</v>
      </c>
      <c r="G190" t="s">
        <v>51</v>
      </c>
      <c r="H190" t="s">
        <v>52</v>
      </c>
      <c r="I190">
        <v>0.114</v>
      </c>
      <c r="J190">
        <v>2.0499999999999998</v>
      </c>
      <c r="K190">
        <v>16.5</v>
      </c>
      <c r="L190" t="s">
        <v>53</v>
      </c>
      <c r="M190" t="s">
        <v>54</v>
      </c>
      <c r="N190">
        <v>0.372</v>
      </c>
      <c r="O190">
        <v>6.11</v>
      </c>
      <c r="P190">
        <v>354</v>
      </c>
      <c r="Q190" s="4"/>
      <c r="R190" s="4">
        <v>1</v>
      </c>
      <c r="S190" s="4">
        <v>1</v>
      </c>
      <c r="T190" s="4"/>
      <c r="U190" s="4">
        <f t="shared" si="29"/>
        <v>16.5</v>
      </c>
      <c r="V190" s="4">
        <f t="shared" si="27"/>
        <v>16.5</v>
      </c>
      <c r="W190" s="4">
        <f t="shared" si="38"/>
        <v>16.5</v>
      </c>
      <c r="X190" s="4"/>
      <c r="Y190" s="4"/>
      <c r="Z190" s="4"/>
      <c r="AA190" s="4"/>
      <c r="AD190" s="4">
        <v>1</v>
      </c>
      <c r="AE190" s="4"/>
      <c r="AF190" s="4">
        <f t="shared" si="30"/>
        <v>354</v>
      </c>
      <c r="AG190" s="4">
        <f t="shared" si="28"/>
        <v>354</v>
      </c>
      <c r="AH190" s="4">
        <f t="shared" si="34"/>
        <v>354</v>
      </c>
      <c r="AI190" s="4"/>
      <c r="AJ190" s="4"/>
      <c r="AK190" s="4"/>
      <c r="AL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</row>
    <row r="191" spans="1:70" x14ac:dyDescent="0.3">
      <c r="A191" s="1">
        <v>45357</v>
      </c>
      <c r="B191" t="s">
        <v>183</v>
      </c>
      <c r="C191" t="s">
        <v>302</v>
      </c>
      <c r="D191">
        <v>139</v>
      </c>
      <c r="E191">
        <v>1</v>
      </c>
      <c r="F191">
        <v>1</v>
      </c>
      <c r="G191" t="s">
        <v>51</v>
      </c>
      <c r="H191" t="s">
        <v>52</v>
      </c>
      <c r="I191">
        <v>0.13900000000000001</v>
      </c>
      <c r="J191">
        <v>2.52</v>
      </c>
      <c r="K191">
        <v>31</v>
      </c>
      <c r="L191" t="s">
        <v>53</v>
      </c>
      <c r="M191" t="s">
        <v>54</v>
      </c>
      <c r="N191">
        <v>0.26200000000000001</v>
      </c>
      <c r="O191">
        <v>4.5599999999999996</v>
      </c>
      <c r="P191">
        <v>247</v>
      </c>
      <c r="Q191" s="4"/>
      <c r="R191" s="4">
        <v>1</v>
      </c>
      <c r="S191" s="4">
        <v>1</v>
      </c>
      <c r="T191" s="4"/>
      <c r="U191" s="4">
        <f t="shared" si="29"/>
        <v>31</v>
      </c>
      <c r="V191" s="4">
        <f t="shared" si="27"/>
        <v>31</v>
      </c>
      <c r="W191" s="4">
        <f t="shared" si="38"/>
        <v>31</v>
      </c>
      <c r="X191" s="4"/>
      <c r="Y191" s="4"/>
      <c r="AB191" s="4"/>
      <c r="AC191" s="4"/>
      <c r="AD191" s="4">
        <v>1</v>
      </c>
      <c r="AE191" s="4"/>
      <c r="AF191" s="4">
        <f t="shared" si="30"/>
        <v>247</v>
      </c>
      <c r="AG191" s="4">
        <f t="shared" si="28"/>
        <v>247</v>
      </c>
      <c r="AH191" s="4">
        <f t="shared" si="34"/>
        <v>247</v>
      </c>
      <c r="AI191" s="4"/>
      <c r="AJ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</row>
    <row r="192" spans="1:70" x14ac:dyDescent="0.3">
      <c r="A192" s="1">
        <v>45357</v>
      </c>
      <c r="B192" t="s">
        <v>183</v>
      </c>
      <c r="C192" t="s">
        <v>303</v>
      </c>
      <c r="D192">
        <v>140</v>
      </c>
      <c r="E192">
        <v>1</v>
      </c>
      <c r="F192">
        <v>1</v>
      </c>
      <c r="G192" t="s">
        <v>51</v>
      </c>
      <c r="H192" t="s">
        <v>52</v>
      </c>
      <c r="I192">
        <v>0.126</v>
      </c>
      <c r="J192">
        <v>2.2799999999999998</v>
      </c>
      <c r="K192">
        <v>23.7</v>
      </c>
      <c r="L192" t="s">
        <v>53</v>
      </c>
      <c r="M192" t="s">
        <v>54</v>
      </c>
      <c r="N192">
        <v>0.33500000000000002</v>
      </c>
      <c r="O192">
        <v>5.63</v>
      </c>
      <c r="P192">
        <v>321</v>
      </c>
      <c r="R192" s="4">
        <v>1</v>
      </c>
      <c r="S192" s="4">
        <v>1</v>
      </c>
      <c r="T192" s="4"/>
      <c r="U192" s="4">
        <f t="shared" si="29"/>
        <v>23.7</v>
      </c>
      <c r="V192" s="4">
        <f t="shared" si="27"/>
        <v>23.7</v>
      </c>
      <c r="W192" s="4">
        <f t="shared" si="38"/>
        <v>23.7</v>
      </c>
      <c r="X192" s="4"/>
      <c r="Y192" s="4"/>
      <c r="AB192" s="4"/>
      <c r="AC192" s="4"/>
      <c r="AD192" s="4">
        <v>1</v>
      </c>
      <c r="AE192" s="4"/>
      <c r="AF192" s="4">
        <f t="shared" si="30"/>
        <v>321</v>
      </c>
      <c r="AG192" s="4">
        <f t="shared" si="28"/>
        <v>321</v>
      </c>
      <c r="AH192" s="4">
        <f t="shared" si="34"/>
        <v>321</v>
      </c>
      <c r="AI192" s="4"/>
      <c r="AJ192" s="4"/>
      <c r="AM192" s="4"/>
      <c r="AN192" s="4"/>
      <c r="AO192" s="4"/>
      <c r="AP192" s="4"/>
      <c r="AQ192" s="4"/>
    </row>
    <row r="193" spans="1:70" x14ac:dyDescent="0.3">
      <c r="A193" s="1">
        <v>45357</v>
      </c>
      <c r="B193" t="s">
        <v>183</v>
      </c>
      <c r="C193" t="s">
        <v>159</v>
      </c>
      <c r="D193">
        <v>141</v>
      </c>
      <c r="E193">
        <v>1</v>
      </c>
      <c r="F193">
        <v>1</v>
      </c>
      <c r="G193" t="s">
        <v>51</v>
      </c>
      <c r="H193" t="s">
        <v>52</v>
      </c>
      <c r="I193">
        <v>0.122</v>
      </c>
      <c r="J193">
        <v>2.2000000000000002</v>
      </c>
      <c r="K193">
        <v>21.3</v>
      </c>
      <c r="L193" t="s">
        <v>53</v>
      </c>
      <c r="M193" t="s">
        <v>54</v>
      </c>
      <c r="N193">
        <v>0.28699999999999998</v>
      </c>
      <c r="O193">
        <v>4.7300000000000004</v>
      </c>
      <c r="P193">
        <v>259</v>
      </c>
      <c r="R193" s="4">
        <v>1</v>
      </c>
      <c r="S193" s="4">
        <v>1</v>
      </c>
      <c r="T193" s="4"/>
      <c r="U193" s="4">
        <f t="shared" si="29"/>
        <v>21.3</v>
      </c>
      <c r="V193" s="4">
        <f t="shared" si="27"/>
        <v>21.3</v>
      </c>
      <c r="W193" s="4">
        <f t="shared" si="38"/>
        <v>21.3</v>
      </c>
      <c r="X193" s="4"/>
      <c r="Y193" s="4"/>
      <c r="Z193">
        <f>ABS(100*ABS(W193-W187)/AVERAGE(W193,W187))</f>
        <v>5.7971014492753579</v>
      </c>
      <c r="AA193" t="str">
        <f>IF(W193&gt;10, (IF((AND(Z193&gt;=0,Z193&lt;=20)=TRUE),"PASS","FAIL")),(IF((AND(Z193&gt;=0,Z193&lt;=50)=TRUE),"PASS","FAIL")))</f>
        <v>PASS</v>
      </c>
      <c r="AB193" s="4"/>
      <c r="AC193" s="4"/>
      <c r="AD193" s="4">
        <v>1</v>
      </c>
      <c r="AE193" s="4"/>
      <c r="AF193" s="4">
        <f t="shared" si="30"/>
        <v>259</v>
      </c>
      <c r="AG193" s="4">
        <f t="shared" si="28"/>
        <v>259</v>
      </c>
      <c r="AH193" s="4">
        <f t="shared" si="34"/>
        <v>259</v>
      </c>
      <c r="AI193" s="4"/>
      <c r="AJ193" s="4"/>
      <c r="AK193">
        <f>ABS(100*ABS(AH193-AH187)/AVERAGE(AH193,AH187))</f>
        <v>1.5325670498084292</v>
      </c>
      <c r="AL193" t="str">
        <f>IF(AH193&gt;10, (IF((AND(AK193&gt;=0,AK193&lt;=20)=TRUE),"PASS","FAIL")),(IF((AND(AK193&gt;=0,AK193&lt;=50)=TRUE),"PASS","FAIL")))</f>
        <v>PASS</v>
      </c>
      <c r="AM193" s="4"/>
      <c r="AN193" s="4"/>
      <c r="AO193" s="4"/>
      <c r="AP193" s="4"/>
      <c r="AQ193" s="4"/>
    </row>
    <row r="194" spans="1:70" x14ac:dyDescent="0.3">
      <c r="A194" s="1">
        <v>45357</v>
      </c>
      <c r="B194" t="s">
        <v>183</v>
      </c>
      <c r="C194" t="s">
        <v>160</v>
      </c>
      <c r="D194">
        <v>142</v>
      </c>
      <c r="E194">
        <v>1</v>
      </c>
      <c r="F194">
        <v>1</v>
      </c>
      <c r="G194" t="s">
        <v>51</v>
      </c>
      <c r="H194" t="s">
        <v>52</v>
      </c>
      <c r="I194">
        <v>0.17199999999999999</v>
      </c>
      <c r="J194">
        <v>3.06</v>
      </c>
      <c r="K194">
        <v>47.6</v>
      </c>
      <c r="L194" t="s">
        <v>53</v>
      </c>
      <c r="M194" t="s">
        <v>54</v>
      </c>
      <c r="N194">
        <v>0.55500000000000005</v>
      </c>
      <c r="O194">
        <v>8.93</v>
      </c>
      <c r="P194">
        <v>548</v>
      </c>
      <c r="R194" s="4">
        <v>1</v>
      </c>
      <c r="S194" s="4">
        <v>1</v>
      </c>
      <c r="T194" s="4"/>
      <c r="U194" s="4">
        <f t="shared" si="29"/>
        <v>47.6</v>
      </c>
      <c r="V194" s="4">
        <f t="shared" si="27"/>
        <v>47.6</v>
      </c>
      <c r="W194" s="4">
        <f t="shared" si="38"/>
        <v>47.6</v>
      </c>
      <c r="X194" s="4"/>
      <c r="Y194" s="4"/>
      <c r="Z194" s="4"/>
      <c r="AA194" s="4"/>
      <c r="AB194">
        <f>100*((W194*10250)-(W192*10000))/(1000*250)</f>
        <v>100.36</v>
      </c>
      <c r="AC194" t="str">
        <f>IF(W194&gt;30, (IF((AND(AB194&gt;=80,AB194&lt;=120)=TRUE),"PASS","FAIL")),(IF((AND(AB194&gt;=50,AB194&lt;=150)=TRUE),"PASS","FAIL")))</f>
        <v>PASS</v>
      </c>
      <c r="AD194" s="4">
        <v>1</v>
      </c>
      <c r="AE194" s="4"/>
      <c r="AF194" s="4">
        <f t="shared" si="30"/>
        <v>548</v>
      </c>
      <c r="AG194" s="4">
        <f t="shared" si="28"/>
        <v>548</v>
      </c>
      <c r="AH194" s="4">
        <f t="shared" si="34"/>
        <v>548</v>
      </c>
      <c r="AI194" s="4"/>
      <c r="AJ194" s="4"/>
      <c r="AK194" s="4"/>
      <c r="AL194" s="4"/>
      <c r="AM194">
        <f>100*((AH194*10250)-(AH192*10000))/(10000*250)</f>
        <v>96.28</v>
      </c>
      <c r="AN194" t="str">
        <f>IF(AH194&gt;30, (IF((AND(AM194&gt;=80,AM194&lt;=120)=TRUE),"PASS","FAIL")),(IF((AND(AM194&gt;=50,AM194&lt;=150)=TRUE),"PASS","FAIL")))</f>
        <v>PASS</v>
      </c>
      <c r="AO194" s="4"/>
      <c r="AP194" s="4"/>
      <c r="AQ194" s="4"/>
    </row>
    <row r="195" spans="1:70" x14ac:dyDescent="0.3">
      <c r="A195" s="1">
        <v>45357</v>
      </c>
      <c r="B195" t="s">
        <v>183</v>
      </c>
      <c r="C195" t="s">
        <v>199</v>
      </c>
      <c r="D195">
        <v>7</v>
      </c>
      <c r="E195">
        <v>1</v>
      </c>
      <c r="F195">
        <v>1</v>
      </c>
      <c r="G195" t="s">
        <v>51</v>
      </c>
      <c r="H195" t="s">
        <v>52</v>
      </c>
      <c r="I195">
        <v>0.13300000000000001</v>
      </c>
      <c r="J195">
        <v>2.35</v>
      </c>
      <c r="K195">
        <v>25.9</v>
      </c>
      <c r="L195" t="s">
        <v>53</v>
      </c>
      <c r="M195" t="s">
        <v>54</v>
      </c>
      <c r="N195">
        <v>0.25900000000000001</v>
      </c>
      <c r="O195">
        <v>4.6399999999999997</v>
      </c>
      <c r="P195">
        <v>253</v>
      </c>
      <c r="R195" s="4">
        <v>1</v>
      </c>
      <c r="S195" s="4">
        <v>1</v>
      </c>
      <c r="T195" s="4"/>
      <c r="U195" s="4">
        <f t="shared" si="29"/>
        <v>25.9</v>
      </c>
      <c r="V195" s="4">
        <f t="shared" si="27"/>
        <v>25.9</v>
      </c>
      <c r="W195" s="4">
        <f t="shared" si="38"/>
        <v>25.9</v>
      </c>
      <c r="X195" s="4">
        <f>100*(W195-25)/25</f>
        <v>3.5999999999999943</v>
      </c>
      <c r="Y195" s="4" t="str">
        <f t="shared" ref="Y195" si="42">IF((ABS(X195))&lt;=20,"PASS","FAIL")</f>
        <v>PASS</v>
      </c>
      <c r="AD195" s="4">
        <v>1</v>
      </c>
      <c r="AE195" s="4"/>
      <c r="AF195" s="4">
        <f t="shared" si="30"/>
        <v>253</v>
      </c>
      <c r="AG195" s="4">
        <f t="shared" si="28"/>
        <v>253</v>
      </c>
      <c r="AH195" s="4">
        <f t="shared" si="34"/>
        <v>253</v>
      </c>
      <c r="AI195" s="4">
        <f t="shared" ref="AI195" si="43">100*(AH195-250)/250</f>
        <v>1.2</v>
      </c>
      <c r="AJ195" s="4" t="str">
        <f t="shared" ref="AJ195" si="44">IF((ABS(AI195))&lt;=20,"PASS","FAIL")</f>
        <v>PASS</v>
      </c>
      <c r="AO195" s="4"/>
      <c r="AP195" s="4"/>
      <c r="AQ195" s="4"/>
    </row>
    <row r="196" spans="1:70" x14ac:dyDescent="0.3">
      <c r="A196" s="1">
        <v>45357</v>
      </c>
      <c r="B196" t="s">
        <v>183</v>
      </c>
      <c r="C196" t="s">
        <v>200</v>
      </c>
      <c r="D196" t="s">
        <v>11</v>
      </c>
      <c r="E196">
        <v>1</v>
      </c>
      <c r="F196">
        <v>1</v>
      </c>
      <c r="G196" t="s">
        <v>51</v>
      </c>
      <c r="H196" t="s">
        <v>52</v>
      </c>
      <c r="I196">
        <v>0.13</v>
      </c>
      <c r="J196">
        <v>1.56</v>
      </c>
      <c r="K196">
        <v>1.02</v>
      </c>
      <c r="L196" t="s">
        <v>53</v>
      </c>
      <c r="M196" t="s">
        <v>54</v>
      </c>
      <c r="N196">
        <v>6.6600000000000001E-3</v>
      </c>
      <c r="O196">
        <v>-6.4100000000000004E-2</v>
      </c>
      <c r="P196">
        <v>-67.099999999999994</v>
      </c>
      <c r="R196" s="4">
        <v>1</v>
      </c>
      <c r="S196" s="4">
        <v>1</v>
      </c>
      <c r="T196" s="4"/>
      <c r="U196" s="4">
        <f t="shared" si="29"/>
        <v>1.02</v>
      </c>
      <c r="V196" s="4">
        <f t="shared" si="27"/>
        <v>1.02</v>
      </c>
      <c r="W196" s="4">
        <f t="shared" si="38"/>
        <v>1.02</v>
      </c>
      <c r="X196" s="4"/>
      <c r="Y196" s="4"/>
      <c r="AB196" s="4"/>
      <c r="AC196" s="4"/>
      <c r="AD196" s="4">
        <v>1</v>
      </c>
      <c r="AE196" s="4"/>
      <c r="AF196" s="4">
        <f t="shared" si="30"/>
        <v>-67.099999999999994</v>
      </c>
      <c r="AG196" s="4">
        <f t="shared" si="28"/>
        <v>-67.099999999999994</v>
      </c>
      <c r="AH196" s="4">
        <f t="shared" si="34"/>
        <v>-67.099999999999994</v>
      </c>
      <c r="AI196" s="4"/>
      <c r="AJ196" s="4"/>
      <c r="AM196" s="4"/>
      <c r="AN196" s="4"/>
      <c r="AO196" s="4"/>
      <c r="AP196" s="4"/>
      <c r="AQ196" s="4"/>
    </row>
    <row r="197" spans="1:70" x14ac:dyDescent="0.3">
      <c r="A197" s="1">
        <v>45357</v>
      </c>
      <c r="B197" t="s">
        <v>183</v>
      </c>
      <c r="C197" t="s">
        <v>201</v>
      </c>
      <c r="D197" t="s">
        <v>121</v>
      </c>
      <c r="E197">
        <v>1</v>
      </c>
      <c r="F197">
        <v>1</v>
      </c>
      <c r="G197" t="s">
        <v>51</v>
      </c>
      <c r="H197" t="s">
        <v>52</v>
      </c>
      <c r="I197">
        <v>9.2999999999999992E-3</v>
      </c>
      <c r="J197">
        <v>9.06E-2</v>
      </c>
      <c r="K197">
        <v>-45.8</v>
      </c>
      <c r="L197" t="s">
        <v>53</v>
      </c>
      <c r="M197" t="s">
        <v>54</v>
      </c>
      <c r="N197">
        <v>-1.7500000000000002E-2</v>
      </c>
      <c r="O197">
        <v>-0.20599999999999999</v>
      </c>
      <c r="P197">
        <v>-76.7</v>
      </c>
      <c r="R197" s="4">
        <v>1</v>
      </c>
      <c r="S197" s="4">
        <v>1</v>
      </c>
      <c r="T197" s="4"/>
      <c r="U197" s="4">
        <f t="shared" si="29"/>
        <v>-45.8</v>
      </c>
      <c r="V197" s="4">
        <f t="shared" si="27"/>
        <v>-45.8</v>
      </c>
      <c r="W197" s="4">
        <f t="shared" si="38"/>
        <v>-45.8</v>
      </c>
      <c r="X197" s="4"/>
      <c r="Y197" s="4"/>
      <c r="Z197" s="4"/>
      <c r="AA197" s="4"/>
      <c r="AB197" s="4"/>
      <c r="AC197" s="4"/>
      <c r="AD197" s="4">
        <v>1</v>
      </c>
      <c r="AE197" s="4"/>
      <c r="AF197" s="4">
        <f t="shared" si="30"/>
        <v>-76.7</v>
      </c>
      <c r="AG197" s="4">
        <f t="shared" si="28"/>
        <v>-76.7</v>
      </c>
      <c r="AH197" s="4">
        <f t="shared" si="34"/>
        <v>-76.7</v>
      </c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70" x14ac:dyDescent="0.3">
      <c r="A198" s="1">
        <v>45357</v>
      </c>
      <c r="B198" t="s">
        <v>183</v>
      </c>
      <c r="C198" t="s">
        <v>304</v>
      </c>
      <c r="D198">
        <v>143</v>
      </c>
      <c r="E198">
        <v>1</v>
      </c>
      <c r="F198">
        <v>1</v>
      </c>
      <c r="G198" t="s">
        <v>51</v>
      </c>
      <c r="H198" t="s">
        <v>52</v>
      </c>
      <c r="I198">
        <v>0.129</v>
      </c>
      <c r="J198">
        <v>2.2999999999999998</v>
      </c>
      <c r="K198">
        <v>24.2</v>
      </c>
      <c r="L198" t="s">
        <v>53</v>
      </c>
      <c r="M198" t="s">
        <v>54</v>
      </c>
      <c r="N198">
        <v>0.39500000000000002</v>
      </c>
      <c r="O198">
        <v>6.49</v>
      </c>
      <c r="P198">
        <v>380</v>
      </c>
      <c r="R198" s="4">
        <v>1</v>
      </c>
      <c r="S198" s="4">
        <v>1</v>
      </c>
      <c r="T198" s="4"/>
      <c r="U198" s="4">
        <f t="shared" si="29"/>
        <v>24.2</v>
      </c>
      <c r="V198" s="4">
        <f t="shared" si="27"/>
        <v>24.2</v>
      </c>
      <c r="W198" s="4">
        <f t="shared" si="38"/>
        <v>24.2</v>
      </c>
      <c r="X198" s="4"/>
      <c r="Y198" s="4"/>
      <c r="AB198" s="4"/>
      <c r="AC198" s="4"/>
      <c r="AD198" s="4">
        <v>1</v>
      </c>
      <c r="AE198" s="4"/>
      <c r="AF198" s="4">
        <f t="shared" si="30"/>
        <v>380</v>
      </c>
      <c r="AG198" s="4">
        <f t="shared" si="28"/>
        <v>380</v>
      </c>
      <c r="AH198" s="4">
        <f t="shared" si="34"/>
        <v>380</v>
      </c>
      <c r="AI198" s="4"/>
      <c r="AJ198" s="4"/>
      <c r="AM198" s="4"/>
      <c r="AN198" s="4"/>
      <c r="AO198" s="4"/>
      <c r="AP198" s="4"/>
      <c r="AQ198" s="4"/>
    </row>
    <row r="199" spans="1:70" x14ac:dyDescent="0.3">
      <c r="A199" s="1">
        <v>45357</v>
      </c>
      <c r="B199" t="s">
        <v>183</v>
      </c>
      <c r="C199" t="s">
        <v>305</v>
      </c>
      <c r="D199">
        <v>144</v>
      </c>
      <c r="E199">
        <v>1</v>
      </c>
      <c r="F199">
        <v>1</v>
      </c>
      <c r="G199" t="s">
        <v>51</v>
      </c>
      <c r="H199" t="s">
        <v>52</v>
      </c>
      <c r="I199">
        <v>0.11799999999999999</v>
      </c>
      <c r="J199">
        <v>2.15</v>
      </c>
      <c r="K199">
        <v>19.5</v>
      </c>
      <c r="L199" t="s">
        <v>53</v>
      </c>
      <c r="M199" t="s">
        <v>54</v>
      </c>
      <c r="N199">
        <v>0.371</v>
      </c>
      <c r="O199">
        <v>6.59</v>
      </c>
      <c r="P199">
        <v>386</v>
      </c>
      <c r="R199" s="4">
        <v>1</v>
      </c>
      <c r="S199" s="4">
        <v>1</v>
      </c>
      <c r="T199" s="4"/>
      <c r="U199" s="4">
        <f t="shared" si="29"/>
        <v>19.5</v>
      </c>
      <c r="V199" s="4">
        <f t="shared" si="27"/>
        <v>19.5</v>
      </c>
      <c r="W199" s="4">
        <f t="shared" si="38"/>
        <v>19.5</v>
      </c>
      <c r="X199" s="4"/>
      <c r="Y199" s="4"/>
      <c r="Z199" s="4"/>
      <c r="AA199" s="4"/>
      <c r="AB199" s="4"/>
      <c r="AC199" s="4"/>
      <c r="AD199" s="4">
        <v>1</v>
      </c>
      <c r="AE199" s="4"/>
      <c r="AF199" s="4">
        <f t="shared" si="30"/>
        <v>386</v>
      </c>
      <c r="AG199" s="4">
        <f t="shared" si="28"/>
        <v>386</v>
      </c>
      <c r="AH199" s="4">
        <f t="shared" si="34"/>
        <v>386</v>
      </c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70" x14ac:dyDescent="0.3">
      <c r="A200" s="1">
        <v>45357</v>
      </c>
      <c r="B200" t="s">
        <v>183</v>
      </c>
      <c r="C200" t="s">
        <v>306</v>
      </c>
      <c r="D200">
        <v>145</v>
      </c>
      <c r="E200">
        <v>1</v>
      </c>
      <c r="F200">
        <v>1</v>
      </c>
      <c r="G200" t="s">
        <v>51</v>
      </c>
      <c r="H200" t="s">
        <v>52</v>
      </c>
      <c r="I200">
        <v>0.124</v>
      </c>
      <c r="J200">
        <v>2.23</v>
      </c>
      <c r="K200">
        <v>22</v>
      </c>
      <c r="L200" t="s">
        <v>53</v>
      </c>
      <c r="M200" t="s">
        <v>54</v>
      </c>
      <c r="N200">
        <v>0.28799999999999998</v>
      </c>
      <c r="O200">
        <v>4.7</v>
      </c>
      <c r="P200">
        <v>257</v>
      </c>
      <c r="R200" s="4">
        <v>1</v>
      </c>
      <c r="S200" s="4">
        <v>1</v>
      </c>
      <c r="T200" s="4"/>
      <c r="U200" s="4">
        <f t="shared" si="29"/>
        <v>22</v>
      </c>
      <c r="V200" s="4">
        <f t="shared" si="27"/>
        <v>22</v>
      </c>
      <c r="W200" s="4">
        <f t="shared" si="38"/>
        <v>22</v>
      </c>
      <c r="X200" s="4"/>
      <c r="Y200" s="4"/>
      <c r="AD200" s="4">
        <v>1</v>
      </c>
      <c r="AE200" s="4"/>
      <c r="AF200" s="4">
        <f t="shared" si="30"/>
        <v>257</v>
      </c>
      <c r="AG200" s="4">
        <f t="shared" si="28"/>
        <v>257</v>
      </c>
      <c r="AH200" s="4">
        <f t="shared" si="34"/>
        <v>257</v>
      </c>
      <c r="AI200" s="4"/>
      <c r="AJ200" s="4"/>
      <c r="AO200" s="4"/>
      <c r="AP200" s="4"/>
      <c r="AQ200" s="4"/>
    </row>
    <row r="201" spans="1:70" x14ac:dyDescent="0.3">
      <c r="A201" s="1">
        <v>45357</v>
      </c>
      <c r="B201" t="s">
        <v>183</v>
      </c>
      <c r="C201" t="s">
        <v>307</v>
      </c>
      <c r="D201">
        <v>146</v>
      </c>
      <c r="E201">
        <v>1</v>
      </c>
      <c r="F201">
        <v>1</v>
      </c>
      <c r="G201" t="s">
        <v>51</v>
      </c>
      <c r="H201" t="s">
        <v>52</v>
      </c>
      <c r="I201">
        <v>0.122</v>
      </c>
      <c r="J201">
        <v>2.2000000000000002</v>
      </c>
      <c r="K201">
        <v>21.3</v>
      </c>
      <c r="L201" t="s">
        <v>53</v>
      </c>
      <c r="M201" t="s">
        <v>54</v>
      </c>
      <c r="N201">
        <v>0.98899999999999999</v>
      </c>
      <c r="O201">
        <v>16.100000000000001</v>
      </c>
      <c r="P201">
        <v>1050</v>
      </c>
      <c r="R201" s="4">
        <v>1</v>
      </c>
      <c r="S201" s="4">
        <v>1</v>
      </c>
      <c r="T201" s="4"/>
      <c r="U201" s="4">
        <f t="shared" si="29"/>
        <v>21.3</v>
      </c>
      <c r="V201" s="4">
        <f t="shared" ref="V201:V227" si="45">IF(R201=1,U201,(U201-0))</f>
        <v>21.3</v>
      </c>
      <c r="W201" s="4">
        <f t="shared" si="38"/>
        <v>21.3</v>
      </c>
      <c r="X201" s="4"/>
      <c r="Y201" s="4"/>
      <c r="AD201" s="4">
        <v>1</v>
      </c>
      <c r="AE201" s="4"/>
      <c r="AF201" s="4">
        <f t="shared" si="30"/>
        <v>1050</v>
      </c>
      <c r="AG201" s="4">
        <f t="shared" ref="AG201:AG227" si="46">IF(R201=1,AF201,(AF201-0))</f>
        <v>1050</v>
      </c>
      <c r="AH201" s="4">
        <f t="shared" si="34"/>
        <v>1050</v>
      </c>
      <c r="AI201" s="4"/>
      <c r="AJ201" s="4"/>
      <c r="AO201" s="4"/>
      <c r="AP201" s="4"/>
      <c r="AQ201" s="4"/>
    </row>
    <row r="202" spans="1:70" x14ac:dyDescent="0.3">
      <c r="A202" s="1">
        <v>45357</v>
      </c>
      <c r="B202" t="s">
        <v>183</v>
      </c>
      <c r="C202" t="s">
        <v>308</v>
      </c>
      <c r="D202">
        <v>147</v>
      </c>
      <c r="E202">
        <v>1</v>
      </c>
      <c r="F202">
        <v>1</v>
      </c>
      <c r="G202" t="s">
        <v>51</v>
      </c>
      <c r="H202" t="s">
        <v>52</v>
      </c>
      <c r="I202">
        <v>0.13300000000000001</v>
      </c>
      <c r="J202">
        <v>2.41</v>
      </c>
      <c r="K202">
        <v>27.8</v>
      </c>
      <c r="L202" t="s">
        <v>53</v>
      </c>
      <c r="M202" t="s">
        <v>54</v>
      </c>
      <c r="N202">
        <v>0.308</v>
      </c>
      <c r="O202">
        <v>5.16</v>
      </c>
      <c r="P202">
        <v>288</v>
      </c>
      <c r="R202" s="4">
        <v>1</v>
      </c>
      <c r="S202" s="4">
        <v>1</v>
      </c>
      <c r="T202" s="4"/>
      <c r="U202" s="4">
        <f t="shared" ref="U202:U227" si="47">K202*F202</f>
        <v>27.8</v>
      </c>
      <c r="V202" s="4">
        <f t="shared" si="45"/>
        <v>27.8</v>
      </c>
      <c r="W202" s="4">
        <f t="shared" si="38"/>
        <v>27.8</v>
      </c>
      <c r="X202" s="4"/>
      <c r="Y202" s="4"/>
      <c r="AD202" s="4">
        <v>1</v>
      </c>
      <c r="AE202" s="4"/>
      <c r="AF202" s="4">
        <f t="shared" ref="AF202:AF227" si="48">P202*F202</f>
        <v>288</v>
      </c>
      <c r="AG202" s="4">
        <f t="shared" si="46"/>
        <v>288</v>
      </c>
      <c r="AH202" s="4">
        <f t="shared" si="34"/>
        <v>288</v>
      </c>
      <c r="AI202" s="4"/>
      <c r="AJ202" s="4"/>
      <c r="AO202" s="4"/>
      <c r="AP202" s="4"/>
      <c r="AQ202" s="4"/>
    </row>
    <row r="203" spans="1:70" x14ac:dyDescent="0.3">
      <c r="A203" s="1">
        <v>45357</v>
      </c>
      <c r="B203" t="s">
        <v>183</v>
      </c>
      <c r="C203" t="s">
        <v>309</v>
      </c>
      <c r="D203">
        <v>148</v>
      </c>
      <c r="E203">
        <v>1</v>
      </c>
      <c r="F203">
        <v>1</v>
      </c>
      <c r="G203" t="s">
        <v>51</v>
      </c>
      <c r="H203" t="s">
        <v>52</v>
      </c>
      <c r="I203">
        <v>0.125</v>
      </c>
      <c r="J203">
        <v>2.25</v>
      </c>
      <c r="K203">
        <v>22.6</v>
      </c>
      <c r="L203" t="s">
        <v>53</v>
      </c>
      <c r="M203" t="s">
        <v>54</v>
      </c>
      <c r="N203">
        <v>1.23</v>
      </c>
      <c r="O203">
        <v>20</v>
      </c>
      <c r="P203">
        <v>1330</v>
      </c>
      <c r="Q203" s="4"/>
      <c r="R203" s="4">
        <v>1</v>
      </c>
      <c r="S203" s="4">
        <v>1</v>
      </c>
      <c r="T203" s="4"/>
      <c r="U203" s="4">
        <f t="shared" si="47"/>
        <v>22.6</v>
      </c>
      <c r="V203" s="4">
        <f t="shared" si="45"/>
        <v>22.6</v>
      </c>
      <c r="W203" s="4">
        <f t="shared" si="38"/>
        <v>22.6</v>
      </c>
      <c r="AD203" s="4">
        <v>1</v>
      </c>
      <c r="AE203" s="4"/>
      <c r="AF203" s="4">
        <f t="shared" si="48"/>
        <v>1330</v>
      </c>
      <c r="AG203" s="4">
        <f t="shared" si="46"/>
        <v>1330</v>
      </c>
      <c r="AH203" s="4">
        <f t="shared" si="34"/>
        <v>1330</v>
      </c>
      <c r="AO203" s="4"/>
      <c r="AP203" s="4"/>
      <c r="AQ203" s="4"/>
    </row>
    <row r="204" spans="1:70" x14ac:dyDescent="0.3">
      <c r="A204" s="1">
        <v>45357</v>
      </c>
      <c r="B204" t="s">
        <v>183</v>
      </c>
      <c r="C204" t="s">
        <v>310</v>
      </c>
      <c r="D204">
        <v>149</v>
      </c>
      <c r="E204">
        <v>1</v>
      </c>
      <c r="F204">
        <v>1</v>
      </c>
      <c r="G204" t="s">
        <v>51</v>
      </c>
      <c r="H204" t="s">
        <v>52</v>
      </c>
      <c r="I204">
        <v>0.113</v>
      </c>
      <c r="J204">
        <v>2.06</v>
      </c>
      <c r="K204">
        <v>16.8</v>
      </c>
      <c r="L204" t="s">
        <v>53</v>
      </c>
      <c r="M204" t="s">
        <v>54</v>
      </c>
      <c r="N204">
        <v>0.28499999999999998</v>
      </c>
      <c r="O204">
        <v>5.05</v>
      </c>
      <c r="P204">
        <v>281</v>
      </c>
      <c r="Q204" s="4"/>
      <c r="R204" s="4">
        <v>1</v>
      </c>
      <c r="S204" s="4">
        <v>1</v>
      </c>
      <c r="T204" s="4"/>
      <c r="U204" s="4">
        <f t="shared" si="47"/>
        <v>16.8</v>
      </c>
      <c r="V204" s="4">
        <f t="shared" si="45"/>
        <v>16.8</v>
      </c>
      <c r="W204" s="4">
        <f t="shared" si="38"/>
        <v>16.8</v>
      </c>
      <c r="AD204" s="4">
        <v>1</v>
      </c>
      <c r="AE204" s="4"/>
      <c r="AF204" s="4">
        <f t="shared" si="48"/>
        <v>281</v>
      </c>
      <c r="AG204" s="4">
        <f t="shared" si="46"/>
        <v>281</v>
      </c>
      <c r="AH204" s="4">
        <f t="shared" si="34"/>
        <v>281</v>
      </c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</row>
    <row r="205" spans="1:70" x14ac:dyDescent="0.3">
      <c r="A205" s="1">
        <v>45357</v>
      </c>
      <c r="B205" t="s">
        <v>183</v>
      </c>
      <c r="C205" t="s">
        <v>311</v>
      </c>
      <c r="D205">
        <v>150</v>
      </c>
      <c r="E205">
        <v>1</v>
      </c>
      <c r="F205">
        <v>1</v>
      </c>
      <c r="G205" t="s">
        <v>51</v>
      </c>
      <c r="H205" t="s">
        <v>52</v>
      </c>
      <c r="I205">
        <v>0.128</v>
      </c>
      <c r="J205">
        <v>2.2999999999999998</v>
      </c>
      <c r="K205">
        <v>24.4</v>
      </c>
      <c r="L205" t="s">
        <v>53</v>
      </c>
      <c r="M205" t="s">
        <v>54</v>
      </c>
      <c r="N205">
        <v>0.34399999999999997</v>
      </c>
      <c r="O205">
        <v>5.49</v>
      </c>
      <c r="P205">
        <v>311</v>
      </c>
      <c r="Q205" s="4"/>
      <c r="R205" s="4">
        <v>1</v>
      </c>
      <c r="S205" s="4">
        <v>1</v>
      </c>
      <c r="T205" s="4"/>
      <c r="U205" s="4">
        <f t="shared" si="47"/>
        <v>24.4</v>
      </c>
      <c r="V205" s="4">
        <f t="shared" si="45"/>
        <v>24.4</v>
      </c>
      <c r="W205" s="4">
        <f t="shared" si="38"/>
        <v>24.4</v>
      </c>
      <c r="X205" s="4"/>
      <c r="Y205" s="4"/>
      <c r="AD205" s="4">
        <v>1</v>
      </c>
      <c r="AE205" s="4"/>
      <c r="AF205" s="4">
        <f t="shared" si="48"/>
        <v>311</v>
      </c>
      <c r="AG205" s="4">
        <f t="shared" si="46"/>
        <v>311</v>
      </c>
      <c r="AH205" s="4">
        <f t="shared" si="34"/>
        <v>311</v>
      </c>
      <c r="AI205" s="4"/>
      <c r="AJ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</row>
    <row r="206" spans="1:70" x14ac:dyDescent="0.3">
      <c r="A206" s="1">
        <v>45357</v>
      </c>
      <c r="B206" t="s">
        <v>183</v>
      </c>
      <c r="C206" t="s">
        <v>312</v>
      </c>
      <c r="D206">
        <v>151</v>
      </c>
      <c r="E206">
        <v>1</v>
      </c>
      <c r="F206">
        <v>1</v>
      </c>
      <c r="G206" t="s">
        <v>51</v>
      </c>
      <c r="H206" t="s">
        <v>52</v>
      </c>
      <c r="I206">
        <v>0.113</v>
      </c>
      <c r="J206">
        <v>2.0299999999999998</v>
      </c>
      <c r="K206">
        <v>15.9</v>
      </c>
      <c r="L206" t="s">
        <v>53</v>
      </c>
      <c r="M206" t="s">
        <v>54</v>
      </c>
      <c r="N206">
        <v>0.245</v>
      </c>
      <c r="O206">
        <v>4.0599999999999996</v>
      </c>
      <c r="P206">
        <v>213</v>
      </c>
      <c r="R206" s="4">
        <v>1</v>
      </c>
      <c r="S206" s="4">
        <v>1</v>
      </c>
      <c r="T206" s="4"/>
      <c r="U206" s="4">
        <f t="shared" si="47"/>
        <v>15.9</v>
      </c>
      <c r="V206" s="4">
        <f t="shared" si="45"/>
        <v>15.9</v>
      </c>
      <c r="W206" s="4">
        <f t="shared" si="38"/>
        <v>15.9</v>
      </c>
      <c r="X206" s="4"/>
      <c r="Y206" s="4"/>
      <c r="AB206" s="4"/>
      <c r="AC206" s="4"/>
      <c r="AD206" s="4">
        <v>1</v>
      </c>
      <c r="AE206" s="4"/>
      <c r="AF206" s="4">
        <f t="shared" si="48"/>
        <v>213</v>
      </c>
      <c r="AG206" s="4">
        <f t="shared" si="46"/>
        <v>213</v>
      </c>
      <c r="AH206" s="4">
        <f t="shared" si="34"/>
        <v>213</v>
      </c>
      <c r="AI206" s="4"/>
      <c r="AJ206" s="4"/>
      <c r="AM206" s="4"/>
      <c r="AN206" s="4"/>
      <c r="AO206" s="4"/>
      <c r="AP206" s="4"/>
      <c r="AQ206" s="4"/>
    </row>
    <row r="207" spans="1:70" x14ac:dyDescent="0.3">
      <c r="A207" s="1">
        <v>45357</v>
      </c>
      <c r="B207" t="s">
        <v>183</v>
      </c>
      <c r="C207" t="s">
        <v>313</v>
      </c>
      <c r="D207">
        <v>152</v>
      </c>
      <c r="E207">
        <v>1</v>
      </c>
      <c r="F207">
        <v>1</v>
      </c>
      <c r="G207" t="s">
        <v>51</v>
      </c>
      <c r="H207" t="s">
        <v>52</v>
      </c>
      <c r="I207">
        <v>0.154</v>
      </c>
      <c r="J207">
        <v>2.82</v>
      </c>
      <c r="K207">
        <v>40.1</v>
      </c>
      <c r="L207" t="s">
        <v>53</v>
      </c>
      <c r="M207" t="s">
        <v>54</v>
      </c>
      <c r="N207">
        <v>0.873</v>
      </c>
      <c r="O207">
        <v>14</v>
      </c>
      <c r="P207">
        <v>900</v>
      </c>
      <c r="R207" s="4">
        <v>1</v>
      </c>
      <c r="S207" s="4">
        <v>1</v>
      </c>
      <c r="T207" s="4"/>
      <c r="U207" s="4">
        <f t="shared" si="47"/>
        <v>40.1</v>
      </c>
      <c r="V207" s="4">
        <f t="shared" si="45"/>
        <v>40.1</v>
      </c>
      <c r="W207" s="4">
        <f t="shared" si="38"/>
        <v>40.1</v>
      </c>
      <c r="X207" s="4"/>
      <c r="Y207" s="4"/>
      <c r="AB207" s="4"/>
      <c r="AC207" s="4"/>
      <c r="AD207" s="4">
        <v>1</v>
      </c>
      <c r="AE207" s="4"/>
      <c r="AF207" s="4">
        <f t="shared" si="48"/>
        <v>900</v>
      </c>
      <c r="AG207" s="4">
        <f t="shared" si="46"/>
        <v>900</v>
      </c>
      <c r="AH207" s="4">
        <f t="shared" si="34"/>
        <v>900</v>
      </c>
      <c r="AI207" s="4"/>
      <c r="AJ207" s="4"/>
      <c r="AM207" s="4"/>
      <c r="AN207" s="4"/>
      <c r="AO207" s="4"/>
      <c r="AP207" s="4"/>
      <c r="AQ207" s="4"/>
    </row>
    <row r="208" spans="1:70" x14ac:dyDescent="0.3">
      <c r="A208" s="1">
        <v>45357</v>
      </c>
      <c r="B208" t="s">
        <v>183</v>
      </c>
      <c r="C208" t="s">
        <v>314</v>
      </c>
      <c r="D208">
        <v>153</v>
      </c>
      <c r="E208">
        <v>1</v>
      </c>
      <c r="F208">
        <v>1</v>
      </c>
      <c r="G208" t="s">
        <v>51</v>
      </c>
      <c r="H208" t="s">
        <v>52</v>
      </c>
      <c r="I208">
        <v>0.13100000000000001</v>
      </c>
      <c r="J208">
        <v>2.36</v>
      </c>
      <c r="K208">
        <v>26.2</v>
      </c>
      <c r="L208" t="s">
        <v>53</v>
      </c>
      <c r="M208" t="s">
        <v>54</v>
      </c>
      <c r="N208">
        <v>0.313</v>
      </c>
      <c r="O208">
        <v>5.18</v>
      </c>
      <c r="P208">
        <v>290</v>
      </c>
      <c r="R208" s="4">
        <v>1</v>
      </c>
      <c r="S208" s="4">
        <v>1</v>
      </c>
      <c r="T208" s="4"/>
      <c r="U208" s="4">
        <f t="shared" si="47"/>
        <v>26.2</v>
      </c>
      <c r="V208" s="4">
        <f t="shared" si="45"/>
        <v>26.2</v>
      </c>
      <c r="W208" s="4">
        <f t="shared" si="38"/>
        <v>26.2</v>
      </c>
      <c r="X208" s="4"/>
      <c r="Y208" s="4"/>
      <c r="Z208">
        <f>ABS(100*ABS(W208-W202)/AVERAGE(W208,W202))</f>
        <v>5.9259259259259309</v>
      </c>
      <c r="AA208" t="str">
        <f>IF(W208&gt;10, (IF((AND(Z208&gt;=0,Z208&lt;=20)=TRUE),"PASS","FAIL")),(IF((AND(Z208&gt;=0,Z208&lt;=50)=TRUE),"PASS","FAIL")))</f>
        <v>PASS</v>
      </c>
      <c r="AB208" s="4"/>
      <c r="AC208" s="4"/>
      <c r="AD208" s="4">
        <v>1</v>
      </c>
      <c r="AE208" s="4"/>
      <c r="AF208" s="4">
        <f t="shared" si="48"/>
        <v>290</v>
      </c>
      <c r="AG208" s="4">
        <f t="shared" si="46"/>
        <v>290</v>
      </c>
      <c r="AH208" s="4">
        <f t="shared" si="34"/>
        <v>290</v>
      </c>
      <c r="AI208" s="4"/>
      <c r="AJ208" s="4"/>
      <c r="AK208">
        <f>ABS(100*ABS(AH208-AH202)/AVERAGE(AH208,AH202))</f>
        <v>0.69204152249134943</v>
      </c>
      <c r="AL208" t="str">
        <f>IF(AH208&gt;10, (IF((AND(AK208&gt;=0,AK208&lt;=20)=TRUE),"PASS","FAIL")),(IF((AND(AK208&gt;=0,AK208&lt;=50)=TRUE),"PASS","FAIL")))</f>
        <v>PASS</v>
      </c>
      <c r="AM208" s="4"/>
      <c r="AN208" s="4"/>
      <c r="AO208" s="4"/>
      <c r="AP208" s="4"/>
      <c r="AQ208" s="4"/>
    </row>
    <row r="209" spans="1:43" x14ac:dyDescent="0.3">
      <c r="A209" s="1">
        <v>45357</v>
      </c>
      <c r="B209" t="s">
        <v>183</v>
      </c>
      <c r="C209" t="s">
        <v>161</v>
      </c>
      <c r="D209">
        <v>154</v>
      </c>
      <c r="E209">
        <v>1</v>
      </c>
      <c r="F209">
        <v>1</v>
      </c>
      <c r="G209" t="s">
        <v>51</v>
      </c>
      <c r="H209" t="s">
        <v>52</v>
      </c>
      <c r="I209">
        <v>0.19700000000000001</v>
      </c>
      <c r="J209">
        <v>3.52</v>
      </c>
      <c r="K209">
        <v>61.6</v>
      </c>
      <c r="L209" t="s">
        <v>53</v>
      </c>
      <c r="M209" t="s">
        <v>54</v>
      </c>
      <c r="N209">
        <v>1.0900000000000001</v>
      </c>
      <c r="O209">
        <v>17.3</v>
      </c>
      <c r="P209">
        <v>1140</v>
      </c>
      <c r="R209" s="4">
        <v>1</v>
      </c>
      <c r="S209" s="4">
        <v>1</v>
      </c>
      <c r="T209" s="4"/>
      <c r="U209" s="4">
        <f t="shared" si="47"/>
        <v>61.6</v>
      </c>
      <c r="V209" s="4">
        <f t="shared" si="45"/>
        <v>61.6</v>
      </c>
      <c r="W209" s="4">
        <f t="shared" si="38"/>
        <v>61.6</v>
      </c>
      <c r="X209" s="4"/>
      <c r="Y209" s="4"/>
      <c r="Z209" s="4"/>
      <c r="AA209" s="4"/>
      <c r="AB209">
        <f>100*((W209*10250)-(W207*10000))/(1000*250)</f>
        <v>92.16</v>
      </c>
      <c r="AC209" t="str">
        <f>IF(W209&gt;30, (IF((AND(AB209&gt;=80,AB209&lt;=120)=TRUE),"PASS","FAIL")),(IF((AND(AB209&gt;=50,AB209&lt;=150)=TRUE),"PASS","FAIL")))</f>
        <v>PASS</v>
      </c>
      <c r="AD209" s="4">
        <v>1</v>
      </c>
      <c r="AE209" s="4"/>
      <c r="AF209" s="4">
        <f t="shared" si="48"/>
        <v>1140</v>
      </c>
      <c r="AG209" s="4">
        <f t="shared" si="46"/>
        <v>1140</v>
      </c>
      <c r="AH209" s="4">
        <f t="shared" si="34"/>
        <v>1140</v>
      </c>
      <c r="AI209" s="4"/>
      <c r="AJ209" s="4"/>
      <c r="AK209" s="4"/>
      <c r="AL209" s="4"/>
      <c r="AM209">
        <f>100*((AH209*10250)-(AH207*10000))/(10000*250)</f>
        <v>107.4</v>
      </c>
      <c r="AN209" t="str">
        <f>IF(AH209&gt;30, (IF((AND(AM209&gt;=80,AM209&lt;=120)=TRUE),"PASS","FAIL")),(IF((AND(AM209&gt;=50,AM209&lt;=150)=TRUE),"PASS","FAIL")))</f>
        <v>PASS</v>
      </c>
      <c r="AO209" s="4"/>
      <c r="AP209" s="4"/>
      <c r="AQ209" s="4"/>
    </row>
    <row r="210" spans="1:43" x14ac:dyDescent="0.3">
      <c r="A210" s="1">
        <v>45357</v>
      </c>
      <c r="B210" t="s">
        <v>183</v>
      </c>
      <c r="C210" t="s">
        <v>199</v>
      </c>
      <c r="D210">
        <v>7</v>
      </c>
      <c r="E210">
        <v>1</v>
      </c>
      <c r="F210">
        <v>1</v>
      </c>
      <c r="G210" t="s">
        <v>51</v>
      </c>
      <c r="H210" t="s">
        <v>52</v>
      </c>
      <c r="I210">
        <v>0.13400000000000001</v>
      </c>
      <c r="J210">
        <v>2.41</v>
      </c>
      <c r="K210">
        <v>27.7</v>
      </c>
      <c r="L210" t="s">
        <v>53</v>
      </c>
      <c r="M210" t="s">
        <v>54</v>
      </c>
      <c r="N210">
        <v>0.28499999999999998</v>
      </c>
      <c r="O210">
        <v>4.6100000000000003</v>
      </c>
      <c r="P210">
        <v>251</v>
      </c>
      <c r="R210" s="4">
        <v>1</v>
      </c>
      <c r="S210" s="4">
        <v>1</v>
      </c>
      <c r="T210" s="4"/>
      <c r="U210" s="4">
        <f t="shared" si="47"/>
        <v>27.7</v>
      </c>
      <c r="V210" s="4">
        <f t="shared" si="45"/>
        <v>27.7</v>
      </c>
      <c r="W210" s="4">
        <f t="shared" si="38"/>
        <v>27.7</v>
      </c>
      <c r="X210" s="4">
        <f>100*(W210-25)/25</f>
        <v>10.799999999999997</v>
      </c>
      <c r="Y210" s="4" t="str">
        <f t="shared" ref="Y210" si="49">IF((ABS(X210))&lt;=20,"PASS","FAIL")</f>
        <v>PASS</v>
      </c>
      <c r="AD210" s="4">
        <v>1</v>
      </c>
      <c r="AE210" s="4"/>
      <c r="AF210" s="4">
        <f t="shared" si="48"/>
        <v>251</v>
      </c>
      <c r="AG210" s="4">
        <f t="shared" si="46"/>
        <v>251</v>
      </c>
      <c r="AH210" s="4">
        <f t="shared" si="34"/>
        <v>251</v>
      </c>
      <c r="AI210" s="4">
        <f t="shared" ref="AI210" si="50">100*(AH210-250)/250</f>
        <v>0.4</v>
      </c>
      <c r="AJ210" s="4" t="str">
        <f t="shared" ref="AJ210" si="51">IF((ABS(AI210))&lt;=20,"PASS","FAIL")</f>
        <v>PASS</v>
      </c>
      <c r="AO210" s="4"/>
      <c r="AP210" s="4"/>
      <c r="AQ210" s="4"/>
    </row>
    <row r="211" spans="1:43" x14ac:dyDescent="0.3">
      <c r="A211" s="1">
        <v>45357</v>
      </c>
      <c r="B211" t="s">
        <v>183</v>
      </c>
      <c r="C211" t="s">
        <v>200</v>
      </c>
      <c r="D211" t="s">
        <v>11</v>
      </c>
      <c r="E211">
        <v>1</v>
      </c>
      <c r="F211">
        <v>1</v>
      </c>
      <c r="G211" t="s">
        <v>51</v>
      </c>
      <c r="H211" t="s">
        <v>52</v>
      </c>
      <c r="I211">
        <v>0.126</v>
      </c>
      <c r="J211">
        <v>1.46</v>
      </c>
      <c r="K211">
        <v>-1.84</v>
      </c>
      <c r="L211" t="s">
        <v>53</v>
      </c>
      <c r="M211" t="s">
        <v>54</v>
      </c>
      <c r="N211">
        <v>-1.2999999999999999E-2</v>
      </c>
      <c r="O211">
        <v>-0.107</v>
      </c>
      <c r="P211">
        <v>-70</v>
      </c>
      <c r="R211" s="4">
        <v>1</v>
      </c>
      <c r="S211" s="4">
        <v>1</v>
      </c>
      <c r="T211" s="4"/>
      <c r="U211" s="4">
        <f t="shared" si="47"/>
        <v>-1.84</v>
      </c>
      <c r="V211" s="4">
        <f t="shared" si="45"/>
        <v>-1.84</v>
      </c>
      <c r="W211" s="4">
        <f t="shared" si="38"/>
        <v>-1.84</v>
      </c>
      <c r="X211" s="4"/>
      <c r="Y211" s="4"/>
      <c r="Z211" s="4"/>
      <c r="AA211" s="4"/>
      <c r="AB211" s="4"/>
      <c r="AC211" s="4"/>
      <c r="AD211" s="4">
        <v>1</v>
      </c>
      <c r="AE211" s="4"/>
      <c r="AF211" s="4">
        <f t="shared" si="48"/>
        <v>-70</v>
      </c>
      <c r="AG211" s="4">
        <f t="shared" si="46"/>
        <v>-70</v>
      </c>
      <c r="AH211" s="4">
        <f t="shared" si="34"/>
        <v>-70</v>
      </c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1">
        <v>45357</v>
      </c>
      <c r="B212" t="s">
        <v>183</v>
      </c>
      <c r="C212" t="s">
        <v>201</v>
      </c>
      <c r="D212" t="s">
        <v>121</v>
      </c>
      <c r="E212">
        <v>1</v>
      </c>
      <c r="F212">
        <v>1</v>
      </c>
      <c r="G212" t="s">
        <v>51</v>
      </c>
      <c r="H212" t="s">
        <v>52</v>
      </c>
      <c r="I212">
        <v>1.0200000000000001E-2</v>
      </c>
      <c r="J212">
        <v>0.11899999999999999</v>
      </c>
      <c r="K212">
        <v>-44.9</v>
      </c>
      <c r="L212" t="s">
        <v>53</v>
      </c>
      <c r="M212" t="s">
        <v>54</v>
      </c>
      <c r="N212">
        <v>-2.9100000000000001E-2</v>
      </c>
      <c r="O212">
        <v>-0.28100000000000003</v>
      </c>
      <c r="P212">
        <v>-81.7</v>
      </c>
      <c r="R212" s="4">
        <v>1</v>
      </c>
      <c r="S212" s="4">
        <v>1</v>
      </c>
      <c r="T212" s="4"/>
      <c r="U212" s="4">
        <f t="shared" si="47"/>
        <v>-44.9</v>
      </c>
      <c r="V212" s="4">
        <f t="shared" si="45"/>
        <v>-44.9</v>
      </c>
      <c r="W212" s="4">
        <f t="shared" si="38"/>
        <v>-44.9</v>
      </c>
      <c r="X212" s="4"/>
      <c r="Y212" s="4"/>
      <c r="Z212" s="4"/>
      <c r="AA212" s="4"/>
      <c r="AB212" s="4"/>
      <c r="AC212" s="4"/>
      <c r="AD212" s="4">
        <v>1</v>
      </c>
      <c r="AE212" s="4"/>
      <c r="AF212" s="4">
        <f t="shared" si="48"/>
        <v>-81.7</v>
      </c>
      <c r="AG212" s="4">
        <f t="shared" si="46"/>
        <v>-81.7</v>
      </c>
      <c r="AH212" s="4">
        <f t="shared" si="34"/>
        <v>-81.7</v>
      </c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3">
      <c r="A213" s="1">
        <v>45357</v>
      </c>
      <c r="B213" t="s">
        <v>183</v>
      </c>
      <c r="C213" t="s">
        <v>315</v>
      </c>
      <c r="D213">
        <v>155</v>
      </c>
      <c r="E213">
        <v>1</v>
      </c>
      <c r="F213">
        <v>1</v>
      </c>
      <c r="G213" t="s">
        <v>51</v>
      </c>
      <c r="H213" t="s">
        <v>52</v>
      </c>
      <c r="I213">
        <v>0.89300000000000002</v>
      </c>
      <c r="J213">
        <v>15.5</v>
      </c>
      <c r="K213">
        <v>372</v>
      </c>
      <c r="L213" t="s">
        <v>53</v>
      </c>
      <c r="M213" t="s">
        <v>54</v>
      </c>
      <c r="N213">
        <v>2.09</v>
      </c>
      <c r="O213">
        <v>34.1</v>
      </c>
      <c r="P213">
        <v>2350</v>
      </c>
      <c r="R213" s="4">
        <v>1</v>
      </c>
      <c r="S213" s="4">
        <v>1</v>
      </c>
      <c r="T213" s="4"/>
      <c r="U213" s="4">
        <f t="shared" si="47"/>
        <v>372</v>
      </c>
      <c r="V213" s="4">
        <f t="shared" si="45"/>
        <v>372</v>
      </c>
      <c r="W213" s="4">
        <f t="shared" si="38"/>
        <v>372</v>
      </c>
      <c r="X213" s="4"/>
      <c r="Y213" s="4"/>
      <c r="Z213" s="4"/>
      <c r="AA213" s="4"/>
      <c r="AB213" s="4"/>
      <c r="AC213" s="4"/>
      <c r="AD213" s="4">
        <v>1</v>
      </c>
      <c r="AE213" s="4"/>
      <c r="AF213" s="4">
        <f t="shared" si="48"/>
        <v>2350</v>
      </c>
      <c r="AG213" s="4">
        <f t="shared" si="46"/>
        <v>2350</v>
      </c>
      <c r="AH213" s="4">
        <f t="shared" si="34"/>
        <v>2350</v>
      </c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1">
        <v>45357</v>
      </c>
      <c r="B214" t="s">
        <v>183</v>
      </c>
      <c r="C214" t="s">
        <v>316</v>
      </c>
      <c r="D214">
        <v>156</v>
      </c>
      <c r="E214">
        <v>1</v>
      </c>
      <c r="F214">
        <v>1</v>
      </c>
      <c r="G214" t="s">
        <v>51</v>
      </c>
      <c r="H214" t="s">
        <v>52</v>
      </c>
      <c r="I214">
        <v>0.126</v>
      </c>
      <c r="J214">
        <v>2.2799999999999998</v>
      </c>
      <c r="K214">
        <v>23.6</v>
      </c>
      <c r="L214" t="s">
        <v>53</v>
      </c>
      <c r="M214" t="s">
        <v>54</v>
      </c>
      <c r="N214">
        <v>0.314</v>
      </c>
      <c r="O214">
        <v>5.09</v>
      </c>
      <c r="P214">
        <v>284</v>
      </c>
      <c r="R214" s="4">
        <v>1</v>
      </c>
      <c r="S214" s="4">
        <v>1</v>
      </c>
      <c r="T214" s="4"/>
      <c r="U214" s="4">
        <f t="shared" si="47"/>
        <v>23.6</v>
      </c>
      <c r="V214" s="4">
        <f t="shared" si="45"/>
        <v>23.6</v>
      </c>
      <c r="W214" s="4">
        <f t="shared" si="38"/>
        <v>23.6</v>
      </c>
      <c r="X214" s="4"/>
      <c r="Y214" s="4"/>
      <c r="Z214" s="4"/>
      <c r="AA214" s="4"/>
      <c r="AB214" s="4"/>
      <c r="AC214" s="4"/>
      <c r="AD214" s="4">
        <v>1</v>
      </c>
      <c r="AE214" s="4"/>
      <c r="AF214" s="4">
        <f t="shared" si="48"/>
        <v>284</v>
      </c>
      <c r="AG214" s="4">
        <f t="shared" si="46"/>
        <v>284</v>
      </c>
      <c r="AH214" s="4">
        <f t="shared" si="34"/>
        <v>284</v>
      </c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1">
        <v>45357</v>
      </c>
      <c r="B215" t="s">
        <v>183</v>
      </c>
      <c r="C215" t="s">
        <v>317</v>
      </c>
      <c r="D215">
        <v>157</v>
      </c>
      <c r="E215">
        <v>1</v>
      </c>
      <c r="F215">
        <v>1</v>
      </c>
      <c r="G215" t="s">
        <v>51</v>
      </c>
      <c r="H215" t="s">
        <v>52</v>
      </c>
      <c r="I215">
        <v>0.13600000000000001</v>
      </c>
      <c r="J215">
        <v>2.46</v>
      </c>
      <c r="K215">
        <v>29.1</v>
      </c>
      <c r="L215" t="s">
        <v>53</v>
      </c>
      <c r="M215" t="s">
        <v>54</v>
      </c>
      <c r="N215">
        <v>0.27600000000000002</v>
      </c>
      <c r="O215">
        <v>4.71</v>
      </c>
      <c r="P215">
        <v>258</v>
      </c>
      <c r="R215" s="4">
        <v>1</v>
      </c>
      <c r="S215" s="4">
        <v>1</v>
      </c>
      <c r="T215" s="4"/>
      <c r="U215" s="4">
        <f t="shared" si="47"/>
        <v>29.1</v>
      </c>
      <c r="V215" s="4">
        <f t="shared" si="45"/>
        <v>29.1</v>
      </c>
      <c r="W215" s="4">
        <f t="shared" si="38"/>
        <v>29.1</v>
      </c>
      <c r="X215" s="4"/>
      <c r="Y215" s="4"/>
      <c r="Z215" s="4"/>
      <c r="AA215" s="4"/>
      <c r="AB215" s="4"/>
      <c r="AC215" s="4"/>
      <c r="AD215" s="4">
        <v>1</v>
      </c>
      <c r="AE215" s="4"/>
      <c r="AF215" s="4">
        <f t="shared" si="48"/>
        <v>258</v>
      </c>
      <c r="AG215" s="4">
        <f t="shared" si="46"/>
        <v>258</v>
      </c>
      <c r="AH215" s="4">
        <f t="shared" si="34"/>
        <v>258</v>
      </c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3">
      <c r="A216" s="1">
        <v>45357</v>
      </c>
      <c r="B216" t="s">
        <v>183</v>
      </c>
      <c r="C216" t="s">
        <v>318</v>
      </c>
      <c r="D216">
        <v>158</v>
      </c>
      <c r="E216">
        <v>1</v>
      </c>
      <c r="F216">
        <v>1</v>
      </c>
      <c r="G216" t="s">
        <v>51</v>
      </c>
      <c r="H216" t="s">
        <v>52</v>
      </c>
      <c r="I216">
        <v>0.13300000000000001</v>
      </c>
      <c r="J216">
        <v>2.34</v>
      </c>
      <c r="K216">
        <v>25.6</v>
      </c>
      <c r="L216" t="s">
        <v>53</v>
      </c>
      <c r="M216" t="s">
        <v>54</v>
      </c>
      <c r="N216">
        <v>0.47199999999999998</v>
      </c>
      <c r="O216">
        <v>7.8</v>
      </c>
      <c r="P216">
        <v>470</v>
      </c>
      <c r="Q216" s="4"/>
      <c r="R216" s="4">
        <v>1</v>
      </c>
      <c r="S216" s="4">
        <v>1</v>
      </c>
      <c r="T216" s="4"/>
      <c r="U216" s="4">
        <f t="shared" si="47"/>
        <v>25.6</v>
      </c>
      <c r="V216" s="4">
        <f t="shared" si="45"/>
        <v>25.6</v>
      </c>
      <c r="W216" s="4">
        <f t="shared" si="38"/>
        <v>25.6</v>
      </c>
      <c r="X216" s="4"/>
      <c r="Y216" s="4"/>
      <c r="AD216" s="4">
        <v>1</v>
      </c>
      <c r="AE216" s="4"/>
      <c r="AF216" s="4">
        <f t="shared" si="48"/>
        <v>470</v>
      </c>
      <c r="AG216" s="4">
        <f t="shared" si="46"/>
        <v>470</v>
      </c>
      <c r="AH216" s="4">
        <f t="shared" si="34"/>
        <v>470</v>
      </c>
      <c r="AI216" s="4"/>
      <c r="AJ216" s="4"/>
      <c r="AO216" s="4"/>
      <c r="AP216" s="4"/>
      <c r="AQ216" s="4"/>
    </row>
    <row r="217" spans="1:43" x14ac:dyDescent="0.3">
      <c r="A217" s="1">
        <v>45357</v>
      </c>
      <c r="B217" t="s">
        <v>183</v>
      </c>
      <c r="C217" t="s">
        <v>319</v>
      </c>
      <c r="D217">
        <v>159</v>
      </c>
      <c r="E217">
        <v>1</v>
      </c>
      <c r="F217">
        <v>1</v>
      </c>
      <c r="G217" t="s">
        <v>51</v>
      </c>
      <c r="H217" t="s">
        <v>52</v>
      </c>
      <c r="I217">
        <v>0.25800000000000001</v>
      </c>
      <c r="J217">
        <v>3.86</v>
      </c>
      <c r="K217">
        <v>71.599999999999994</v>
      </c>
      <c r="L217" t="s">
        <v>53</v>
      </c>
      <c r="M217" t="s">
        <v>54</v>
      </c>
      <c r="N217">
        <v>0.42299999999999999</v>
      </c>
      <c r="O217">
        <v>7.01</v>
      </c>
      <c r="P217">
        <v>416</v>
      </c>
      <c r="Q217" s="4"/>
      <c r="R217" s="4">
        <v>1</v>
      </c>
      <c r="S217" s="4">
        <v>1</v>
      </c>
      <c r="T217" s="4"/>
      <c r="U217" s="4">
        <f t="shared" si="47"/>
        <v>71.599999999999994</v>
      </c>
      <c r="V217" s="4">
        <f t="shared" si="45"/>
        <v>71.599999999999994</v>
      </c>
      <c r="W217" s="4">
        <f t="shared" si="38"/>
        <v>71.599999999999994</v>
      </c>
      <c r="X217" s="4"/>
      <c r="Y217" s="4"/>
      <c r="AD217" s="4">
        <v>1</v>
      </c>
      <c r="AE217" s="4"/>
      <c r="AF217" s="4">
        <f t="shared" si="48"/>
        <v>416</v>
      </c>
      <c r="AG217" s="4">
        <f t="shared" si="46"/>
        <v>416</v>
      </c>
      <c r="AH217" s="4">
        <f t="shared" si="34"/>
        <v>416</v>
      </c>
      <c r="AI217" s="4"/>
      <c r="AJ217" s="4"/>
      <c r="AO217" s="4"/>
      <c r="AP217" s="4"/>
      <c r="AQ217" s="4"/>
    </row>
    <row r="218" spans="1:43" x14ac:dyDescent="0.3">
      <c r="A218" s="1">
        <v>45357</v>
      </c>
      <c r="B218" t="s">
        <v>183</v>
      </c>
      <c r="C218" t="s">
        <v>320</v>
      </c>
      <c r="D218">
        <v>160</v>
      </c>
      <c r="E218">
        <v>1</v>
      </c>
      <c r="F218">
        <v>1</v>
      </c>
      <c r="G218" t="s">
        <v>51</v>
      </c>
      <c r="H218" t="s">
        <v>52</v>
      </c>
      <c r="I218">
        <v>0.13800000000000001</v>
      </c>
      <c r="J218">
        <v>2.4700000000000002</v>
      </c>
      <c r="K218">
        <v>29.5</v>
      </c>
      <c r="L218" t="s">
        <v>53</v>
      </c>
      <c r="M218" t="s">
        <v>54</v>
      </c>
      <c r="N218">
        <v>0.435</v>
      </c>
      <c r="O218">
        <v>7.27</v>
      </c>
      <c r="P218">
        <v>433</v>
      </c>
      <c r="Q218" s="4"/>
      <c r="R218" s="4">
        <v>1</v>
      </c>
      <c r="S218" s="4">
        <v>1</v>
      </c>
      <c r="T218" s="4"/>
      <c r="U218" s="4">
        <f t="shared" si="47"/>
        <v>29.5</v>
      </c>
      <c r="V218" s="4">
        <f t="shared" si="45"/>
        <v>29.5</v>
      </c>
      <c r="W218" s="4">
        <f t="shared" ref="W218:W227" si="52">IF(R218=1,U218,(V218*R218))</f>
        <v>29.5</v>
      </c>
      <c r="X218" s="4"/>
      <c r="Y218" s="4"/>
      <c r="AD218" s="4">
        <v>1</v>
      </c>
      <c r="AE218" s="4"/>
      <c r="AF218" s="4">
        <f t="shared" si="48"/>
        <v>433</v>
      </c>
      <c r="AG218" s="4">
        <f t="shared" si="46"/>
        <v>433</v>
      </c>
      <c r="AH218" s="4">
        <f t="shared" ref="AH218:AH227" si="53">IF(R218=1,AF218,(AG218*R218))</f>
        <v>433</v>
      </c>
      <c r="AI218" s="4"/>
      <c r="AJ218" s="4"/>
      <c r="AO218" s="4"/>
      <c r="AP218" s="4"/>
      <c r="AQ218" s="4"/>
    </row>
    <row r="219" spans="1:43" x14ac:dyDescent="0.3">
      <c r="A219" s="1">
        <v>45357</v>
      </c>
      <c r="B219" t="s">
        <v>183</v>
      </c>
      <c r="C219" t="s">
        <v>321</v>
      </c>
      <c r="D219">
        <v>161</v>
      </c>
      <c r="E219">
        <v>1</v>
      </c>
      <c r="F219">
        <v>1</v>
      </c>
      <c r="G219" t="s">
        <v>51</v>
      </c>
      <c r="H219" t="s">
        <v>52</v>
      </c>
      <c r="I219">
        <v>0.17100000000000001</v>
      </c>
      <c r="J219">
        <v>3.07</v>
      </c>
      <c r="K219">
        <v>47.8</v>
      </c>
      <c r="L219" t="s">
        <v>53</v>
      </c>
      <c r="M219" t="s">
        <v>54</v>
      </c>
      <c r="N219">
        <v>0.33800000000000002</v>
      </c>
      <c r="O219">
        <v>5.64</v>
      </c>
      <c r="P219">
        <v>321</v>
      </c>
      <c r="Q219" s="4"/>
      <c r="R219" s="4">
        <v>1</v>
      </c>
      <c r="S219" s="4">
        <v>1</v>
      </c>
      <c r="T219" s="4"/>
      <c r="U219" s="4">
        <f t="shared" si="47"/>
        <v>47.8</v>
      </c>
      <c r="V219" s="4">
        <f t="shared" si="45"/>
        <v>47.8</v>
      </c>
      <c r="W219" s="4">
        <f t="shared" si="52"/>
        <v>47.8</v>
      </c>
      <c r="X219" s="4"/>
      <c r="Y219" s="4"/>
      <c r="AD219" s="4">
        <v>1</v>
      </c>
      <c r="AE219" s="4"/>
      <c r="AF219" s="4">
        <f t="shared" si="48"/>
        <v>321</v>
      </c>
      <c r="AG219" s="4">
        <f t="shared" si="46"/>
        <v>321</v>
      </c>
      <c r="AH219" s="4">
        <f t="shared" si="53"/>
        <v>321</v>
      </c>
      <c r="AI219" s="4"/>
      <c r="AJ219" s="4"/>
      <c r="AO219" s="4"/>
      <c r="AP219" s="4"/>
      <c r="AQ219" s="4"/>
    </row>
    <row r="220" spans="1:43" x14ac:dyDescent="0.3">
      <c r="A220" s="1">
        <v>45357</v>
      </c>
      <c r="B220" t="s">
        <v>183</v>
      </c>
      <c r="C220" t="s">
        <v>322</v>
      </c>
      <c r="D220">
        <v>162</v>
      </c>
      <c r="E220">
        <v>1</v>
      </c>
      <c r="F220">
        <v>1</v>
      </c>
      <c r="G220" t="s">
        <v>51</v>
      </c>
      <c r="H220" t="s">
        <v>52</v>
      </c>
      <c r="I220">
        <v>0.125</v>
      </c>
      <c r="J220">
        <v>2.2200000000000002</v>
      </c>
      <c r="K220">
        <v>21.8</v>
      </c>
      <c r="L220" t="s">
        <v>53</v>
      </c>
      <c r="M220" t="s">
        <v>54</v>
      </c>
      <c r="N220">
        <v>0.32200000000000001</v>
      </c>
      <c r="O220">
        <v>5.5</v>
      </c>
      <c r="P220">
        <v>311</v>
      </c>
      <c r="R220" s="4">
        <v>1</v>
      </c>
      <c r="S220" s="4">
        <v>1</v>
      </c>
      <c r="T220" s="4"/>
      <c r="U220" s="4">
        <f t="shared" si="47"/>
        <v>21.8</v>
      </c>
      <c r="V220" s="4">
        <f t="shared" si="45"/>
        <v>21.8</v>
      </c>
      <c r="W220" s="4">
        <f t="shared" si="52"/>
        <v>21.8</v>
      </c>
      <c r="X220" s="4"/>
      <c r="Y220" s="4"/>
      <c r="AD220" s="4">
        <v>1</v>
      </c>
      <c r="AE220" s="4"/>
      <c r="AF220" s="4">
        <f t="shared" si="48"/>
        <v>311</v>
      </c>
      <c r="AG220" s="4">
        <f t="shared" si="46"/>
        <v>311</v>
      </c>
      <c r="AH220" s="4">
        <f t="shared" si="53"/>
        <v>311</v>
      </c>
      <c r="AI220" s="4"/>
      <c r="AJ220" s="4"/>
      <c r="AO220" s="4"/>
      <c r="AP220" s="4"/>
      <c r="AQ220" s="4"/>
    </row>
    <row r="221" spans="1:43" x14ac:dyDescent="0.3">
      <c r="A221" s="1">
        <v>45357</v>
      </c>
      <c r="B221" t="s">
        <v>183</v>
      </c>
      <c r="C221" t="s">
        <v>323</v>
      </c>
      <c r="D221">
        <v>163</v>
      </c>
      <c r="E221">
        <v>1</v>
      </c>
      <c r="F221">
        <v>1</v>
      </c>
      <c r="G221" t="s">
        <v>51</v>
      </c>
      <c r="H221" t="s">
        <v>52</v>
      </c>
      <c r="I221">
        <v>0.105</v>
      </c>
      <c r="J221">
        <v>1.93</v>
      </c>
      <c r="K221">
        <v>12.7</v>
      </c>
      <c r="L221" t="s">
        <v>53</v>
      </c>
      <c r="M221" t="s">
        <v>54</v>
      </c>
      <c r="N221">
        <v>0.22500000000000001</v>
      </c>
      <c r="O221">
        <v>3.59</v>
      </c>
      <c r="P221">
        <v>181</v>
      </c>
      <c r="R221" s="4">
        <v>1</v>
      </c>
      <c r="S221" s="4">
        <v>1</v>
      </c>
      <c r="T221" s="4"/>
      <c r="U221" s="4">
        <f t="shared" si="47"/>
        <v>12.7</v>
      </c>
      <c r="V221" s="4">
        <f t="shared" si="45"/>
        <v>12.7</v>
      </c>
      <c r="W221" s="4">
        <f t="shared" si="52"/>
        <v>12.7</v>
      </c>
      <c r="X221" s="4"/>
      <c r="Y221" s="4"/>
      <c r="AD221" s="4">
        <v>1</v>
      </c>
      <c r="AE221" s="4"/>
      <c r="AF221" s="4">
        <f t="shared" si="48"/>
        <v>181</v>
      </c>
      <c r="AG221" s="4">
        <f t="shared" si="46"/>
        <v>181</v>
      </c>
      <c r="AH221" s="4">
        <f t="shared" si="53"/>
        <v>181</v>
      </c>
      <c r="AI221" s="4"/>
      <c r="AJ221" s="4"/>
      <c r="AO221" s="4"/>
      <c r="AP221" s="4"/>
      <c r="AQ221" s="4"/>
    </row>
    <row r="222" spans="1:43" x14ac:dyDescent="0.3">
      <c r="A222" s="1">
        <v>45357</v>
      </c>
      <c r="B222" t="s">
        <v>183</v>
      </c>
      <c r="C222" t="s">
        <v>324</v>
      </c>
      <c r="D222">
        <v>164</v>
      </c>
      <c r="E222">
        <v>1</v>
      </c>
      <c r="F222">
        <v>1</v>
      </c>
      <c r="G222" t="s">
        <v>51</v>
      </c>
      <c r="H222" t="s">
        <v>52</v>
      </c>
      <c r="I222">
        <v>0.13200000000000001</v>
      </c>
      <c r="J222">
        <v>2.41</v>
      </c>
      <c r="K222">
        <v>27.6</v>
      </c>
      <c r="L222" t="s">
        <v>53</v>
      </c>
      <c r="M222" t="s">
        <v>54</v>
      </c>
      <c r="N222">
        <v>0.3</v>
      </c>
      <c r="O222">
        <v>5.16</v>
      </c>
      <c r="P222">
        <v>288</v>
      </c>
      <c r="R222" s="4">
        <v>1</v>
      </c>
      <c r="S222" s="4">
        <v>1</v>
      </c>
      <c r="T222" s="4"/>
      <c r="U222" s="4">
        <f t="shared" si="47"/>
        <v>27.6</v>
      </c>
      <c r="V222" s="4">
        <f t="shared" si="45"/>
        <v>27.6</v>
      </c>
      <c r="W222" s="4">
        <f t="shared" si="52"/>
        <v>27.6</v>
      </c>
      <c r="X222" s="4"/>
      <c r="Y222" s="4"/>
      <c r="AD222" s="4">
        <v>1</v>
      </c>
      <c r="AE222" s="4"/>
      <c r="AF222" s="4">
        <f t="shared" si="48"/>
        <v>288</v>
      </c>
      <c r="AG222" s="4">
        <f t="shared" si="46"/>
        <v>288</v>
      </c>
      <c r="AH222" s="4">
        <f t="shared" si="53"/>
        <v>288</v>
      </c>
      <c r="AI222" s="4"/>
      <c r="AJ222" s="4"/>
      <c r="AO222" s="4"/>
      <c r="AP222" s="4"/>
      <c r="AQ222" s="4"/>
    </row>
    <row r="223" spans="1:43" x14ac:dyDescent="0.3">
      <c r="A223" s="1">
        <v>45357</v>
      </c>
      <c r="B223" t="s">
        <v>183</v>
      </c>
      <c r="C223" t="s">
        <v>325</v>
      </c>
      <c r="D223">
        <v>165</v>
      </c>
      <c r="E223">
        <v>1</v>
      </c>
      <c r="F223">
        <v>1</v>
      </c>
      <c r="G223" t="s">
        <v>51</v>
      </c>
      <c r="H223" t="s">
        <v>52</v>
      </c>
      <c r="I223">
        <v>0.13900000000000001</v>
      </c>
      <c r="J223">
        <v>2.5</v>
      </c>
      <c r="K223">
        <v>30.3</v>
      </c>
      <c r="L223" t="s">
        <v>53</v>
      </c>
      <c r="M223" t="s">
        <v>54</v>
      </c>
      <c r="N223">
        <v>0.14899999999999999</v>
      </c>
      <c r="O223">
        <v>2.67</v>
      </c>
      <c r="P223">
        <v>118</v>
      </c>
      <c r="R223" s="4">
        <v>1</v>
      </c>
      <c r="S223" s="4">
        <v>1</v>
      </c>
      <c r="T223" s="4"/>
      <c r="U223" s="4">
        <f t="shared" si="47"/>
        <v>30.3</v>
      </c>
      <c r="V223" s="4">
        <f t="shared" si="45"/>
        <v>30.3</v>
      </c>
      <c r="W223" s="4">
        <f t="shared" si="52"/>
        <v>30.3</v>
      </c>
      <c r="X223" s="4"/>
      <c r="Y223" s="4"/>
      <c r="Z223">
        <f>ABS(100*ABS(W223-W218)/AVERAGE(W223,W218))</f>
        <v>2.6755852842809391</v>
      </c>
      <c r="AA223" t="str">
        <f>IF(W223&gt;10, (IF((AND(Z223&gt;=0,Z223&lt;=20)=TRUE),"PASS","FAIL")),(IF((AND(Z223&gt;=0,Z223&lt;=50)=TRUE),"PASS","FAIL")))</f>
        <v>PASS</v>
      </c>
      <c r="AB223" s="4"/>
      <c r="AC223" s="4"/>
      <c r="AD223" s="4">
        <v>1</v>
      </c>
      <c r="AE223" s="4"/>
      <c r="AF223" s="4">
        <f t="shared" si="48"/>
        <v>118</v>
      </c>
      <c r="AG223" s="4">
        <f t="shared" si="46"/>
        <v>118</v>
      </c>
      <c r="AH223" s="4">
        <f t="shared" si="53"/>
        <v>118</v>
      </c>
      <c r="AI223" s="4"/>
      <c r="AJ223" s="4"/>
      <c r="AK223">
        <f>ABS(100*ABS(AH223-AH219)/AVERAGE(AH223,AH219))</f>
        <v>92.482915717539868</v>
      </c>
      <c r="AL223" t="str">
        <f>IF(AH223&gt;10, (IF((AND(AK223&gt;=0,AK223&lt;=20)=TRUE),"PASS","FAIL")),(IF((AND(AK223&gt;=0,AK223&lt;=50)=TRUE),"PASS","FAIL")))</f>
        <v>FAIL</v>
      </c>
      <c r="AM223" s="4"/>
      <c r="AN223" s="4"/>
      <c r="AO223" s="4"/>
      <c r="AP223" s="4"/>
      <c r="AQ223" s="4"/>
    </row>
    <row r="224" spans="1:43" x14ac:dyDescent="0.3">
      <c r="A224" s="1">
        <v>45357</v>
      </c>
      <c r="B224" t="s">
        <v>183</v>
      </c>
      <c r="C224" t="s">
        <v>326</v>
      </c>
      <c r="D224">
        <v>166</v>
      </c>
      <c r="E224">
        <v>1</v>
      </c>
      <c r="F224">
        <v>1</v>
      </c>
      <c r="G224" t="s">
        <v>51</v>
      </c>
      <c r="H224" t="s">
        <v>52</v>
      </c>
      <c r="I224">
        <v>0.17899999999999999</v>
      </c>
      <c r="J224">
        <v>3.22</v>
      </c>
      <c r="K224">
        <v>52.3</v>
      </c>
      <c r="L224" t="s">
        <v>53</v>
      </c>
      <c r="M224" t="s">
        <v>54</v>
      </c>
      <c r="N224">
        <v>0.5</v>
      </c>
      <c r="O224">
        <v>8.2200000000000006</v>
      </c>
      <c r="P224">
        <v>499</v>
      </c>
      <c r="R224" s="4">
        <v>1</v>
      </c>
      <c r="S224" s="4">
        <v>1</v>
      </c>
      <c r="T224" s="4"/>
      <c r="U224" s="4">
        <f t="shared" si="47"/>
        <v>52.3</v>
      </c>
      <c r="V224" s="4">
        <f t="shared" si="45"/>
        <v>52.3</v>
      </c>
      <c r="W224" s="4">
        <f t="shared" si="52"/>
        <v>52.3</v>
      </c>
      <c r="X224" s="4"/>
      <c r="Y224" s="4"/>
      <c r="Z224" s="4"/>
      <c r="AA224" s="4"/>
      <c r="AB224">
        <f>100*((W224*10250)-(W222*10000))/(1000*250)</f>
        <v>104.03</v>
      </c>
      <c r="AC224" t="str">
        <f>IF(W224&gt;30, (IF((AND(AB224&gt;=80,AB224&lt;=120)=TRUE),"PASS","FAIL")),(IF((AND(AB224&gt;=50,AB224&lt;=150)=TRUE),"PASS","FAIL")))</f>
        <v>PASS</v>
      </c>
      <c r="AD224" s="4">
        <v>1</v>
      </c>
      <c r="AE224" s="4"/>
      <c r="AF224" s="4">
        <f t="shared" si="48"/>
        <v>499</v>
      </c>
      <c r="AG224" s="4">
        <f t="shared" si="46"/>
        <v>499</v>
      </c>
      <c r="AH224" s="4">
        <f t="shared" si="53"/>
        <v>499</v>
      </c>
      <c r="AI224" s="4"/>
      <c r="AJ224" s="4"/>
      <c r="AK224" s="4"/>
      <c r="AL224" s="4"/>
      <c r="AM224">
        <f>100*((AH224*10250)-(AH222*10000))/(10000*250)</f>
        <v>89.39</v>
      </c>
      <c r="AN224" t="str">
        <f>IF(AH224&gt;30, (IF((AND(AM224&gt;=80,AM224&lt;=120)=TRUE),"PASS","FAIL")),(IF((AND(AM224&gt;=50,AM224&lt;=150)=TRUE),"PASS","FAIL")))</f>
        <v>PASS</v>
      </c>
      <c r="AO224" s="4"/>
      <c r="AP224" s="4"/>
      <c r="AQ224" s="4"/>
    </row>
    <row r="225" spans="1:43" x14ac:dyDescent="0.3">
      <c r="A225" s="1">
        <v>45357</v>
      </c>
      <c r="B225" t="s">
        <v>183</v>
      </c>
      <c r="C225" t="s">
        <v>199</v>
      </c>
      <c r="D225">
        <v>7</v>
      </c>
      <c r="E225">
        <v>1</v>
      </c>
      <c r="F225">
        <v>1</v>
      </c>
      <c r="G225" t="s">
        <v>51</v>
      </c>
      <c r="H225" t="s">
        <v>52</v>
      </c>
      <c r="I225">
        <v>0.13300000000000001</v>
      </c>
      <c r="J225">
        <v>2.34</v>
      </c>
      <c r="K225">
        <v>25.4</v>
      </c>
      <c r="L225" t="s">
        <v>53</v>
      </c>
      <c r="M225" t="s">
        <v>54</v>
      </c>
      <c r="N225">
        <v>0.251</v>
      </c>
      <c r="O225">
        <v>4.47</v>
      </c>
      <c r="P225">
        <v>241</v>
      </c>
      <c r="R225" s="4">
        <v>1</v>
      </c>
      <c r="S225" s="4">
        <v>1</v>
      </c>
      <c r="T225" s="4"/>
      <c r="U225" s="4">
        <f t="shared" si="47"/>
        <v>25.4</v>
      </c>
      <c r="V225" s="4">
        <f t="shared" si="45"/>
        <v>25.4</v>
      </c>
      <c r="W225" s="4">
        <f t="shared" si="52"/>
        <v>25.4</v>
      </c>
      <c r="X225" s="4">
        <f>100*(W225-25)/25</f>
        <v>1.5999999999999943</v>
      </c>
      <c r="Y225" s="4" t="str">
        <f t="shared" ref="Y225" si="54">IF((ABS(X225))&lt;=20,"PASS","FAIL")</f>
        <v>PASS</v>
      </c>
      <c r="AD225" s="4">
        <v>1</v>
      </c>
      <c r="AE225" s="4"/>
      <c r="AF225" s="4">
        <f t="shared" si="48"/>
        <v>241</v>
      </c>
      <c r="AG225" s="4">
        <f t="shared" si="46"/>
        <v>241</v>
      </c>
      <c r="AH225" s="4">
        <f t="shared" si="53"/>
        <v>241</v>
      </c>
      <c r="AI225" s="4">
        <f t="shared" ref="AI225" si="55">100*(AH225-250)/250</f>
        <v>-3.6</v>
      </c>
      <c r="AJ225" s="4" t="str">
        <f t="shared" ref="AJ225" si="56">IF((ABS(AI225))&lt;=20,"PASS","FAIL")</f>
        <v>PASS</v>
      </c>
      <c r="AO225" s="4"/>
      <c r="AP225" s="4"/>
      <c r="AQ225" s="5"/>
    </row>
    <row r="226" spans="1:43" x14ac:dyDescent="0.3">
      <c r="A226" s="1">
        <v>45357</v>
      </c>
      <c r="B226" t="s">
        <v>183</v>
      </c>
      <c r="C226" t="s">
        <v>200</v>
      </c>
      <c r="D226" t="s">
        <v>11</v>
      </c>
      <c r="E226">
        <v>1</v>
      </c>
      <c r="F226">
        <v>1</v>
      </c>
      <c r="G226" t="s">
        <v>51</v>
      </c>
      <c r="H226" t="s">
        <v>52</v>
      </c>
      <c r="I226">
        <v>0.13</v>
      </c>
      <c r="J226">
        <v>1.61</v>
      </c>
      <c r="K226">
        <v>2.65</v>
      </c>
      <c r="L226" t="s">
        <v>53</v>
      </c>
      <c r="M226" t="s">
        <v>54</v>
      </c>
      <c r="N226">
        <v>1.03E-2</v>
      </c>
      <c r="O226">
        <v>0.11600000000000001</v>
      </c>
      <c r="P226">
        <v>-55</v>
      </c>
      <c r="R226" s="4">
        <v>1</v>
      </c>
      <c r="S226" s="4">
        <v>1</v>
      </c>
      <c r="T226" s="4"/>
      <c r="U226" s="4">
        <f t="shared" si="47"/>
        <v>2.65</v>
      </c>
      <c r="V226" s="4">
        <f t="shared" si="45"/>
        <v>2.65</v>
      </c>
      <c r="W226" s="4">
        <f t="shared" si="52"/>
        <v>2.65</v>
      </c>
      <c r="X226" s="4"/>
      <c r="Y226" s="4"/>
      <c r="AD226" s="4">
        <v>1</v>
      </c>
      <c r="AE226" s="4"/>
      <c r="AF226" s="4">
        <f t="shared" si="48"/>
        <v>-55</v>
      </c>
      <c r="AG226" s="4">
        <f t="shared" si="46"/>
        <v>-55</v>
      </c>
      <c r="AH226" s="4">
        <f t="shared" si="53"/>
        <v>-55</v>
      </c>
      <c r="AI226" s="4"/>
      <c r="AJ226" s="4"/>
      <c r="AO226" s="4"/>
      <c r="AP226" s="4"/>
      <c r="AQ226" s="5"/>
    </row>
    <row r="227" spans="1:43" x14ac:dyDescent="0.3">
      <c r="A227" s="1">
        <v>45357</v>
      </c>
      <c r="B227" t="s">
        <v>183</v>
      </c>
      <c r="C227" t="s">
        <v>201</v>
      </c>
      <c r="D227" t="s">
        <v>121</v>
      </c>
      <c r="E227">
        <v>1</v>
      </c>
      <c r="F227">
        <v>1</v>
      </c>
      <c r="G227" t="s">
        <v>51</v>
      </c>
      <c r="H227" t="s">
        <v>52</v>
      </c>
      <c r="I227">
        <v>6.9100000000000003E-3</v>
      </c>
      <c r="J227">
        <v>8.3199999999999996E-2</v>
      </c>
      <c r="K227">
        <v>-46</v>
      </c>
      <c r="L227" t="s">
        <v>53</v>
      </c>
      <c r="M227" t="s">
        <v>54</v>
      </c>
      <c r="N227">
        <v>-1.7100000000000001E-2</v>
      </c>
      <c r="O227">
        <v>-0.16600000000000001</v>
      </c>
      <c r="P227">
        <v>-74</v>
      </c>
      <c r="R227" s="4">
        <v>1</v>
      </c>
      <c r="S227" s="4">
        <v>1</v>
      </c>
      <c r="T227" s="4"/>
      <c r="U227" s="4">
        <f t="shared" si="47"/>
        <v>-46</v>
      </c>
      <c r="V227" s="4">
        <f t="shared" si="45"/>
        <v>-46</v>
      </c>
      <c r="W227" s="4">
        <f t="shared" si="52"/>
        <v>-46</v>
      </c>
      <c r="X227" s="4"/>
      <c r="Y227" s="4"/>
      <c r="AD227" s="4">
        <v>1</v>
      </c>
      <c r="AE227" s="4"/>
      <c r="AF227" s="4">
        <f t="shared" si="48"/>
        <v>-74</v>
      </c>
      <c r="AG227" s="4">
        <f t="shared" si="46"/>
        <v>-74</v>
      </c>
      <c r="AH227" s="4">
        <f t="shared" si="53"/>
        <v>-74</v>
      </c>
      <c r="AI227" s="4"/>
      <c r="AJ227" s="4"/>
      <c r="AO227" s="4"/>
      <c r="AP227" s="4"/>
      <c r="AQ227" s="5"/>
    </row>
    <row r="228" spans="1:43" x14ac:dyDescent="0.3">
      <c r="A228" s="1">
        <v>45357</v>
      </c>
      <c r="B228" t="s">
        <v>183</v>
      </c>
      <c r="C228" t="s">
        <v>327</v>
      </c>
      <c r="D228">
        <v>167</v>
      </c>
      <c r="E228">
        <v>1</v>
      </c>
      <c r="F228">
        <v>1</v>
      </c>
      <c r="G228" t="s">
        <v>51</v>
      </c>
      <c r="H228" t="s">
        <v>52</v>
      </c>
      <c r="I228">
        <v>0.14799999999999999</v>
      </c>
      <c r="J228">
        <v>2.74</v>
      </c>
      <c r="K228">
        <v>37.799999999999997</v>
      </c>
      <c r="L228" t="s">
        <v>53</v>
      </c>
      <c r="M228" t="s">
        <v>54</v>
      </c>
      <c r="N228">
        <v>0.65200000000000002</v>
      </c>
      <c r="O228">
        <v>10.8</v>
      </c>
      <c r="P228">
        <v>675</v>
      </c>
      <c r="R228" s="4">
        <v>1</v>
      </c>
      <c r="S228" s="4">
        <v>1</v>
      </c>
      <c r="T228" s="4"/>
      <c r="U228" s="4">
        <f t="shared" ref="U228" si="57">K228*F228</f>
        <v>37.799999999999997</v>
      </c>
      <c r="V228" s="4">
        <f t="shared" ref="V228" si="58">IF(R228=1,U228,(U228-0))</f>
        <v>37.799999999999997</v>
      </c>
      <c r="W228" s="4">
        <f t="shared" ref="W228" si="59">IF(R228=1,U228,(V228*R228))</f>
        <v>37.799999999999997</v>
      </c>
      <c r="X228" s="4"/>
      <c r="Y228" s="4"/>
      <c r="AD228" s="4">
        <v>1</v>
      </c>
      <c r="AE228" s="4"/>
      <c r="AF228" s="4">
        <f t="shared" ref="AF228" si="60">P228*F228</f>
        <v>675</v>
      </c>
      <c r="AG228" s="4">
        <f t="shared" ref="AG228" si="61">IF(R228=1,AF228,(AF228-0))</f>
        <v>675</v>
      </c>
      <c r="AH228" s="4">
        <f t="shared" ref="AH228" si="62">IF(R228=1,AF228,(AG228*R228))</f>
        <v>675</v>
      </c>
      <c r="AI228" s="4"/>
      <c r="AJ228" s="4"/>
      <c r="AO228" s="4"/>
    </row>
    <row r="229" spans="1:43" x14ac:dyDescent="0.3">
      <c r="A229" s="1">
        <v>45357</v>
      </c>
      <c r="B229" t="s">
        <v>183</v>
      </c>
      <c r="C229" t="s">
        <v>328</v>
      </c>
      <c r="D229">
        <v>168</v>
      </c>
      <c r="E229">
        <v>1</v>
      </c>
      <c r="F229">
        <v>1</v>
      </c>
      <c r="G229" t="s">
        <v>51</v>
      </c>
      <c r="H229" t="s">
        <v>52</v>
      </c>
      <c r="I229">
        <v>0.13200000000000001</v>
      </c>
      <c r="J229">
        <v>2.4</v>
      </c>
      <c r="K229">
        <v>27.3</v>
      </c>
      <c r="L229" t="s">
        <v>53</v>
      </c>
      <c r="M229" t="s">
        <v>54</v>
      </c>
      <c r="N229">
        <v>0.23799999999999999</v>
      </c>
      <c r="O229">
        <v>4.29</v>
      </c>
      <c r="P229">
        <v>229</v>
      </c>
      <c r="R229" s="4">
        <v>1</v>
      </c>
      <c r="S229" s="4">
        <v>1</v>
      </c>
      <c r="T229" s="4"/>
      <c r="U229" s="4">
        <f t="shared" ref="U229" si="63">K229*F229</f>
        <v>27.3</v>
      </c>
      <c r="V229" s="4">
        <f t="shared" ref="V229" si="64">IF(R229=1,U229,(U229-0))</f>
        <v>27.3</v>
      </c>
      <c r="W229" s="4">
        <f t="shared" ref="W229" si="65">IF(R229=1,U229,(V229*R229))</f>
        <v>27.3</v>
      </c>
      <c r="X229" s="4"/>
      <c r="Y229" s="4"/>
      <c r="AD229" s="4">
        <v>1</v>
      </c>
      <c r="AE229" s="4"/>
      <c r="AF229" s="4">
        <f t="shared" ref="AF229" si="66">P229*F229</f>
        <v>229</v>
      </c>
      <c r="AG229" s="4">
        <f t="shared" ref="AG229" si="67">IF(R229=1,AF229,(AF229-0))</f>
        <v>229</v>
      </c>
      <c r="AH229" s="4">
        <f t="shared" ref="AH229" si="68">IF(R229=1,AF229,(AG229*R229))</f>
        <v>229</v>
      </c>
      <c r="AI229" s="4"/>
      <c r="AJ229" s="4"/>
      <c r="AO229" s="4"/>
    </row>
    <row r="230" spans="1:43" x14ac:dyDescent="0.3">
      <c r="A230" s="1">
        <v>45357</v>
      </c>
      <c r="B230" t="s">
        <v>183</v>
      </c>
      <c r="C230" t="s">
        <v>329</v>
      </c>
      <c r="D230">
        <v>169</v>
      </c>
      <c r="E230">
        <v>1</v>
      </c>
      <c r="F230">
        <v>1</v>
      </c>
      <c r="G230" t="s">
        <v>51</v>
      </c>
      <c r="H230" t="s">
        <v>52</v>
      </c>
      <c r="I230">
        <v>0.13100000000000001</v>
      </c>
      <c r="J230">
        <v>2.37</v>
      </c>
      <c r="K230">
        <v>26.5</v>
      </c>
      <c r="L230" t="s">
        <v>53</v>
      </c>
      <c r="M230" t="s">
        <v>54</v>
      </c>
      <c r="N230">
        <v>0.26</v>
      </c>
      <c r="O230">
        <v>4.38</v>
      </c>
      <c r="P230">
        <v>235</v>
      </c>
      <c r="R230" s="4">
        <v>1</v>
      </c>
      <c r="S230" s="4">
        <v>1</v>
      </c>
      <c r="T230" s="4"/>
      <c r="U230" s="4">
        <f t="shared" ref="U230:U259" si="69">K230*F230</f>
        <v>26.5</v>
      </c>
      <c r="V230" s="4">
        <f t="shared" ref="V230:V259" si="70">IF(R230=1,U230,(U230-0))</f>
        <v>26.5</v>
      </c>
      <c r="W230" s="4">
        <f t="shared" ref="W230:W259" si="71">IF(R230=1,U230,(V230*R230))</f>
        <v>26.5</v>
      </c>
      <c r="X230" s="4"/>
      <c r="Y230" s="4"/>
      <c r="AD230" s="4">
        <v>1</v>
      </c>
      <c r="AE230" s="4"/>
      <c r="AF230" s="4">
        <f t="shared" ref="AF230:AF259" si="72">P230*F230</f>
        <v>235</v>
      </c>
      <c r="AG230" s="4">
        <f t="shared" ref="AG230:AG259" si="73">IF(R230=1,AF230,(AF230-0))</f>
        <v>235</v>
      </c>
      <c r="AH230" s="4">
        <f t="shared" ref="AH230:AH259" si="74">IF(R230=1,AF230,(AG230*R230))</f>
        <v>235</v>
      </c>
      <c r="AI230" s="4"/>
      <c r="AJ230" s="4"/>
      <c r="AO230" s="4"/>
    </row>
    <row r="231" spans="1:43" x14ac:dyDescent="0.3">
      <c r="A231" s="1">
        <v>45357</v>
      </c>
      <c r="B231" t="s">
        <v>183</v>
      </c>
      <c r="C231" t="s">
        <v>330</v>
      </c>
      <c r="D231">
        <v>170</v>
      </c>
      <c r="E231">
        <v>1</v>
      </c>
      <c r="F231">
        <v>1</v>
      </c>
      <c r="G231" t="s">
        <v>51</v>
      </c>
      <c r="H231" t="s">
        <v>52</v>
      </c>
      <c r="I231">
        <v>0.11799999999999999</v>
      </c>
      <c r="J231">
        <v>2.15</v>
      </c>
      <c r="K231">
        <v>19.5</v>
      </c>
      <c r="L231" t="s">
        <v>53</v>
      </c>
      <c r="M231" t="s">
        <v>54</v>
      </c>
      <c r="N231">
        <v>0.25600000000000001</v>
      </c>
      <c r="O231">
        <v>4.12</v>
      </c>
      <c r="P231">
        <v>217</v>
      </c>
      <c r="R231" s="4">
        <v>1</v>
      </c>
      <c r="S231" s="4">
        <v>1</v>
      </c>
      <c r="T231" s="4"/>
      <c r="U231" s="4">
        <f t="shared" si="69"/>
        <v>19.5</v>
      </c>
      <c r="V231" s="4">
        <f t="shared" si="70"/>
        <v>19.5</v>
      </c>
      <c r="W231" s="4">
        <f t="shared" si="71"/>
        <v>19.5</v>
      </c>
      <c r="X231" s="4"/>
      <c r="Y231" s="4"/>
      <c r="AD231" s="4">
        <v>1</v>
      </c>
      <c r="AE231" s="4"/>
      <c r="AF231" s="4">
        <f t="shared" si="72"/>
        <v>217</v>
      </c>
      <c r="AG231" s="4">
        <f t="shared" si="73"/>
        <v>217</v>
      </c>
      <c r="AH231" s="4">
        <f t="shared" si="74"/>
        <v>217</v>
      </c>
      <c r="AI231" s="4"/>
      <c r="AJ231" s="4"/>
      <c r="AO231" s="4"/>
    </row>
    <row r="232" spans="1:43" x14ac:dyDescent="0.3">
      <c r="A232" s="1">
        <v>45357</v>
      </c>
      <c r="B232" t="s">
        <v>183</v>
      </c>
      <c r="C232" t="s">
        <v>331</v>
      </c>
      <c r="D232">
        <v>171</v>
      </c>
      <c r="E232">
        <v>1</v>
      </c>
      <c r="F232">
        <v>1</v>
      </c>
      <c r="G232" t="s">
        <v>51</v>
      </c>
      <c r="H232" t="s">
        <v>52</v>
      </c>
      <c r="I232">
        <v>0.13100000000000001</v>
      </c>
      <c r="J232">
        <v>2.39</v>
      </c>
      <c r="K232">
        <v>27.1</v>
      </c>
      <c r="L232" t="s">
        <v>53</v>
      </c>
      <c r="M232" t="s">
        <v>54</v>
      </c>
      <c r="N232">
        <v>0.29699999999999999</v>
      </c>
      <c r="O232">
        <v>4.9000000000000004</v>
      </c>
      <c r="P232">
        <v>271</v>
      </c>
      <c r="R232" s="4">
        <v>1</v>
      </c>
      <c r="S232" s="4">
        <v>1</v>
      </c>
      <c r="T232" s="4"/>
      <c r="U232" s="4">
        <f t="shared" si="69"/>
        <v>27.1</v>
      </c>
      <c r="V232" s="4">
        <f t="shared" si="70"/>
        <v>27.1</v>
      </c>
      <c r="W232" s="4">
        <f t="shared" si="71"/>
        <v>27.1</v>
      </c>
      <c r="X232" s="4"/>
      <c r="Y232" s="4"/>
      <c r="AD232" s="4">
        <v>1</v>
      </c>
      <c r="AE232" s="4"/>
      <c r="AF232" s="4">
        <f t="shared" si="72"/>
        <v>271</v>
      </c>
      <c r="AG232" s="4">
        <f t="shared" si="73"/>
        <v>271</v>
      </c>
      <c r="AH232" s="4">
        <f t="shared" si="74"/>
        <v>271</v>
      </c>
      <c r="AI232" s="4"/>
      <c r="AJ232" s="4"/>
      <c r="AO232" s="4"/>
    </row>
    <row r="233" spans="1:43" x14ac:dyDescent="0.3">
      <c r="A233" s="1">
        <v>45357</v>
      </c>
      <c r="B233" t="s">
        <v>183</v>
      </c>
      <c r="C233" t="s">
        <v>332</v>
      </c>
      <c r="D233">
        <v>172</v>
      </c>
      <c r="E233">
        <v>1</v>
      </c>
      <c r="F233">
        <v>1</v>
      </c>
      <c r="G233" t="s">
        <v>51</v>
      </c>
      <c r="H233" t="s">
        <v>52</v>
      </c>
      <c r="I233">
        <v>0.123</v>
      </c>
      <c r="J233">
        <v>2.2400000000000002</v>
      </c>
      <c r="K233">
        <v>22.3</v>
      </c>
      <c r="L233" t="s">
        <v>53</v>
      </c>
      <c r="M233" t="s">
        <v>54</v>
      </c>
      <c r="N233">
        <v>0.25900000000000001</v>
      </c>
      <c r="O233">
        <v>4.0199999999999996</v>
      </c>
      <c r="P233">
        <v>211</v>
      </c>
      <c r="R233" s="4">
        <v>1</v>
      </c>
      <c r="S233" s="4">
        <v>1</v>
      </c>
      <c r="T233" s="4"/>
      <c r="U233" s="4">
        <f t="shared" si="69"/>
        <v>22.3</v>
      </c>
      <c r="V233" s="4">
        <f t="shared" si="70"/>
        <v>22.3</v>
      </c>
      <c r="W233" s="4">
        <f t="shared" si="71"/>
        <v>22.3</v>
      </c>
      <c r="X233" s="4"/>
      <c r="Y233" s="4"/>
      <c r="AD233" s="4">
        <v>1</v>
      </c>
      <c r="AE233" s="4"/>
      <c r="AF233" s="4">
        <f t="shared" si="72"/>
        <v>211</v>
      </c>
      <c r="AG233" s="4">
        <f t="shared" si="73"/>
        <v>211</v>
      </c>
      <c r="AH233" s="4">
        <f t="shared" si="74"/>
        <v>211</v>
      </c>
      <c r="AI233" s="4"/>
      <c r="AJ233" s="4"/>
      <c r="AO233" s="4"/>
    </row>
    <row r="234" spans="1:43" x14ac:dyDescent="0.3">
      <c r="A234" s="1">
        <v>45357</v>
      </c>
      <c r="B234" t="s">
        <v>183</v>
      </c>
      <c r="C234" t="s">
        <v>333</v>
      </c>
      <c r="D234">
        <v>173</v>
      </c>
      <c r="E234">
        <v>1</v>
      </c>
      <c r="F234">
        <v>1</v>
      </c>
      <c r="G234" t="s">
        <v>51</v>
      </c>
      <c r="H234" t="s">
        <v>52</v>
      </c>
      <c r="I234">
        <v>0.14599999999999999</v>
      </c>
      <c r="J234">
        <v>2.69</v>
      </c>
      <c r="K234">
        <v>36.200000000000003</v>
      </c>
      <c r="L234" t="s">
        <v>53</v>
      </c>
      <c r="M234" t="s">
        <v>54</v>
      </c>
      <c r="N234">
        <v>0.17599999999999999</v>
      </c>
      <c r="O234">
        <v>3.22</v>
      </c>
      <c r="P234">
        <v>156</v>
      </c>
      <c r="R234" s="4">
        <v>1</v>
      </c>
      <c r="S234" s="4">
        <v>1</v>
      </c>
      <c r="T234" s="4"/>
      <c r="U234" s="4">
        <f t="shared" si="69"/>
        <v>36.200000000000003</v>
      </c>
      <c r="V234" s="4">
        <f t="shared" si="70"/>
        <v>36.200000000000003</v>
      </c>
      <c r="W234" s="4">
        <f t="shared" si="71"/>
        <v>36.200000000000003</v>
      </c>
      <c r="X234" s="4"/>
      <c r="Y234" s="4"/>
      <c r="AD234" s="4">
        <v>1</v>
      </c>
      <c r="AE234" s="4"/>
      <c r="AF234" s="4">
        <f t="shared" si="72"/>
        <v>156</v>
      </c>
      <c r="AG234" s="4">
        <f t="shared" si="73"/>
        <v>156</v>
      </c>
      <c r="AH234" s="4">
        <f t="shared" si="74"/>
        <v>156</v>
      </c>
      <c r="AI234" s="4"/>
      <c r="AJ234" s="4"/>
      <c r="AO234" s="4"/>
    </row>
    <row r="235" spans="1:43" x14ac:dyDescent="0.3">
      <c r="A235" s="1">
        <v>45357</v>
      </c>
      <c r="B235" t="s">
        <v>183</v>
      </c>
      <c r="C235" t="s">
        <v>334</v>
      </c>
      <c r="D235">
        <v>174</v>
      </c>
      <c r="E235">
        <v>1</v>
      </c>
      <c r="F235">
        <v>1</v>
      </c>
      <c r="G235" t="s">
        <v>51</v>
      </c>
      <c r="H235" t="s">
        <v>52</v>
      </c>
      <c r="I235">
        <v>0.126</v>
      </c>
      <c r="J235">
        <v>2.2999999999999998</v>
      </c>
      <c r="K235">
        <v>24.3</v>
      </c>
      <c r="L235" t="s">
        <v>53</v>
      </c>
      <c r="M235" t="s">
        <v>54</v>
      </c>
      <c r="N235">
        <v>0.29199999999999998</v>
      </c>
      <c r="O235">
        <v>4.93</v>
      </c>
      <c r="P235">
        <v>272</v>
      </c>
      <c r="R235" s="4">
        <v>1</v>
      </c>
      <c r="S235" s="4">
        <v>1</v>
      </c>
      <c r="T235" s="4"/>
      <c r="U235" s="4">
        <f t="shared" si="69"/>
        <v>24.3</v>
      </c>
      <c r="V235" s="4">
        <f t="shared" si="70"/>
        <v>24.3</v>
      </c>
      <c r="W235" s="4">
        <f t="shared" si="71"/>
        <v>24.3</v>
      </c>
      <c r="X235" s="4"/>
      <c r="Y235" s="4"/>
      <c r="AD235" s="4">
        <v>1</v>
      </c>
      <c r="AE235" s="4"/>
      <c r="AF235" s="4">
        <f t="shared" si="72"/>
        <v>272</v>
      </c>
      <c r="AG235" s="4">
        <f t="shared" si="73"/>
        <v>272</v>
      </c>
      <c r="AH235" s="4">
        <f t="shared" si="74"/>
        <v>272</v>
      </c>
      <c r="AI235" s="4"/>
      <c r="AJ235" s="4"/>
      <c r="AO235" s="4"/>
    </row>
    <row r="236" spans="1:43" x14ac:dyDescent="0.3">
      <c r="A236" s="1">
        <v>45357</v>
      </c>
      <c r="B236" t="s">
        <v>183</v>
      </c>
      <c r="C236" t="s">
        <v>335</v>
      </c>
      <c r="D236">
        <v>175</v>
      </c>
      <c r="E236">
        <v>1</v>
      </c>
      <c r="F236">
        <v>1</v>
      </c>
      <c r="G236" t="s">
        <v>51</v>
      </c>
      <c r="H236" t="s">
        <v>52</v>
      </c>
      <c r="I236">
        <v>0.11899999999999999</v>
      </c>
      <c r="J236">
        <v>2.17</v>
      </c>
      <c r="K236">
        <v>20.100000000000001</v>
      </c>
      <c r="L236" t="s">
        <v>53</v>
      </c>
      <c r="M236" t="s">
        <v>54</v>
      </c>
      <c r="N236">
        <v>0.38300000000000001</v>
      </c>
      <c r="O236">
        <v>6.32</v>
      </c>
      <c r="P236">
        <v>368</v>
      </c>
      <c r="R236" s="4">
        <v>1</v>
      </c>
      <c r="S236" s="4">
        <v>1</v>
      </c>
      <c r="T236" s="4"/>
      <c r="U236" s="4">
        <f t="shared" si="69"/>
        <v>20.100000000000001</v>
      </c>
      <c r="V236" s="4">
        <f t="shared" si="70"/>
        <v>20.100000000000001</v>
      </c>
      <c r="W236" s="4">
        <f t="shared" si="71"/>
        <v>20.100000000000001</v>
      </c>
      <c r="X236" s="4"/>
      <c r="Y236" s="4"/>
      <c r="AD236" s="4">
        <v>1</v>
      </c>
      <c r="AE236" s="4"/>
      <c r="AF236" s="4">
        <f t="shared" si="72"/>
        <v>368</v>
      </c>
      <c r="AG236" s="4">
        <f t="shared" si="73"/>
        <v>368</v>
      </c>
      <c r="AH236" s="4">
        <f t="shared" si="74"/>
        <v>368</v>
      </c>
      <c r="AI236" s="4"/>
      <c r="AJ236" s="4"/>
      <c r="AO236" s="4"/>
    </row>
    <row r="237" spans="1:43" x14ac:dyDescent="0.3">
      <c r="A237" s="1">
        <v>45357</v>
      </c>
      <c r="B237" t="s">
        <v>183</v>
      </c>
      <c r="C237" t="s">
        <v>336</v>
      </c>
      <c r="D237">
        <v>176</v>
      </c>
      <c r="E237">
        <v>1</v>
      </c>
      <c r="F237">
        <v>1</v>
      </c>
      <c r="G237" t="s">
        <v>51</v>
      </c>
      <c r="H237" t="s">
        <v>52</v>
      </c>
      <c r="I237">
        <v>0.13200000000000001</v>
      </c>
      <c r="J237">
        <v>2.4500000000000002</v>
      </c>
      <c r="K237">
        <v>28.7</v>
      </c>
      <c r="L237" t="s">
        <v>53</v>
      </c>
      <c r="M237" t="s">
        <v>54</v>
      </c>
      <c r="N237">
        <v>0.30399999999999999</v>
      </c>
      <c r="O237">
        <v>5.05</v>
      </c>
      <c r="P237">
        <v>281</v>
      </c>
      <c r="R237" s="4">
        <v>1</v>
      </c>
      <c r="S237" s="4">
        <v>1</v>
      </c>
      <c r="T237" s="4"/>
      <c r="U237" s="4">
        <f t="shared" si="69"/>
        <v>28.7</v>
      </c>
      <c r="V237" s="4">
        <f t="shared" si="70"/>
        <v>28.7</v>
      </c>
      <c r="W237" s="4">
        <f t="shared" si="71"/>
        <v>28.7</v>
      </c>
      <c r="X237" s="4"/>
      <c r="Y237" s="4"/>
      <c r="AB237" s="4"/>
      <c r="AC237" s="4"/>
      <c r="AD237" s="4">
        <v>1</v>
      </c>
      <c r="AE237" s="4"/>
      <c r="AF237" s="4">
        <f t="shared" si="72"/>
        <v>281</v>
      </c>
      <c r="AG237" s="4">
        <f t="shared" si="73"/>
        <v>281</v>
      </c>
      <c r="AH237" s="4">
        <f t="shared" si="74"/>
        <v>281</v>
      </c>
      <c r="AI237" s="4"/>
      <c r="AJ237" s="4"/>
      <c r="AM237" s="4"/>
      <c r="AN237" s="4"/>
      <c r="AO237" s="4"/>
    </row>
    <row r="238" spans="1:43" x14ac:dyDescent="0.3">
      <c r="A238" s="1">
        <v>45357</v>
      </c>
      <c r="B238" t="s">
        <v>183</v>
      </c>
      <c r="C238" t="s">
        <v>337</v>
      </c>
      <c r="D238">
        <v>177</v>
      </c>
      <c r="E238">
        <v>1</v>
      </c>
      <c r="F238">
        <v>1</v>
      </c>
      <c r="G238" t="s">
        <v>51</v>
      </c>
      <c r="H238" t="s">
        <v>52</v>
      </c>
      <c r="I238">
        <v>0.13</v>
      </c>
      <c r="J238">
        <v>2.41</v>
      </c>
      <c r="K238">
        <v>27.6</v>
      </c>
      <c r="L238" t="s">
        <v>53</v>
      </c>
      <c r="M238" t="s">
        <v>54</v>
      </c>
      <c r="N238">
        <v>0.29799999999999999</v>
      </c>
      <c r="O238">
        <v>5.01</v>
      </c>
      <c r="P238">
        <v>278</v>
      </c>
      <c r="R238" s="4">
        <v>1</v>
      </c>
      <c r="S238" s="4">
        <v>1</v>
      </c>
      <c r="T238" s="4"/>
      <c r="U238" s="4">
        <f t="shared" si="69"/>
        <v>27.6</v>
      </c>
      <c r="V238" s="4">
        <f t="shared" si="70"/>
        <v>27.6</v>
      </c>
      <c r="W238" s="4">
        <f t="shared" si="71"/>
        <v>27.6</v>
      </c>
      <c r="X238" s="4"/>
      <c r="Y238" s="4"/>
      <c r="Z238">
        <f>ABS(100*ABS(W238-W233)/AVERAGE(W238,W233))</f>
        <v>21.242484969939881</v>
      </c>
      <c r="AA238" t="str">
        <f>IF(W238&gt;10, (IF((AND(Z238&gt;=0,Z238&lt;=20)=TRUE),"PASS","FAIL")),(IF((AND(Z238&gt;=0,Z238&lt;=50)=TRUE),"PASS","FAIL")))</f>
        <v>FAIL</v>
      </c>
      <c r="AB238" s="4"/>
      <c r="AC238" s="4"/>
      <c r="AD238" s="4">
        <v>1</v>
      </c>
      <c r="AE238" s="4"/>
      <c r="AF238" s="4">
        <f t="shared" si="72"/>
        <v>278</v>
      </c>
      <c r="AG238" s="4">
        <f t="shared" si="73"/>
        <v>278</v>
      </c>
      <c r="AH238" s="4">
        <f t="shared" si="74"/>
        <v>278</v>
      </c>
      <c r="AI238" s="4"/>
      <c r="AJ238" s="4"/>
      <c r="AK238">
        <f>ABS(100*ABS(AH238-AH232)/AVERAGE(AH238,AH232))</f>
        <v>2.5500910746812386</v>
      </c>
      <c r="AL238" t="str">
        <f>IF(AH238&gt;10, (IF((AND(AK238&gt;=0,AK238&lt;=20)=TRUE),"PASS","FAIL")),(IF((AND(AK238&gt;=0,AK238&lt;=50)=TRUE),"PASS","FAIL")))</f>
        <v>PASS</v>
      </c>
      <c r="AM238" s="4"/>
      <c r="AN238" s="4"/>
      <c r="AO238" s="4"/>
    </row>
    <row r="239" spans="1:43" x14ac:dyDescent="0.3">
      <c r="A239" s="1">
        <v>45357</v>
      </c>
      <c r="B239" t="s">
        <v>183</v>
      </c>
      <c r="C239" t="s">
        <v>338</v>
      </c>
      <c r="D239">
        <v>178</v>
      </c>
      <c r="E239">
        <v>1</v>
      </c>
      <c r="F239">
        <v>1</v>
      </c>
      <c r="G239" t="s">
        <v>51</v>
      </c>
      <c r="H239" t="s">
        <v>52</v>
      </c>
      <c r="I239">
        <v>0.17399999999999999</v>
      </c>
      <c r="J239">
        <v>3.12</v>
      </c>
      <c r="K239">
        <v>49.5</v>
      </c>
      <c r="L239" t="s">
        <v>53</v>
      </c>
      <c r="M239" t="s">
        <v>54</v>
      </c>
      <c r="N239">
        <v>0.44600000000000001</v>
      </c>
      <c r="O239">
        <v>7.31</v>
      </c>
      <c r="P239">
        <v>436</v>
      </c>
      <c r="R239" s="4">
        <v>1</v>
      </c>
      <c r="S239" s="4">
        <v>1</v>
      </c>
      <c r="T239" s="4"/>
      <c r="U239" s="4">
        <f t="shared" si="69"/>
        <v>49.5</v>
      </c>
      <c r="V239" s="4">
        <f t="shared" si="70"/>
        <v>49.5</v>
      </c>
      <c r="W239" s="4">
        <f t="shared" si="71"/>
        <v>49.5</v>
      </c>
      <c r="X239" s="4"/>
      <c r="Y239" s="4"/>
      <c r="Z239" s="4"/>
      <c r="AA239" s="4"/>
      <c r="AB239">
        <f>100*((W239*10250)-(W237*10000))/(1000*250)</f>
        <v>88.15</v>
      </c>
      <c r="AC239" t="str">
        <f>IF(W239&gt;30, (IF((AND(AB239&gt;=80,AB239&lt;=120)=TRUE),"PASS","FAIL")),(IF((AND(AB239&gt;=50,AB239&lt;=150)=TRUE),"PASS","FAIL")))</f>
        <v>PASS</v>
      </c>
      <c r="AD239" s="4">
        <v>1</v>
      </c>
      <c r="AE239" s="4"/>
      <c r="AF239" s="4">
        <f t="shared" si="72"/>
        <v>436</v>
      </c>
      <c r="AG239" s="4">
        <f t="shared" si="73"/>
        <v>436</v>
      </c>
      <c r="AH239" s="4">
        <f t="shared" si="74"/>
        <v>436</v>
      </c>
      <c r="AI239" s="4"/>
      <c r="AJ239" s="4"/>
      <c r="AK239" s="4"/>
      <c r="AL239" s="4"/>
      <c r="AM239">
        <f>100*((AH239*10250)-(AH237*10000))/(10000*250)</f>
        <v>66.36</v>
      </c>
      <c r="AN239" t="str">
        <f>IF(AH239&gt;30, (IF((AND(AM239&gt;=80,AM239&lt;=120)=TRUE),"PASS","FAIL")),(IF((AND(AM239&gt;=50,AM239&lt;=150)=TRUE),"PASS","FAIL")))</f>
        <v>FAIL</v>
      </c>
      <c r="AO239" s="4"/>
    </row>
    <row r="240" spans="1:43" x14ac:dyDescent="0.3">
      <c r="A240" s="1">
        <v>45357</v>
      </c>
      <c r="B240" t="s">
        <v>183</v>
      </c>
      <c r="C240" t="s">
        <v>199</v>
      </c>
      <c r="D240">
        <v>7</v>
      </c>
      <c r="E240">
        <v>1</v>
      </c>
      <c r="F240">
        <v>1</v>
      </c>
      <c r="G240" t="s">
        <v>51</v>
      </c>
      <c r="H240" t="s">
        <v>52</v>
      </c>
      <c r="I240">
        <v>0.13200000000000001</v>
      </c>
      <c r="J240">
        <v>2.39</v>
      </c>
      <c r="K240">
        <v>26.9</v>
      </c>
      <c r="L240" t="s">
        <v>53</v>
      </c>
      <c r="M240" t="s">
        <v>54</v>
      </c>
      <c r="N240">
        <v>0.25600000000000001</v>
      </c>
      <c r="O240">
        <v>4.29</v>
      </c>
      <c r="P240">
        <v>229</v>
      </c>
      <c r="R240" s="4">
        <v>1</v>
      </c>
      <c r="S240" s="4">
        <v>1</v>
      </c>
      <c r="T240" s="4"/>
      <c r="U240" s="4">
        <f t="shared" si="69"/>
        <v>26.9</v>
      </c>
      <c r="V240" s="4">
        <f t="shared" si="70"/>
        <v>26.9</v>
      </c>
      <c r="W240" s="4">
        <f t="shared" si="71"/>
        <v>26.9</v>
      </c>
      <c r="X240" s="4">
        <f>100*(W240-25)/25</f>
        <v>7.5999999999999943</v>
      </c>
      <c r="Y240" s="4" t="str">
        <f t="shared" ref="Y240" si="75">IF((ABS(X240))&lt;=20,"PASS","FAIL")</f>
        <v>PASS</v>
      </c>
      <c r="AD240" s="4">
        <v>1</v>
      </c>
      <c r="AE240" s="4"/>
      <c r="AF240" s="4">
        <f t="shared" si="72"/>
        <v>229</v>
      </c>
      <c r="AG240" s="4">
        <f t="shared" si="73"/>
        <v>229</v>
      </c>
      <c r="AH240" s="4">
        <f t="shared" si="74"/>
        <v>229</v>
      </c>
      <c r="AI240" s="4">
        <f t="shared" ref="AI240" si="76">100*(AH240-250)/250</f>
        <v>-8.4</v>
      </c>
      <c r="AJ240" s="4" t="str">
        <f t="shared" ref="AJ240" si="77">IF((ABS(AI240))&lt;=20,"PASS","FAIL")</f>
        <v>PASS</v>
      </c>
      <c r="AO240" s="4"/>
    </row>
    <row r="241" spans="1:41" x14ac:dyDescent="0.3">
      <c r="A241" s="1">
        <v>45357</v>
      </c>
      <c r="B241" t="s">
        <v>183</v>
      </c>
      <c r="C241" t="s">
        <v>200</v>
      </c>
      <c r="D241" t="s">
        <v>11</v>
      </c>
      <c r="E241">
        <v>1</v>
      </c>
      <c r="F241">
        <v>1</v>
      </c>
      <c r="G241" t="s">
        <v>51</v>
      </c>
      <c r="H241" t="s">
        <v>52</v>
      </c>
      <c r="I241">
        <v>0.127</v>
      </c>
      <c r="J241">
        <v>1.52</v>
      </c>
      <c r="K241">
        <v>-9.2200000000000004E-2</v>
      </c>
      <c r="L241" t="s">
        <v>53</v>
      </c>
      <c r="M241" t="s">
        <v>54</v>
      </c>
      <c r="N241">
        <v>-1.2500000000000001E-2</v>
      </c>
      <c r="O241">
        <v>-4.5499999999999999E-2</v>
      </c>
      <c r="P241">
        <v>-65.8</v>
      </c>
      <c r="R241" s="4">
        <v>1</v>
      </c>
      <c r="S241" s="4">
        <v>1</v>
      </c>
      <c r="T241" s="4"/>
      <c r="U241" s="4">
        <f t="shared" si="69"/>
        <v>-9.2200000000000004E-2</v>
      </c>
      <c r="V241" s="4">
        <f t="shared" si="70"/>
        <v>-9.2200000000000004E-2</v>
      </c>
      <c r="W241" s="4">
        <f t="shared" si="71"/>
        <v>-9.2200000000000004E-2</v>
      </c>
      <c r="X241" s="4"/>
      <c r="Y241" s="4"/>
      <c r="AD241" s="4">
        <v>1</v>
      </c>
      <c r="AE241" s="4"/>
      <c r="AF241" s="4">
        <f t="shared" si="72"/>
        <v>-65.8</v>
      </c>
      <c r="AG241" s="4">
        <f t="shared" si="73"/>
        <v>-65.8</v>
      </c>
      <c r="AH241" s="4">
        <f t="shared" si="74"/>
        <v>-65.8</v>
      </c>
      <c r="AI241" s="4"/>
      <c r="AJ241" s="4"/>
      <c r="AO241" s="4"/>
    </row>
    <row r="242" spans="1:41" x14ac:dyDescent="0.3">
      <c r="A242" s="1">
        <v>45357</v>
      </c>
      <c r="B242" t="s">
        <v>183</v>
      </c>
      <c r="C242" t="s">
        <v>201</v>
      </c>
      <c r="D242" t="s">
        <v>121</v>
      </c>
      <c r="E242">
        <v>1</v>
      </c>
      <c r="F242">
        <v>1</v>
      </c>
      <c r="G242" t="s">
        <v>51</v>
      </c>
      <c r="H242" t="s">
        <v>52</v>
      </c>
      <c r="I242">
        <v>1.0500000000000001E-2</v>
      </c>
      <c r="J242">
        <v>0.12</v>
      </c>
      <c r="K242">
        <v>-44.8</v>
      </c>
      <c r="L242" t="s">
        <v>53</v>
      </c>
      <c r="M242" t="s">
        <v>54</v>
      </c>
      <c r="N242">
        <v>2.6800000000000001E-2</v>
      </c>
      <c r="O242">
        <v>0.53200000000000003</v>
      </c>
      <c r="P242">
        <v>-26.8</v>
      </c>
      <c r="R242" s="4">
        <v>1</v>
      </c>
      <c r="S242" s="4">
        <v>1</v>
      </c>
      <c r="T242" s="4"/>
      <c r="U242" s="4">
        <f t="shared" si="69"/>
        <v>-44.8</v>
      </c>
      <c r="V242" s="4">
        <f t="shared" si="70"/>
        <v>-44.8</v>
      </c>
      <c r="W242" s="4">
        <f t="shared" si="71"/>
        <v>-44.8</v>
      </c>
      <c r="X242" s="4"/>
      <c r="Y242" s="4"/>
      <c r="AD242" s="4">
        <v>1</v>
      </c>
      <c r="AE242" s="4"/>
      <c r="AF242" s="4">
        <f t="shared" si="72"/>
        <v>-26.8</v>
      </c>
      <c r="AG242" s="4">
        <f t="shared" si="73"/>
        <v>-26.8</v>
      </c>
      <c r="AH242" s="4">
        <f t="shared" si="74"/>
        <v>-26.8</v>
      </c>
      <c r="AI242" s="4"/>
      <c r="AJ242" s="4"/>
      <c r="AO242" s="4"/>
    </row>
    <row r="243" spans="1:41" x14ac:dyDescent="0.3">
      <c r="A243" s="1">
        <v>45357</v>
      </c>
      <c r="B243" t="s">
        <v>183</v>
      </c>
      <c r="C243" t="s">
        <v>339</v>
      </c>
      <c r="D243">
        <v>179</v>
      </c>
      <c r="E243">
        <v>1</v>
      </c>
      <c r="F243">
        <v>1</v>
      </c>
      <c r="G243" t="s">
        <v>51</v>
      </c>
      <c r="H243" t="s">
        <v>52</v>
      </c>
      <c r="I243">
        <v>0.13300000000000001</v>
      </c>
      <c r="J243">
        <v>2.41</v>
      </c>
      <c r="K243">
        <v>27.6</v>
      </c>
      <c r="L243" t="s">
        <v>53</v>
      </c>
      <c r="M243" t="s">
        <v>54</v>
      </c>
      <c r="N243">
        <v>0.314</v>
      </c>
      <c r="O243">
        <v>5.27</v>
      </c>
      <c r="P243">
        <v>296</v>
      </c>
      <c r="R243" s="4">
        <v>1</v>
      </c>
      <c r="S243" s="4">
        <v>1</v>
      </c>
      <c r="T243" s="4"/>
      <c r="U243" s="4">
        <f t="shared" si="69"/>
        <v>27.6</v>
      </c>
      <c r="V243" s="4">
        <f t="shared" si="70"/>
        <v>27.6</v>
      </c>
      <c r="W243" s="4">
        <f t="shared" si="71"/>
        <v>27.6</v>
      </c>
      <c r="X243" s="4"/>
      <c r="Y243" s="4"/>
      <c r="AD243" s="4">
        <v>1</v>
      </c>
      <c r="AE243" s="4"/>
      <c r="AF243" s="4">
        <f t="shared" si="72"/>
        <v>296</v>
      </c>
      <c r="AG243" s="4">
        <f t="shared" si="73"/>
        <v>296</v>
      </c>
      <c r="AH243" s="4">
        <f t="shared" si="74"/>
        <v>296</v>
      </c>
      <c r="AI243" s="4"/>
      <c r="AJ243" s="4"/>
      <c r="AO243" s="4"/>
    </row>
    <row r="244" spans="1:41" x14ac:dyDescent="0.3">
      <c r="A244" s="1">
        <v>45357</v>
      </c>
      <c r="B244" t="s">
        <v>183</v>
      </c>
      <c r="C244" t="s">
        <v>340</v>
      </c>
      <c r="D244">
        <v>180</v>
      </c>
      <c r="E244">
        <v>1</v>
      </c>
      <c r="F244">
        <v>1</v>
      </c>
      <c r="G244" t="s">
        <v>51</v>
      </c>
      <c r="H244" t="s">
        <v>52</v>
      </c>
      <c r="I244">
        <v>0.14299999999999999</v>
      </c>
      <c r="J244">
        <v>2.59</v>
      </c>
      <c r="K244">
        <v>33.200000000000003</v>
      </c>
      <c r="L244" t="s">
        <v>53</v>
      </c>
      <c r="M244" t="s">
        <v>54</v>
      </c>
      <c r="N244">
        <v>0.3</v>
      </c>
      <c r="O244">
        <v>5.03</v>
      </c>
      <c r="P244">
        <v>280</v>
      </c>
      <c r="R244" s="4">
        <v>1</v>
      </c>
      <c r="S244" s="4">
        <v>1</v>
      </c>
      <c r="T244" s="4"/>
      <c r="U244" s="4">
        <f t="shared" si="69"/>
        <v>33.200000000000003</v>
      </c>
      <c r="V244" s="4">
        <f t="shared" si="70"/>
        <v>33.200000000000003</v>
      </c>
      <c r="W244" s="4">
        <f t="shared" si="71"/>
        <v>33.200000000000003</v>
      </c>
      <c r="X244" s="4"/>
      <c r="Y244" s="4"/>
      <c r="AD244" s="4">
        <v>1</v>
      </c>
      <c r="AE244" s="4"/>
      <c r="AF244" s="4">
        <f t="shared" si="72"/>
        <v>280</v>
      </c>
      <c r="AG244" s="4">
        <f t="shared" si="73"/>
        <v>280</v>
      </c>
      <c r="AH244" s="4">
        <f t="shared" si="74"/>
        <v>280</v>
      </c>
      <c r="AI244" s="4"/>
      <c r="AJ244" s="4"/>
      <c r="AO244" s="4"/>
    </row>
    <row r="245" spans="1:41" x14ac:dyDescent="0.3">
      <c r="A245" s="1">
        <v>45357</v>
      </c>
      <c r="B245" t="s">
        <v>183</v>
      </c>
      <c r="C245" t="s">
        <v>341</v>
      </c>
      <c r="D245">
        <v>181</v>
      </c>
      <c r="E245">
        <v>1</v>
      </c>
      <c r="F245">
        <v>1</v>
      </c>
      <c r="G245" t="s">
        <v>51</v>
      </c>
      <c r="H245" t="s">
        <v>52</v>
      </c>
      <c r="I245">
        <v>0.123</v>
      </c>
      <c r="J245">
        <v>2.25</v>
      </c>
      <c r="K245">
        <v>22.5</v>
      </c>
      <c r="L245" t="s">
        <v>53</v>
      </c>
      <c r="M245" t="s">
        <v>54</v>
      </c>
      <c r="N245">
        <v>0.46500000000000002</v>
      </c>
      <c r="O245">
        <v>7.66</v>
      </c>
      <c r="P245">
        <v>461</v>
      </c>
      <c r="R245" s="4">
        <v>1</v>
      </c>
      <c r="S245" s="4">
        <v>1</v>
      </c>
      <c r="T245" s="4"/>
      <c r="U245" s="4">
        <f t="shared" si="69"/>
        <v>22.5</v>
      </c>
      <c r="V245" s="4">
        <f t="shared" si="70"/>
        <v>22.5</v>
      </c>
      <c r="W245" s="4">
        <f t="shared" si="71"/>
        <v>22.5</v>
      </c>
      <c r="X245" s="4"/>
      <c r="Y245" s="4"/>
      <c r="AD245" s="4">
        <v>1</v>
      </c>
      <c r="AE245" s="4"/>
      <c r="AF245" s="4">
        <f t="shared" si="72"/>
        <v>461</v>
      </c>
      <c r="AG245" s="4">
        <f t="shared" si="73"/>
        <v>461</v>
      </c>
      <c r="AH245" s="4">
        <f t="shared" si="74"/>
        <v>461</v>
      </c>
      <c r="AI245" s="4"/>
      <c r="AJ245" s="4"/>
      <c r="AO245" s="4"/>
    </row>
    <row r="246" spans="1:41" x14ac:dyDescent="0.3">
      <c r="A246" s="1">
        <v>45357</v>
      </c>
      <c r="B246" t="s">
        <v>183</v>
      </c>
      <c r="C246" t="s">
        <v>342</v>
      </c>
      <c r="D246">
        <v>182</v>
      </c>
      <c r="E246">
        <v>1</v>
      </c>
      <c r="F246">
        <v>1</v>
      </c>
      <c r="G246" t="s">
        <v>51</v>
      </c>
      <c r="H246" t="s">
        <v>52</v>
      </c>
      <c r="I246">
        <v>0.123</v>
      </c>
      <c r="J246">
        <v>2.27</v>
      </c>
      <c r="K246">
        <v>23.5</v>
      </c>
      <c r="L246" t="s">
        <v>53</v>
      </c>
      <c r="M246" t="s">
        <v>54</v>
      </c>
      <c r="N246">
        <v>0.32900000000000001</v>
      </c>
      <c r="O246">
        <v>5.28</v>
      </c>
      <c r="P246">
        <v>297</v>
      </c>
      <c r="R246" s="4">
        <v>1</v>
      </c>
      <c r="S246" s="4">
        <v>1</v>
      </c>
      <c r="T246" s="4"/>
      <c r="U246" s="4">
        <f t="shared" si="69"/>
        <v>23.5</v>
      </c>
      <c r="V246" s="4">
        <f t="shared" si="70"/>
        <v>23.5</v>
      </c>
      <c r="W246" s="4">
        <f t="shared" si="71"/>
        <v>23.5</v>
      </c>
      <c r="X246" s="4"/>
      <c r="Y246" s="4"/>
      <c r="AD246" s="4">
        <v>1</v>
      </c>
      <c r="AE246" s="4"/>
      <c r="AF246" s="4">
        <f t="shared" si="72"/>
        <v>297</v>
      </c>
      <c r="AG246" s="4">
        <f t="shared" si="73"/>
        <v>297</v>
      </c>
      <c r="AH246" s="4">
        <f t="shared" si="74"/>
        <v>297</v>
      </c>
      <c r="AI246" s="4"/>
      <c r="AJ246" s="4"/>
      <c r="AO246" s="4"/>
    </row>
    <row r="247" spans="1:41" x14ac:dyDescent="0.3">
      <c r="A247" s="1">
        <v>45357</v>
      </c>
      <c r="B247" t="s">
        <v>183</v>
      </c>
      <c r="C247" t="s">
        <v>343</v>
      </c>
      <c r="D247">
        <v>183</v>
      </c>
      <c r="E247">
        <v>1</v>
      </c>
      <c r="F247">
        <v>1</v>
      </c>
      <c r="G247" t="s">
        <v>51</v>
      </c>
      <c r="H247" t="s">
        <v>52</v>
      </c>
      <c r="I247">
        <v>0.123</v>
      </c>
      <c r="J247">
        <v>2.25</v>
      </c>
      <c r="K247">
        <v>22.7</v>
      </c>
      <c r="L247" t="s">
        <v>53</v>
      </c>
      <c r="M247" t="s">
        <v>54</v>
      </c>
      <c r="N247">
        <v>1.02</v>
      </c>
      <c r="O247">
        <v>16.600000000000001</v>
      </c>
      <c r="P247">
        <v>1090</v>
      </c>
      <c r="R247" s="4">
        <v>1</v>
      </c>
      <c r="S247" s="4">
        <v>1</v>
      </c>
      <c r="T247" s="4"/>
      <c r="U247" s="4">
        <f t="shared" si="69"/>
        <v>22.7</v>
      </c>
      <c r="V247" s="4">
        <f t="shared" si="70"/>
        <v>22.7</v>
      </c>
      <c r="W247" s="4">
        <f t="shared" si="71"/>
        <v>22.7</v>
      </c>
      <c r="X247" s="4"/>
      <c r="Y247" s="4"/>
      <c r="AD247" s="4">
        <v>1</v>
      </c>
      <c r="AE247" s="4"/>
      <c r="AF247" s="4">
        <f t="shared" si="72"/>
        <v>1090</v>
      </c>
      <c r="AG247" s="4">
        <f t="shared" si="73"/>
        <v>1090</v>
      </c>
      <c r="AH247" s="4">
        <f t="shared" si="74"/>
        <v>1090</v>
      </c>
      <c r="AI247" s="4"/>
      <c r="AJ247" s="4"/>
      <c r="AO247" s="4"/>
    </row>
    <row r="248" spans="1:41" x14ac:dyDescent="0.3">
      <c r="A248" s="1">
        <v>45357</v>
      </c>
      <c r="B248" t="s">
        <v>183</v>
      </c>
      <c r="C248" t="s">
        <v>344</v>
      </c>
      <c r="D248">
        <v>184</v>
      </c>
      <c r="E248">
        <v>1</v>
      </c>
      <c r="F248">
        <v>1</v>
      </c>
      <c r="G248" t="s">
        <v>51</v>
      </c>
      <c r="H248" t="s">
        <v>52</v>
      </c>
      <c r="I248">
        <v>0.14399999999999999</v>
      </c>
      <c r="J248">
        <v>2.62</v>
      </c>
      <c r="K248">
        <v>34</v>
      </c>
      <c r="L248" t="s">
        <v>53</v>
      </c>
      <c r="M248" t="s">
        <v>54</v>
      </c>
      <c r="N248">
        <v>0.16900000000000001</v>
      </c>
      <c r="O248">
        <v>2.85</v>
      </c>
      <c r="P248">
        <v>130</v>
      </c>
      <c r="Q248" s="4"/>
      <c r="R248" s="4">
        <v>1</v>
      </c>
      <c r="S248" s="4">
        <v>1</v>
      </c>
      <c r="T248" s="4"/>
      <c r="U248" s="4">
        <f t="shared" si="69"/>
        <v>34</v>
      </c>
      <c r="V248" s="4">
        <f t="shared" si="70"/>
        <v>34</v>
      </c>
      <c r="W248" s="4">
        <f t="shared" si="71"/>
        <v>34</v>
      </c>
      <c r="X248" s="4"/>
      <c r="Y248" s="4"/>
      <c r="AD248" s="4">
        <v>1</v>
      </c>
      <c r="AE248" s="4"/>
      <c r="AF248" s="4">
        <f t="shared" si="72"/>
        <v>130</v>
      </c>
      <c r="AG248" s="4">
        <f t="shared" si="73"/>
        <v>130</v>
      </c>
      <c r="AH248" s="4">
        <f t="shared" si="74"/>
        <v>130</v>
      </c>
      <c r="AI248" s="4"/>
      <c r="AJ248" s="4"/>
      <c r="AO248" s="4"/>
    </row>
    <row r="249" spans="1:41" x14ac:dyDescent="0.3">
      <c r="A249" s="1">
        <v>45357</v>
      </c>
      <c r="B249" t="s">
        <v>183</v>
      </c>
      <c r="C249" t="s">
        <v>345</v>
      </c>
      <c r="D249">
        <v>185</v>
      </c>
      <c r="E249">
        <v>1</v>
      </c>
      <c r="F249">
        <v>1</v>
      </c>
      <c r="G249" t="s">
        <v>51</v>
      </c>
      <c r="H249" t="s">
        <v>52</v>
      </c>
      <c r="I249">
        <v>0.10199999999999999</v>
      </c>
      <c r="J249">
        <v>1.86</v>
      </c>
      <c r="K249">
        <v>10.6</v>
      </c>
      <c r="L249" t="s">
        <v>53</v>
      </c>
      <c r="M249" t="s">
        <v>54</v>
      </c>
      <c r="N249">
        <v>0.20200000000000001</v>
      </c>
      <c r="O249">
        <v>3.45</v>
      </c>
      <c r="P249">
        <v>171</v>
      </c>
      <c r="R249" s="4">
        <v>1</v>
      </c>
      <c r="S249" s="4">
        <v>1</v>
      </c>
      <c r="T249" s="4"/>
      <c r="U249" s="4">
        <f t="shared" si="69"/>
        <v>10.6</v>
      </c>
      <c r="V249" s="4">
        <f t="shared" si="70"/>
        <v>10.6</v>
      </c>
      <c r="W249" s="4">
        <f t="shared" si="71"/>
        <v>10.6</v>
      </c>
      <c r="X249" s="4"/>
      <c r="Y249" s="4"/>
      <c r="AD249" s="4">
        <v>1</v>
      </c>
      <c r="AE249" s="4"/>
      <c r="AF249" s="4">
        <f t="shared" si="72"/>
        <v>171</v>
      </c>
      <c r="AG249" s="4">
        <f t="shared" si="73"/>
        <v>171</v>
      </c>
      <c r="AH249" s="4">
        <f t="shared" si="74"/>
        <v>171</v>
      </c>
      <c r="AI249" s="4"/>
      <c r="AJ249" s="4"/>
      <c r="AO249" s="4"/>
    </row>
    <row r="250" spans="1:41" x14ac:dyDescent="0.3">
      <c r="A250" s="1">
        <v>45357</v>
      </c>
      <c r="B250" t="s">
        <v>183</v>
      </c>
      <c r="C250" t="s">
        <v>346</v>
      </c>
      <c r="D250">
        <v>186</v>
      </c>
      <c r="E250">
        <v>1</v>
      </c>
      <c r="F250">
        <v>1</v>
      </c>
      <c r="G250" t="s">
        <v>51</v>
      </c>
      <c r="H250" t="s">
        <v>52</v>
      </c>
      <c r="I250">
        <v>0.13600000000000001</v>
      </c>
      <c r="J250">
        <v>2.62</v>
      </c>
      <c r="K250">
        <v>34.200000000000003</v>
      </c>
      <c r="L250" t="s">
        <v>53</v>
      </c>
      <c r="M250" t="s">
        <v>54</v>
      </c>
      <c r="N250">
        <v>0.25800000000000001</v>
      </c>
      <c r="O250">
        <v>4.3600000000000003</v>
      </c>
      <c r="P250">
        <v>234</v>
      </c>
      <c r="R250" s="4">
        <v>1</v>
      </c>
      <c r="S250" s="4">
        <v>1</v>
      </c>
      <c r="T250" s="4"/>
      <c r="U250" s="4">
        <f t="shared" si="69"/>
        <v>34.200000000000003</v>
      </c>
      <c r="V250" s="4">
        <f t="shared" si="70"/>
        <v>34.200000000000003</v>
      </c>
      <c r="W250" s="4">
        <f t="shared" si="71"/>
        <v>34.200000000000003</v>
      </c>
      <c r="X250" s="4"/>
      <c r="Y250" s="4"/>
      <c r="AD250" s="4">
        <v>1</v>
      </c>
      <c r="AE250" s="4"/>
      <c r="AF250" s="4">
        <f t="shared" si="72"/>
        <v>234</v>
      </c>
      <c r="AG250" s="4">
        <f t="shared" si="73"/>
        <v>234</v>
      </c>
      <c r="AH250" s="4">
        <f t="shared" si="74"/>
        <v>234</v>
      </c>
      <c r="AI250" s="4"/>
      <c r="AJ250" s="4"/>
      <c r="AO250" s="4"/>
    </row>
    <row r="251" spans="1:41" x14ac:dyDescent="0.3">
      <c r="A251" s="1">
        <v>45357</v>
      </c>
      <c r="B251" t="s">
        <v>183</v>
      </c>
      <c r="C251" t="s">
        <v>347</v>
      </c>
      <c r="D251">
        <v>187</v>
      </c>
      <c r="E251">
        <v>1</v>
      </c>
      <c r="F251">
        <v>1</v>
      </c>
      <c r="G251" t="s">
        <v>51</v>
      </c>
      <c r="H251" t="s">
        <v>52</v>
      </c>
      <c r="I251">
        <v>0.26800000000000002</v>
      </c>
      <c r="J251">
        <v>4.79</v>
      </c>
      <c r="K251">
        <v>99.1</v>
      </c>
      <c r="L251" t="s">
        <v>53</v>
      </c>
      <c r="M251" t="s">
        <v>54</v>
      </c>
      <c r="N251">
        <v>0.55400000000000005</v>
      </c>
      <c r="O251">
        <v>9.1199999999999992</v>
      </c>
      <c r="P251">
        <v>561</v>
      </c>
      <c r="R251" s="4">
        <v>1</v>
      </c>
      <c r="S251" s="4">
        <v>1</v>
      </c>
      <c r="T251" s="4"/>
      <c r="U251" s="4">
        <f t="shared" si="69"/>
        <v>99.1</v>
      </c>
      <c r="V251" s="4">
        <f t="shared" si="70"/>
        <v>99.1</v>
      </c>
      <c r="W251" s="4">
        <f t="shared" si="71"/>
        <v>99.1</v>
      </c>
      <c r="X251" s="4"/>
      <c r="Y251" s="4"/>
      <c r="AD251" s="4">
        <v>1</v>
      </c>
      <c r="AE251" s="4"/>
      <c r="AF251" s="4">
        <f t="shared" si="72"/>
        <v>561</v>
      </c>
      <c r="AG251" s="4">
        <f t="shared" si="73"/>
        <v>561</v>
      </c>
      <c r="AH251" s="4">
        <f t="shared" si="74"/>
        <v>561</v>
      </c>
      <c r="AI251" s="4"/>
      <c r="AJ251" s="4"/>
      <c r="AO251" s="4"/>
    </row>
    <row r="252" spans="1:41" x14ac:dyDescent="0.3">
      <c r="A252" s="1">
        <v>45357</v>
      </c>
      <c r="B252" t="s">
        <v>183</v>
      </c>
      <c r="C252" t="s">
        <v>348</v>
      </c>
      <c r="D252">
        <v>188</v>
      </c>
      <c r="E252">
        <v>1</v>
      </c>
      <c r="F252">
        <v>1</v>
      </c>
      <c r="G252" t="s">
        <v>51</v>
      </c>
      <c r="H252" t="s">
        <v>52</v>
      </c>
      <c r="I252">
        <v>0.14199999999999999</v>
      </c>
      <c r="J252">
        <v>2.59</v>
      </c>
      <c r="K252">
        <v>33.1</v>
      </c>
      <c r="L252" t="s">
        <v>53</v>
      </c>
      <c r="M252" t="s">
        <v>54</v>
      </c>
      <c r="N252">
        <v>0.316</v>
      </c>
      <c r="O252">
        <v>5.27</v>
      </c>
      <c r="P252">
        <v>296</v>
      </c>
      <c r="R252" s="4">
        <v>1</v>
      </c>
      <c r="S252" s="4">
        <v>1</v>
      </c>
      <c r="T252" s="4"/>
      <c r="U252" s="4">
        <f t="shared" si="69"/>
        <v>33.1</v>
      </c>
      <c r="V252" s="4">
        <f t="shared" si="70"/>
        <v>33.1</v>
      </c>
      <c r="W252" s="4">
        <f t="shared" si="71"/>
        <v>33.1</v>
      </c>
      <c r="X252" s="4"/>
      <c r="Y252" s="4"/>
      <c r="AD252" s="4">
        <v>1</v>
      </c>
      <c r="AE252" s="4"/>
      <c r="AF252" s="4">
        <f t="shared" si="72"/>
        <v>296</v>
      </c>
      <c r="AG252" s="4">
        <f t="shared" si="73"/>
        <v>296</v>
      </c>
      <c r="AH252" s="4">
        <f t="shared" si="74"/>
        <v>296</v>
      </c>
      <c r="AI252" s="4"/>
      <c r="AJ252" s="4"/>
      <c r="AO252" s="4"/>
    </row>
    <row r="253" spans="1:41" x14ac:dyDescent="0.3">
      <c r="A253" s="1">
        <v>45357</v>
      </c>
      <c r="B253" t="s">
        <v>183</v>
      </c>
      <c r="C253" t="s">
        <v>349</v>
      </c>
      <c r="D253">
        <v>189</v>
      </c>
      <c r="E253">
        <v>1</v>
      </c>
      <c r="F253">
        <v>1</v>
      </c>
      <c r="G253" t="s">
        <v>51</v>
      </c>
      <c r="H253" t="s">
        <v>52</v>
      </c>
      <c r="I253">
        <v>0.29699999999999999</v>
      </c>
      <c r="J253">
        <v>5.24</v>
      </c>
      <c r="K253">
        <v>112</v>
      </c>
      <c r="L253" t="s">
        <v>53</v>
      </c>
      <c r="M253" t="s">
        <v>54</v>
      </c>
      <c r="N253">
        <v>0.61099999999999999</v>
      </c>
      <c r="O253">
        <v>10.199999999999999</v>
      </c>
      <c r="P253">
        <v>634</v>
      </c>
      <c r="R253" s="4">
        <v>1</v>
      </c>
      <c r="S253" s="4">
        <v>1</v>
      </c>
      <c r="T253" s="4"/>
      <c r="U253" s="4">
        <f t="shared" si="69"/>
        <v>112</v>
      </c>
      <c r="V253" s="4">
        <f t="shared" si="70"/>
        <v>112</v>
      </c>
      <c r="W253" s="4">
        <f t="shared" si="71"/>
        <v>112</v>
      </c>
      <c r="X253" s="4"/>
      <c r="Y253" s="4"/>
      <c r="AD253" s="4">
        <v>1</v>
      </c>
      <c r="AE253" s="4"/>
      <c r="AF253" s="4">
        <f t="shared" si="72"/>
        <v>634</v>
      </c>
      <c r="AG253" s="4">
        <f t="shared" si="73"/>
        <v>634</v>
      </c>
      <c r="AH253" s="4">
        <f t="shared" si="74"/>
        <v>634</v>
      </c>
      <c r="AI253" s="4"/>
      <c r="AJ253" s="4"/>
      <c r="AO253" s="4"/>
    </row>
    <row r="254" spans="1:41" x14ac:dyDescent="0.3">
      <c r="A254" s="1">
        <v>45357</v>
      </c>
      <c r="B254" t="s">
        <v>183</v>
      </c>
      <c r="C254" t="s">
        <v>350</v>
      </c>
      <c r="D254">
        <v>190</v>
      </c>
      <c r="E254">
        <v>1</v>
      </c>
      <c r="F254">
        <v>1</v>
      </c>
      <c r="G254" t="s">
        <v>51</v>
      </c>
      <c r="H254" t="s">
        <v>52</v>
      </c>
      <c r="I254">
        <v>0.124</v>
      </c>
      <c r="J254">
        <v>2.11</v>
      </c>
      <c r="K254">
        <v>18.5</v>
      </c>
      <c r="L254" t="s">
        <v>53</v>
      </c>
      <c r="M254" t="s">
        <v>54</v>
      </c>
      <c r="N254">
        <v>1.1599999999999999</v>
      </c>
      <c r="O254">
        <v>19</v>
      </c>
      <c r="P254">
        <v>1260</v>
      </c>
      <c r="R254" s="4">
        <v>1</v>
      </c>
      <c r="S254" s="4">
        <v>1</v>
      </c>
      <c r="T254" s="4"/>
      <c r="U254" s="4">
        <f t="shared" si="69"/>
        <v>18.5</v>
      </c>
      <c r="V254" s="4">
        <f t="shared" si="70"/>
        <v>18.5</v>
      </c>
      <c r="W254" s="4">
        <f t="shared" si="71"/>
        <v>18.5</v>
      </c>
      <c r="X254" s="4"/>
      <c r="Y254" s="4"/>
      <c r="Z254">
        <f>ABS(100*ABS(W254-W247)/AVERAGE(W254,W247))</f>
        <v>20.388349514563103</v>
      </c>
      <c r="AA254" t="str">
        <f>IF(W254&gt;10, (IF((AND(Z254&gt;=0,Z254&lt;=20)=TRUE),"PASS","FAIL")),(IF((AND(Z254&gt;=0,Z254&lt;=50)=TRUE),"PASS","FAIL")))</f>
        <v>FAIL</v>
      </c>
      <c r="AB254" s="4"/>
      <c r="AC254" s="4"/>
      <c r="AD254" s="4">
        <v>1</v>
      </c>
      <c r="AE254" s="4"/>
      <c r="AF254" s="4">
        <f t="shared" si="72"/>
        <v>1260</v>
      </c>
      <c r="AG254" s="4">
        <f t="shared" si="73"/>
        <v>1260</v>
      </c>
      <c r="AH254" s="4">
        <f t="shared" si="74"/>
        <v>1260</v>
      </c>
      <c r="AI254" s="4"/>
      <c r="AJ254" s="4"/>
      <c r="AK254">
        <f>ABS(100*ABS(AH254-AH247)/AVERAGE(AH254,AH247))</f>
        <v>14.468085106382979</v>
      </c>
      <c r="AL254" t="str">
        <f>IF(AH254&gt;10, (IF((AND(AK254&gt;=0,AK254&lt;=20)=TRUE),"PASS","FAIL")),(IF((AND(AK254&gt;=0,AK254&lt;=50)=TRUE),"PASS","FAIL")))</f>
        <v>PASS</v>
      </c>
      <c r="AM254" s="4"/>
      <c r="AN254" s="4"/>
      <c r="AO254" s="4"/>
    </row>
    <row r="255" spans="1:41" x14ac:dyDescent="0.3">
      <c r="A255" s="1">
        <v>45357</v>
      </c>
      <c r="B255" t="s">
        <v>183</v>
      </c>
      <c r="C255" t="s">
        <v>351</v>
      </c>
      <c r="D255">
        <v>191</v>
      </c>
      <c r="E255">
        <v>1</v>
      </c>
      <c r="F255">
        <v>1</v>
      </c>
      <c r="G255" t="s">
        <v>51</v>
      </c>
      <c r="H255" t="s">
        <v>52</v>
      </c>
      <c r="I255">
        <v>0.189</v>
      </c>
      <c r="J255">
        <v>3.37</v>
      </c>
      <c r="K255">
        <v>56.9</v>
      </c>
      <c r="L255" t="s">
        <v>53</v>
      </c>
      <c r="M255" t="s">
        <v>54</v>
      </c>
      <c r="N255">
        <v>0.46100000000000002</v>
      </c>
      <c r="O255">
        <v>7.78</v>
      </c>
      <c r="P255">
        <v>469</v>
      </c>
      <c r="R255" s="4">
        <v>1</v>
      </c>
      <c r="S255" s="4">
        <v>1</v>
      </c>
      <c r="T255" s="4"/>
      <c r="U255" s="4">
        <f t="shared" si="69"/>
        <v>56.9</v>
      </c>
      <c r="V255" s="4">
        <f t="shared" si="70"/>
        <v>56.9</v>
      </c>
      <c r="W255" s="4">
        <f t="shared" si="71"/>
        <v>56.9</v>
      </c>
      <c r="X255" s="4"/>
      <c r="Y255" s="4"/>
      <c r="Z255" s="4"/>
      <c r="AA255" s="4"/>
      <c r="AB255">
        <f>100*((W255*10250)-(W252*10000))/(1000*250)</f>
        <v>100.89</v>
      </c>
      <c r="AC255" t="str">
        <f>IF(W255&gt;30, (IF((AND(AB255&gt;=80,AB255&lt;=120)=TRUE),"PASS","FAIL")),(IF((AND(AB255&gt;=50,AB255&lt;=150)=TRUE),"PASS","FAIL")))</f>
        <v>PASS</v>
      </c>
      <c r="AD255" s="4">
        <v>1</v>
      </c>
      <c r="AE255" s="4"/>
      <c r="AF255" s="4">
        <f t="shared" si="72"/>
        <v>469</v>
      </c>
      <c r="AG255" s="4">
        <f t="shared" si="73"/>
        <v>469</v>
      </c>
      <c r="AH255" s="4">
        <f t="shared" si="74"/>
        <v>469</v>
      </c>
      <c r="AI255" s="4"/>
      <c r="AJ255" s="4"/>
      <c r="AK255" s="4"/>
      <c r="AL255" s="4"/>
      <c r="AM255">
        <f>100*((AH255*10250)-(AH253*10000))/(10000*250)</f>
        <v>-61.31</v>
      </c>
      <c r="AN255" t="str">
        <f>IF(AH255&gt;30, (IF((AND(AM255&gt;=80,AM255&lt;=120)=TRUE),"PASS","FAIL")),(IF((AND(AM255&gt;=50,AM255&lt;=150)=TRUE),"PASS","FAIL")))</f>
        <v>FAIL</v>
      </c>
      <c r="AO255" s="4"/>
    </row>
    <row r="256" spans="1:41" x14ac:dyDescent="0.3">
      <c r="A256" s="1">
        <v>45357</v>
      </c>
      <c r="B256" t="s">
        <v>183</v>
      </c>
      <c r="C256" t="s">
        <v>352</v>
      </c>
      <c r="D256">
        <v>192</v>
      </c>
      <c r="E256">
        <v>1</v>
      </c>
      <c r="F256">
        <v>3</v>
      </c>
      <c r="G256" t="s">
        <v>51</v>
      </c>
      <c r="H256" t="s">
        <v>52</v>
      </c>
      <c r="I256">
        <v>0.35299999999999998</v>
      </c>
      <c r="J256">
        <v>6.18</v>
      </c>
      <c r="K256">
        <v>139</v>
      </c>
      <c r="L256" t="s">
        <v>53</v>
      </c>
      <c r="M256" t="s">
        <v>54</v>
      </c>
      <c r="N256">
        <v>0.68899999999999995</v>
      </c>
      <c r="O256">
        <v>11.5</v>
      </c>
      <c r="P256">
        <v>726</v>
      </c>
      <c r="R256" s="4">
        <v>1</v>
      </c>
      <c r="S256" s="4">
        <v>1</v>
      </c>
      <c r="T256" s="4"/>
      <c r="U256" s="4">
        <f t="shared" si="69"/>
        <v>417</v>
      </c>
      <c r="V256" s="4">
        <f t="shared" si="70"/>
        <v>417</v>
      </c>
      <c r="W256" s="4">
        <f t="shared" si="71"/>
        <v>417</v>
      </c>
      <c r="X256" s="4"/>
      <c r="Y256" s="4"/>
      <c r="AD256" s="4">
        <v>1</v>
      </c>
      <c r="AE256" s="4"/>
      <c r="AF256" s="4">
        <f t="shared" si="72"/>
        <v>2178</v>
      </c>
      <c r="AG256" s="4">
        <f t="shared" si="73"/>
        <v>2178</v>
      </c>
      <c r="AH256" s="4">
        <f t="shared" si="74"/>
        <v>2178</v>
      </c>
      <c r="AI256" s="4"/>
      <c r="AJ256" s="4"/>
      <c r="AO256" s="4"/>
    </row>
    <row r="257" spans="1:41" x14ac:dyDescent="0.3">
      <c r="A257" s="1">
        <v>45357</v>
      </c>
      <c r="B257" t="s">
        <v>183</v>
      </c>
      <c r="C257" t="s">
        <v>353</v>
      </c>
      <c r="D257">
        <v>47</v>
      </c>
      <c r="E257">
        <v>1</v>
      </c>
      <c r="F257">
        <v>1</v>
      </c>
      <c r="G257" t="s">
        <v>51</v>
      </c>
      <c r="H257" t="s">
        <v>52</v>
      </c>
      <c r="I257">
        <v>0.11600000000000001</v>
      </c>
      <c r="J257">
        <v>2.16</v>
      </c>
      <c r="K257">
        <v>19.8</v>
      </c>
      <c r="L257" t="s">
        <v>53</v>
      </c>
      <c r="M257" t="s">
        <v>54</v>
      </c>
      <c r="N257">
        <v>0.23899999999999999</v>
      </c>
      <c r="O257">
        <v>4.01</v>
      </c>
      <c r="P257">
        <v>210</v>
      </c>
      <c r="R257" s="4">
        <v>1</v>
      </c>
      <c r="S257" s="4">
        <v>1</v>
      </c>
      <c r="T257" s="4"/>
      <c r="U257" s="4">
        <f t="shared" si="69"/>
        <v>19.8</v>
      </c>
      <c r="V257" s="4">
        <f t="shared" si="70"/>
        <v>19.8</v>
      </c>
      <c r="W257" s="4">
        <f t="shared" si="71"/>
        <v>19.8</v>
      </c>
      <c r="X257" s="4"/>
      <c r="Y257" s="4"/>
      <c r="AD257" s="4">
        <v>1</v>
      </c>
      <c r="AE257" s="4"/>
      <c r="AF257" s="4">
        <f t="shared" si="72"/>
        <v>210</v>
      </c>
      <c r="AG257" s="4">
        <f t="shared" si="73"/>
        <v>210</v>
      </c>
      <c r="AH257" s="4">
        <f t="shared" si="74"/>
        <v>210</v>
      </c>
      <c r="AI257" s="4"/>
      <c r="AJ257" s="4"/>
      <c r="AO257" s="4"/>
    </row>
    <row r="258" spans="1:41" x14ac:dyDescent="0.3">
      <c r="A258" s="1">
        <v>45357</v>
      </c>
      <c r="B258" t="s">
        <v>183</v>
      </c>
      <c r="C258" t="s">
        <v>262</v>
      </c>
      <c r="D258" t="s">
        <v>12</v>
      </c>
      <c r="E258">
        <v>1</v>
      </c>
      <c r="F258">
        <v>1</v>
      </c>
      <c r="G258" t="s">
        <v>51</v>
      </c>
      <c r="H258" t="s">
        <v>52</v>
      </c>
      <c r="I258">
        <v>0.126</v>
      </c>
      <c r="J258">
        <v>1.48</v>
      </c>
      <c r="K258">
        <v>-1.32</v>
      </c>
      <c r="L258" t="s">
        <v>53</v>
      </c>
      <c r="M258" t="s">
        <v>54</v>
      </c>
      <c r="N258">
        <v>1.31</v>
      </c>
      <c r="O258">
        <v>21.9</v>
      </c>
      <c r="P258">
        <v>1460</v>
      </c>
      <c r="Q258" s="4">
        <f>100*(O259/O258)</f>
        <v>94.063926940639291</v>
      </c>
      <c r="R258" s="4">
        <v>1</v>
      </c>
      <c r="S258" s="4">
        <v>1</v>
      </c>
      <c r="T258" s="4"/>
      <c r="U258" s="4">
        <f t="shared" si="69"/>
        <v>-1.32</v>
      </c>
      <c r="V258" s="4">
        <f t="shared" si="70"/>
        <v>-1.32</v>
      </c>
      <c r="W258" s="4">
        <f t="shared" si="71"/>
        <v>-1.32</v>
      </c>
      <c r="X258" s="4"/>
      <c r="Y258" s="4"/>
      <c r="AD258" s="4">
        <v>1</v>
      </c>
      <c r="AE258" s="4"/>
      <c r="AF258" s="4">
        <f t="shared" si="72"/>
        <v>1460</v>
      </c>
      <c r="AG258" s="4">
        <f t="shared" si="73"/>
        <v>1460</v>
      </c>
      <c r="AH258" s="4">
        <f t="shared" si="74"/>
        <v>1460</v>
      </c>
      <c r="AI258" s="4"/>
      <c r="AJ258" s="4"/>
      <c r="AO258" s="4"/>
    </row>
    <row r="259" spans="1:41" x14ac:dyDescent="0.3">
      <c r="A259" s="1">
        <v>45357</v>
      </c>
      <c r="B259" t="s">
        <v>183</v>
      </c>
      <c r="C259" t="s">
        <v>263</v>
      </c>
      <c r="D259" t="s">
        <v>13</v>
      </c>
      <c r="E259">
        <v>1</v>
      </c>
      <c r="F259">
        <v>1</v>
      </c>
      <c r="G259" t="s">
        <v>51</v>
      </c>
      <c r="H259" t="s">
        <v>52</v>
      </c>
      <c r="I259">
        <v>0.125</v>
      </c>
      <c r="J259">
        <v>1.46</v>
      </c>
      <c r="K259">
        <v>-1.9</v>
      </c>
      <c r="L259" t="s">
        <v>53</v>
      </c>
      <c r="M259" t="s">
        <v>54</v>
      </c>
      <c r="N259">
        <v>1.26</v>
      </c>
      <c r="O259">
        <v>20.6</v>
      </c>
      <c r="P259">
        <v>1370</v>
      </c>
      <c r="R259" s="4">
        <v>1</v>
      </c>
      <c r="S259" s="4">
        <v>1</v>
      </c>
      <c r="T259" s="4"/>
      <c r="U259" s="4">
        <f t="shared" si="69"/>
        <v>-1.9</v>
      </c>
      <c r="V259" s="4">
        <f t="shared" si="70"/>
        <v>-1.9</v>
      </c>
      <c r="W259" s="4">
        <f t="shared" si="71"/>
        <v>-1.9</v>
      </c>
      <c r="X259" s="4"/>
      <c r="Y259" s="4"/>
      <c r="AD259" s="4">
        <v>1</v>
      </c>
      <c r="AE259" s="4"/>
      <c r="AF259" s="4">
        <f t="shared" si="72"/>
        <v>1370</v>
      </c>
      <c r="AG259" s="4">
        <f t="shared" si="73"/>
        <v>1370</v>
      </c>
      <c r="AH259" s="4">
        <f t="shared" si="74"/>
        <v>1370</v>
      </c>
      <c r="AI259" s="4"/>
      <c r="AJ259" s="4"/>
      <c r="AO259" s="4"/>
    </row>
    <row r="260" spans="1:41" x14ac:dyDescent="0.3">
      <c r="A260" s="1">
        <v>45357</v>
      </c>
      <c r="B260" t="s">
        <v>183</v>
      </c>
      <c r="C260" t="s">
        <v>264</v>
      </c>
      <c r="D260">
        <v>1</v>
      </c>
      <c r="E260">
        <v>1</v>
      </c>
      <c r="F260">
        <v>1</v>
      </c>
      <c r="G260" t="s">
        <v>51</v>
      </c>
      <c r="H260" t="s">
        <v>52</v>
      </c>
      <c r="I260">
        <v>0.38100000000000001</v>
      </c>
      <c r="J260">
        <v>6.67</v>
      </c>
      <c r="K260">
        <v>153</v>
      </c>
      <c r="L260" t="s">
        <v>53</v>
      </c>
      <c r="M260" t="s">
        <v>54</v>
      </c>
      <c r="N260">
        <v>1.43</v>
      </c>
      <c r="O260">
        <v>23</v>
      </c>
      <c r="P260">
        <v>1540</v>
      </c>
      <c r="R260" s="4">
        <v>1</v>
      </c>
      <c r="S260" s="4">
        <v>1</v>
      </c>
      <c r="T260" s="4"/>
      <c r="U260" s="4">
        <f t="shared" ref="U260:U269" si="78">K260*F260</f>
        <v>153</v>
      </c>
      <c r="V260" s="4">
        <f t="shared" ref="V260:V269" si="79">IF(R260=1,U260,(U260-0))</f>
        <v>153</v>
      </c>
      <c r="W260" s="4">
        <f t="shared" ref="W260:W269" si="80">IF(R260=1,U260,(V260*R260))</f>
        <v>153</v>
      </c>
      <c r="X260" s="4">
        <f>100*(W260-150)/150</f>
        <v>2</v>
      </c>
      <c r="Y260" s="4" t="str">
        <f t="shared" ref="Y260:Y266" si="81">IF((ABS(X260))&lt;=20,"PASS","FAIL")</f>
        <v>PASS</v>
      </c>
      <c r="AD260" s="4">
        <v>2</v>
      </c>
      <c r="AE260" s="4"/>
      <c r="AF260" s="4">
        <f t="shared" ref="AF260:AF269" si="82">P260*F260</f>
        <v>1540</v>
      </c>
      <c r="AG260" s="4">
        <f t="shared" ref="AG260:AG269" si="83">IF(R260=1,AF260,(AF260-0))</f>
        <v>1540</v>
      </c>
      <c r="AH260" s="4">
        <f t="shared" ref="AH260:AH269" si="84">IF(R260=1,AF260,(AG260*R260))</f>
        <v>1540</v>
      </c>
      <c r="AI260" s="4">
        <f>100*(AH260-1500)/1500</f>
        <v>2.6666666666666665</v>
      </c>
      <c r="AJ260" s="4" t="str">
        <f t="shared" ref="AJ260:AJ266" si="85">IF((ABS(AI260))&lt;=20,"PASS","FAIL")</f>
        <v>PASS</v>
      </c>
      <c r="AO260" s="4"/>
    </row>
    <row r="261" spans="1:41" x14ac:dyDescent="0.3">
      <c r="A261" s="1">
        <v>45357</v>
      </c>
      <c r="B261" t="s">
        <v>183</v>
      </c>
      <c r="C261" t="s">
        <v>265</v>
      </c>
      <c r="D261">
        <v>3</v>
      </c>
      <c r="E261">
        <v>1</v>
      </c>
      <c r="F261">
        <v>1</v>
      </c>
      <c r="G261" t="s">
        <v>51</v>
      </c>
      <c r="H261" t="s">
        <v>52</v>
      </c>
      <c r="I261">
        <v>0.28299999999999997</v>
      </c>
      <c r="J261">
        <v>4.91</v>
      </c>
      <c r="K261">
        <v>103</v>
      </c>
      <c r="L261" t="s">
        <v>53</v>
      </c>
      <c r="M261" t="s">
        <v>54</v>
      </c>
      <c r="N261">
        <v>1.0900000000000001</v>
      </c>
      <c r="O261">
        <v>17.8</v>
      </c>
      <c r="P261">
        <v>1170</v>
      </c>
      <c r="R261" s="4">
        <v>1</v>
      </c>
      <c r="S261" s="4">
        <v>1</v>
      </c>
      <c r="T261" s="4"/>
      <c r="U261" s="4">
        <f t="shared" si="78"/>
        <v>103</v>
      </c>
      <c r="V261" s="4">
        <f t="shared" si="79"/>
        <v>103</v>
      </c>
      <c r="W261" s="4">
        <f t="shared" si="80"/>
        <v>103</v>
      </c>
      <c r="X261" s="4">
        <f>100*(W261-100)/100</f>
        <v>3</v>
      </c>
      <c r="Y261" s="4" t="str">
        <f t="shared" si="81"/>
        <v>PASS</v>
      </c>
      <c r="AD261" s="4">
        <v>3</v>
      </c>
      <c r="AE261" s="4"/>
      <c r="AF261" s="4">
        <f t="shared" si="82"/>
        <v>1170</v>
      </c>
      <c r="AG261" s="4">
        <f t="shared" si="83"/>
        <v>1170</v>
      </c>
      <c r="AH261" s="4">
        <f t="shared" si="84"/>
        <v>1170</v>
      </c>
      <c r="AI261" s="4">
        <f>100*(AH261-1000)/1000</f>
        <v>17</v>
      </c>
      <c r="AJ261" s="4" t="str">
        <f t="shared" si="85"/>
        <v>PASS</v>
      </c>
      <c r="AO261" s="4"/>
    </row>
    <row r="262" spans="1:41" x14ac:dyDescent="0.3">
      <c r="A262" s="1">
        <v>45357</v>
      </c>
      <c r="B262" t="s">
        <v>183</v>
      </c>
      <c r="C262" t="s">
        <v>266</v>
      </c>
      <c r="D262">
        <v>5</v>
      </c>
      <c r="E262">
        <v>1</v>
      </c>
      <c r="F262">
        <v>1</v>
      </c>
      <c r="G262" t="s">
        <v>51</v>
      </c>
      <c r="H262" t="s">
        <v>52</v>
      </c>
      <c r="I262">
        <v>0.19400000000000001</v>
      </c>
      <c r="J262">
        <v>4.3</v>
      </c>
      <c r="K262">
        <v>84.8</v>
      </c>
      <c r="L262" t="s">
        <v>53</v>
      </c>
      <c r="M262" t="s">
        <v>54</v>
      </c>
      <c r="N262">
        <v>0.45700000000000002</v>
      </c>
      <c r="O262">
        <v>7.5</v>
      </c>
      <c r="P262">
        <v>449</v>
      </c>
      <c r="R262" s="4">
        <v>1</v>
      </c>
      <c r="S262" s="4">
        <v>1</v>
      </c>
      <c r="T262" s="4"/>
      <c r="U262" s="4">
        <f t="shared" si="78"/>
        <v>84.8</v>
      </c>
      <c r="V262" s="4">
        <f t="shared" si="79"/>
        <v>84.8</v>
      </c>
      <c r="W262" s="4">
        <f t="shared" si="80"/>
        <v>84.8</v>
      </c>
      <c r="X262" s="4">
        <f>100*(W262-50)/50</f>
        <v>69.599999999999994</v>
      </c>
      <c r="Y262" s="4" t="str">
        <f t="shared" si="81"/>
        <v>FAIL</v>
      </c>
      <c r="AD262" s="4">
        <v>4</v>
      </c>
      <c r="AE262" s="4"/>
      <c r="AF262" s="4">
        <f t="shared" si="82"/>
        <v>449</v>
      </c>
      <c r="AG262" s="4">
        <f t="shared" si="83"/>
        <v>449</v>
      </c>
      <c r="AH262" s="4">
        <f t="shared" si="84"/>
        <v>449</v>
      </c>
      <c r="AI262" s="4">
        <f>100*(AH262-500)/500</f>
        <v>-10.199999999999999</v>
      </c>
      <c r="AJ262" s="4" t="str">
        <f t="shared" si="85"/>
        <v>PASS</v>
      </c>
    </row>
    <row r="263" spans="1:41" x14ac:dyDescent="0.3">
      <c r="A263" s="1">
        <v>45357</v>
      </c>
      <c r="B263" t="s">
        <v>183</v>
      </c>
      <c r="C263" t="s">
        <v>267</v>
      </c>
      <c r="D263">
        <v>7</v>
      </c>
      <c r="E263">
        <v>1</v>
      </c>
      <c r="F263">
        <v>1</v>
      </c>
      <c r="G263" t="s">
        <v>51</v>
      </c>
      <c r="H263" t="s">
        <v>52</v>
      </c>
      <c r="I263">
        <v>0.13200000000000001</v>
      </c>
      <c r="J263">
        <v>2.29</v>
      </c>
      <c r="K263">
        <v>24</v>
      </c>
      <c r="L263" t="s">
        <v>53</v>
      </c>
      <c r="M263" t="s">
        <v>54</v>
      </c>
      <c r="N263">
        <v>0.30499999999999999</v>
      </c>
      <c r="O263">
        <v>5.45</v>
      </c>
      <c r="P263">
        <v>309</v>
      </c>
      <c r="R263" s="4">
        <v>1</v>
      </c>
      <c r="S263" s="4">
        <v>1</v>
      </c>
      <c r="T263" s="4"/>
      <c r="U263" s="4">
        <f t="shared" si="78"/>
        <v>24</v>
      </c>
      <c r="V263" s="4">
        <f t="shared" si="79"/>
        <v>24</v>
      </c>
      <c r="W263" s="4">
        <f t="shared" si="80"/>
        <v>24</v>
      </c>
      <c r="X263" s="4">
        <f>100*(W263-25)/25</f>
        <v>-4</v>
      </c>
      <c r="Y263" s="4" t="str">
        <f t="shared" si="81"/>
        <v>PASS</v>
      </c>
      <c r="AD263" s="4">
        <v>5</v>
      </c>
      <c r="AE263" s="4"/>
      <c r="AF263" s="4">
        <f t="shared" si="82"/>
        <v>309</v>
      </c>
      <c r="AG263" s="4">
        <f t="shared" si="83"/>
        <v>309</v>
      </c>
      <c r="AH263" s="4">
        <f t="shared" si="84"/>
        <v>309</v>
      </c>
      <c r="AI263" s="4">
        <f t="shared" ref="AI263" si="86">100*(AH263-250)/250</f>
        <v>23.6</v>
      </c>
      <c r="AJ263" s="4" t="str">
        <f t="shared" si="85"/>
        <v>FAIL</v>
      </c>
    </row>
    <row r="264" spans="1:41" x14ac:dyDescent="0.3">
      <c r="A264" s="1">
        <v>45357</v>
      </c>
      <c r="B264" t="s">
        <v>183</v>
      </c>
      <c r="C264" t="s">
        <v>268</v>
      </c>
      <c r="D264">
        <v>9</v>
      </c>
      <c r="E264">
        <v>1</v>
      </c>
      <c r="F264">
        <v>1</v>
      </c>
      <c r="G264" t="s">
        <v>51</v>
      </c>
      <c r="H264" t="s">
        <v>52</v>
      </c>
      <c r="I264">
        <v>0.107</v>
      </c>
      <c r="J264">
        <v>1.95</v>
      </c>
      <c r="K264">
        <v>13.5</v>
      </c>
      <c r="L264" t="s">
        <v>53</v>
      </c>
      <c r="M264" t="s">
        <v>54</v>
      </c>
      <c r="N264">
        <v>0.13300000000000001</v>
      </c>
      <c r="O264">
        <v>2.36</v>
      </c>
      <c r="P264">
        <v>96.9</v>
      </c>
      <c r="R264" s="4">
        <v>1</v>
      </c>
      <c r="S264" s="4">
        <v>1</v>
      </c>
      <c r="T264" s="4"/>
      <c r="U264" s="4">
        <f t="shared" si="78"/>
        <v>13.5</v>
      </c>
      <c r="V264" s="4">
        <f t="shared" si="79"/>
        <v>13.5</v>
      </c>
      <c r="W264" s="4">
        <f t="shared" si="80"/>
        <v>13.5</v>
      </c>
      <c r="X264" s="4">
        <f>100*(W264-10)/10</f>
        <v>35</v>
      </c>
      <c r="Y264" s="4" t="str">
        <f t="shared" si="81"/>
        <v>FAIL</v>
      </c>
      <c r="AD264" s="4">
        <v>6</v>
      </c>
      <c r="AE264" s="4"/>
      <c r="AF264" s="4">
        <f t="shared" si="82"/>
        <v>96.9</v>
      </c>
      <c r="AG264" s="4">
        <f t="shared" si="83"/>
        <v>96.9</v>
      </c>
      <c r="AH264" s="4">
        <f t="shared" si="84"/>
        <v>96.9</v>
      </c>
      <c r="AI264" s="4">
        <f>100*(AH264-100)/100</f>
        <v>-3.0999999999999943</v>
      </c>
      <c r="AJ264" s="4" t="str">
        <f t="shared" si="85"/>
        <v>PASS</v>
      </c>
    </row>
    <row r="265" spans="1:41" x14ac:dyDescent="0.3">
      <c r="A265" s="1">
        <v>45357</v>
      </c>
      <c r="B265" t="s">
        <v>183</v>
      </c>
      <c r="C265" t="s">
        <v>269</v>
      </c>
      <c r="D265">
        <v>11</v>
      </c>
      <c r="E265">
        <v>1</v>
      </c>
      <c r="F265">
        <v>1</v>
      </c>
      <c r="G265" t="s">
        <v>51</v>
      </c>
      <c r="H265" t="s">
        <v>52</v>
      </c>
      <c r="I265">
        <v>9.5799999999999996E-2</v>
      </c>
      <c r="J265">
        <v>1.77</v>
      </c>
      <c r="K265">
        <v>7.86</v>
      </c>
      <c r="L265" t="s">
        <v>53</v>
      </c>
      <c r="M265" t="s">
        <v>54</v>
      </c>
      <c r="N265">
        <v>9.1700000000000004E-2</v>
      </c>
      <c r="O265">
        <v>1.7</v>
      </c>
      <c r="P265">
        <v>52.6</v>
      </c>
      <c r="R265" s="4">
        <v>1</v>
      </c>
      <c r="S265" s="4">
        <v>1</v>
      </c>
      <c r="T265" s="4"/>
      <c r="U265" s="4">
        <f t="shared" si="78"/>
        <v>7.86</v>
      </c>
      <c r="V265" s="4">
        <f t="shared" si="79"/>
        <v>7.86</v>
      </c>
      <c r="W265" s="4">
        <f t="shared" si="80"/>
        <v>7.86</v>
      </c>
      <c r="X265" s="4">
        <f>100*(W265-5)/5</f>
        <v>57.20000000000001</v>
      </c>
      <c r="Y265" s="4" t="str">
        <f t="shared" si="81"/>
        <v>FAIL</v>
      </c>
      <c r="AD265" s="4">
        <v>7</v>
      </c>
      <c r="AE265" s="4"/>
      <c r="AF265" s="4">
        <f t="shared" si="82"/>
        <v>52.6</v>
      </c>
      <c r="AG265" s="4">
        <f t="shared" si="83"/>
        <v>52.6</v>
      </c>
      <c r="AH265" s="4">
        <f t="shared" si="84"/>
        <v>52.6</v>
      </c>
      <c r="AI265" s="4">
        <f>100*(AH265-50)/50</f>
        <v>5.200000000000002</v>
      </c>
      <c r="AJ265" s="4" t="str">
        <f t="shared" si="85"/>
        <v>PASS</v>
      </c>
    </row>
    <row r="266" spans="1:41" x14ac:dyDescent="0.3">
      <c r="A266" s="1">
        <v>45357</v>
      </c>
      <c r="B266" t="s">
        <v>183</v>
      </c>
      <c r="C266" t="s">
        <v>270</v>
      </c>
      <c r="D266">
        <v>13</v>
      </c>
      <c r="E266">
        <v>1</v>
      </c>
      <c r="F266">
        <v>1</v>
      </c>
      <c r="G266" t="s">
        <v>51</v>
      </c>
      <c r="H266" t="s">
        <v>52</v>
      </c>
      <c r="I266">
        <v>9.0200000000000002E-2</v>
      </c>
      <c r="J266">
        <v>1.64</v>
      </c>
      <c r="K266">
        <v>3.67</v>
      </c>
      <c r="L266" t="s">
        <v>53</v>
      </c>
      <c r="M266" t="s">
        <v>54</v>
      </c>
      <c r="N266">
        <v>7.9899999999999999E-2</v>
      </c>
      <c r="O266">
        <v>1.51</v>
      </c>
      <c r="P266">
        <v>39.299999999999997</v>
      </c>
      <c r="R266" s="4">
        <v>1</v>
      </c>
      <c r="S266" s="4">
        <v>1</v>
      </c>
      <c r="T266" s="4"/>
      <c r="U266" s="4">
        <f t="shared" si="78"/>
        <v>3.67</v>
      </c>
      <c r="V266" s="4">
        <f t="shared" si="79"/>
        <v>3.67</v>
      </c>
      <c r="W266" s="4">
        <f t="shared" si="80"/>
        <v>3.67</v>
      </c>
      <c r="X266" s="4">
        <f>100*(W266-2.5)/2.5</f>
        <v>46.8</v>
      </c>
      <c r="Y266" s="4" t="str">
        <f t="shared" si="81"/>
        <v>FAIL</v>
      </c>
      <c r="AD266" s="4">
        <v>8</v>
      </c>
      <c r="AE266" s="4"/>
      <c r="AF266" s="4">
        <f t="shared" si="82"/>
        <v>39.299999999999997</v>
      </c>
      <c r="AG266" s="4">
        <f t="shared" si="83"/>
        <v>39.299999999999997</v>
      </c>
      <c r="AH266" s="4">
        <f t="shared" si="84"/>
        <v>39.299999999999997</v>
      </c>
      <c r="AI266" s="4">
        <f>100*(AH266-25)/25</f>
        <v>57.199999999999989</v>
      </c>
      <c r="AJ266" s="4" t="str">
        <f t="shared" si="85"/>
        <v>FAIL</v>
      </c>
    </row>
    <row r="267" spans="1:41" x14ac:dyDescent="0.3">
      <c r="A267" s="1">
        <v>45357</v>
      </c>
      <c r="B267" t="s">
        <v>183</v>
      </c>
      <c r="C267" t="s">
        <v>271</v>
      </c>
      <c r="D267">
        <v>15</v>
      </c>
      <c r="E267">
        <v>1</v>
      </c>
      <c r="F267">
        <v>1</v>
      </c>
      <c r="G267" t="s">
        <v>51</v>
      </c>
      <c r="H267" t="s">
        <v>52</v>
      </c>
      <c r="I267">
        <v>8.4699999999999998E-2</v>
      </c>
      <c r="J267">
        <v>1.56</v>
      </c>
      <c r="K267">
        <v>1.06</v>
      </c>
      <c r="L267" t="s">
        <v>53</v>
      </c>
      <c r="M267" t="s">
        <v>54</v>
      </c>
      <c r="N267">
        <v>5.2600000000000001E-2</v>
      </c>
      <c r="O267">
        <v>0.98099999999999998</v>
      </c>
      <c r="P267">
        <v>3.62</v>
      </c>
      <c r="R267" s="4">
        <v>1</v>
      </c>
      <c r="S267" s="4">
        <v>1</v>
      </c>
      <c r="T267" s="4"/>
      <c r="U267" s="4">
        <f t="shared" si="78"/>
        <v>1.06</v>
      </c>
      <c r="V267" s="4">
        <f t="shared" si="79"/>
        <v>1.06</v>
      </c>
      <c r="W267" s="4">
        <f t="shared" si="80"/>
        <v>1.06</v>
      </c>
      <c r="X267" s="4"/>
      <c r="Y267" s="4"/>
      <c r="AD267" s="4">
        <v>9</v>
      </c>
      <c r="AE267" s="4"/>
      <c r="AF267" s="4">
        <f t="shared" si="82"/>
        <v>3.62</v>
      </c>
      <c r="AG267" s="4">
        <f t="shared" si="83"/>
        <v>3.62</v>
      </c>
      <c r="AH267" s="4">
        <f t="shared" si="84"/>
        <v>3.62</v>
      </c>
      <c r="AI267" s="4"/>
      <c r="AJ267" s="4"/>
    </row>
    <row r="268" spans="1:41" x14ac:dyDescent="0.3">
      <c r="A268" s="1">
        <v>45357</v>
      </c>
      <c r="B268" t="s">
        <v>183</v>
      </c>
      <c r="C268" t="s">
        <v>200</v>
      </c>
      <c r="D268" t="s">
        <v>11</v>
      </c>
      <c r="E268">
        <v>1</v>
      </c>
      <c r="F268">
        <v>1</v>
      </c>
      <c r="G268" t="s">
        <v>51</v>
      </c>
      <c r="H268" t="s">
        <v>52</v>
      </c>
      <c r="I268">
        <v>0.129</v>
      </c>
      <c r="J268">
        <v>1.57</v>
      </c>
      <c r="K268">
        <v>1.36</v>
      </c>
      <c r="L268" t="s">
        <v>53</v>
      </c>
      <c r="M268" t="s">
        <v>54</v>
      </c>
      <c r="N268">
        <v>1.29E-2</v>
      </c>
      <c r="O268">
        <v>0.13</v>
      </c>
      <c r="P268">
        <v>-54</v>
      </c>
      <c r="R268" s="4">
        <v>1</v>
      </c>
      <c r="S268" s="4">
        <v>1</v>
      </c>
      <c r="T268" s="4"/>
      <c r="U268" s="4">
        <f t="shared" si="78"/>
        <v>1.36</v>
      </c>
      <c r="V268" s="4">
        <f t="shared" si="79"/>
        <v>1.36</v>
      </c>
      <c r="W268" s="4">
        <f t="shared" si="80"/>
        <v>1.36</v>
      </c>
      <c r="X268" s="4"/>
      <c r="Y268" s="4"/>
      <c r="AD268" s="4">
        <v>10</v>
      </c>
      <c r="AE268" s="4"/>
      <c r="AF268" s="4">
        <f t="shared" si="82"/>
        <v>-54</v>
      </c>
      <c r="AG268" s="4">
        <f t="shared" si="83"/>
        <v>-54</v>
      </c>
      <c r="AH268" s="4">
        <f t="shared" si="84"/>
        <v>-54</v>
      </c>
      <c r="AI268" s="4"/>
      <c r="AJ268" s="4"/>
    </row>
    <row r="269" spans="1:41" x14ac:dyDescent="0.3">
      <c r="A269" s="1">
        <v>45357</v>
      </c>
      <c r="B269" t="s">
        <v>183</v>
      </c>
      <c r="C269" t="s">
        <v>201</v>
      </c>
      <c r="D269" t="s">
        <v>121</v>
      </c>
      <c r="E269">
        <v>1</v>
      </c>
      <c r="F269">
        <v>1</v>
      </c>
      <c r="G269" t="s">
        <v>51</v>
      </c>
      <c r="H269" t="s">
        <v>52</v>
      </c>
      <c r="I269">
        <v>9.7000000000000003E-3</v>
      </c>
      <c r="J269">
        <v>0.108</v>
      </c>
      <c r="K269">
        <v>-45.2</v>
      </c>
      <c r="L269" t="s">
        <v>53</v>
      </c>
      <c r="M269" t="s">
        <v>54</v>
      </c>
      <c r="N269">
        <v>-1.47E-2</v>
      </c>
      <c r="O269">
        <v>-0.17499999999999999</v>
      </c>
      <c r="P269">
        <v>-74.599999999999994</v>
      </c>
      <c r="R269" s="4">
        <v>1</v>
      </c>
      <c r="S269" s="4">
        <v>1</v>
      </c>
      <c r="T269" s="4"/>
      <c r="U269" s="4">
        <f t="shared" si="78"/>
        <v>-45.2</v>
      </c>
      <c r="V269" s="4">
        <f t="shared" si="79"/>
        <v>-45.2</v>
      </c>
      <c r="W269" s="4">
        <f t="shared" si="80"/>
        <v>-45.2</v>
      </c>
      <c r="X269" s="4"/>
      <c r="Y269" s="4"/>
      <c r="AD269" s="4">
        <v>11</v>
      </c>
      <c r="AE269" s="4"/>
      <c r="AF269" s="4">
        <f t="shared" si="82"/>
        <v>-74.599999999999994</v>
      </c>
      <c r="AG269" s="4">
        <f t="shared" si="83"/>
        <v>-74.599999999999994</v>
      </c>
      <c r="AH269" s="4">
        <f t="shared" si="84"/>
        <v>-74.599999999999994</v>
      </c>
      <c r="AI269" s="4"/>
      <c r="AJ269" s="4"/>
    </row>
  </sheetData>
  <conditionalFormatting sqref="K34:K227">
    <cfRule type="cellIs" dxfId="11" priority="2" operator="greaterThan">
      <formula>180</formula>
    </cfRule>
  </conditionalFormatting>
  <conditionalFormatting sqref="P34:P227">
    <cfRule type="cellIs" dxfId="10" priority="1" operator="greaterThan">
      <formula>1800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R87"/>
  <sheetViews>
    <sheetView zoomScale="80" zoomScaleNormal="80" workbookViewId="0">
      <selection activeCell="B52" sqref="B52"/>
    </sheetView>
  </sheetViews>
  <sheetFormatPr defaultRowHeight="13.2" x14ac:dyDescent="0.25"/>
  <cols>
    <col min="1" max="1" width="12.21875" style="4" customWidth="1"/>
    <col min="2" max="2" width="34.77734375" style="4" customWidth="1"/>
    <col min="3" max="3" width="21.77734375" style="4" customWidth="1"/>
    <col min="4" max="4" width="9.5546875" style="4" customWidth="1"/>
    <col min="5" max="257" width="8.77734375" style="4"/>
    <col min="258" max="258" width="13.21875" style="4" customWidth="1"/>
    <col min="259" max="259" width="20.5546875" style="4" customWidth="1"/>
    <col min="260" max="260" width="9.5546875" style="4" customWidth="1"/>
    <col min="261" max="513" width="8.77734375" style="4"/>
    <col min="514" max="514" width="13.21875" style="4" customWidth="1"/>
    <col min="515" max="515" width="20.5546875" style="4" customWidth="1"/>
    <col min="516" max="516" width="9.5546875" style="4" customWidth="1"/>
    <col min="517" max="769" width="8.77734375" style="4"/>
    <col min="770" max="770" width="13.21875" style="4" customWidth="1"/>
    <col min="771" max="771" width="20.5546875" style="4" customWidth="1"/>
    <col min="772" max="772" width="9.5546875" style="4" customWidth="1"/>
    <col min="773" max="1025" width="8.77734375" style="4"/>
    <col min="1026" max="1026" width="13.21875" style="4" customWidth="1"/>
    <col min="1027" max="1027" width="20.5546875" style="4" customWidth="1"/>
    <col min="1028" max="1028" width="9.5546875" style="4" customWidth="1"/>
    <col min="1029" max="1281" width="8.77734375" style="4"/>
    <col min="1282" max="1282" width="13.21875" style="4" customWidth="1"/>
    <col min="1283" max="1283" width="20.5546875" style="4" customWidth="1"/>
    <col min="1284" max="1284" width="9.5546875" style="4" customWidth="1"/>
    <col min="1285" max="1537" width="8.77734375" style="4"/>
    <col min="1538" max="1538" width="13.21875" style="4" customWidth="1"/>
    <col min="1539" max="1539" width="20.5546875" style="4" customWidth="1"/>
    <col min="1540" max="1540" width="9.5546875" style="4" customWidth="1"/>
    <col min="1541" max="1793" width="8.77734375" style="4"/>
    <col min="1794" max="1794" width="13.21875" style="4" customWidth="1"/>
    <col min="1795" max="1795" width="20.5546875" style="4" customWidth="1"/>
    <col min="1796" max="1796" width="9.5546875" style="4" customWidth="1"/>
    <col min="1797" max="2049" width="8.77734375" style="4"/>
    <col min="2050" max="2050" width="13.21875" style="4" customWidth="1"/>
    <col min="2051" max="2051" width="20.5546875" style="4" customWidth="1"/>
    <col min="2052" max="2052" width="9.5546875" style="4" customWidth="1"/>
    <col min="2053" max="2305" width="8.77734375" style="4"/>
    <col min="2306" max="2306" width="13.21875" style="4" customWidth="1"/>
    <col min="2307" max="2307" width="20.5546875" style="4" customWidth="1"/>
    <col min="2308" max="2308" width="9.5546875" style="4" customWidth="1"/>
    <col min="2309" max="2561" width="8.77734375" style="4"/>
    <col min="2562" max="2562" width="13.21875" style="4" customWidth="1"/>
    <col min="2563" max="2563" width="20.5546875" style="4" customWidth="1"/>
    <col min="2564" max="2564" width="9.5546875" style="4" customWidth="1"/>
    <col min="2565" max="2817" width="8.77734375" style="4"/>
    <col min="2818" max="2818" width="13.21875" style="4" customWidth="1"/>
    <col min="2819" max="2819" width="20.5546875" style="4" customWidth="1"/>
    <col min="2820" max="2820" width="9.5546875" style="4" customWidth="1"/>
    <col min="2821" max="3073" width="8.77734375" style="4"/>
    <col min="3074" max="3074" width="13.21875" style="4" customWidth="1"/>
    <col min="3075" max="3075" width="20.5546875" style="4" customWidth="1"/>
    <col min="3076" max="3076" width="9.5546875" style="4" customWidth="1"/>
    <col min="3077" max="3329" width="8.77734375" style="4"/>
    <col min="3330" max="3330" width="13.21875" style="4" customWidth="1"/>
    <col min="3331" max="3331" width="20.5546875" style="4" customWidth="1"/>
    <col min="3332" max="3332" width="9.5546875" style="4" customWidth="1"/>
    <col min="3333" max="3585" width="8.77734375" style="4"/>
    <col min="3586" max="3586" width="13.21875" style="4" customWidth="1"/>
    <col min="3587" max="3587" width="20.5546875" style="4" customWidth="1"/>
    <col min="3588" max="3588" width="9.5546875" style="4" customWidth="1"/>
    <col min="3589" max="3841" width="8.77734375" style="4"/>
    <col min="3842" max="3842" width="13.21875" style="4" customWidth="1"/>
    <col min="3843" max="3843" width="20.5546875" style="4" customWidth="1"/>
    <col min="3844" max="3844" width="9.5546875" style="4" customWidth="1"/>
    <col min="3845" max="4097" width="8.77734375" style="4"/>
    <col min="4098" max="4098" width="13.21875" style="4" customWidth="1"/>
    <col min="4099" max="4099" width="20.5546875" style="4" customWidth="1"/>
    <col min="4100" max="4100" width="9.5546875" style="4" customWidth="1"/>
    <col min="4101" max="4353" width="8.77734375" style="4"/>
    <col min="4354" max="4354" width="13.21875" style="4" customWidth="1"/>
    <col min="4355" max="4355" width="20.5546875" style="4" customWidth="1"/>
    <col min="4356" max="4356" width="9.5546875" style="4" customWidth="1"/>
    <col min="4357" max="4609" width="8.77734375" style="4"/>
    <col min="4610" max="4610" width="13.21875" style="4" customWidth="1"/>
    <col min="4611" max="4611" width="20.5546875" style="4" customWidth="1"/>
    <col min="4612" max="4612" width="9.5546875" style="4" customWidth="1"/>
    <col min="4613" max="4865" width="8.77734375" style="4"/>
    <col min="4866" max="4866" width="13.21875" style="4" customWidth="1"/>
    <col min="4867" max="4867" width="20.5546875" style="4" customWidth="1"/>
    <col min="4868" max="4868" width="9.5546875" style="4" customWidth="1"/>
    <col min="4869" max="5121" width="8.77734375" style="4"/>
    <col min="5122" max="5122" width="13.21875" style="4" customWidth="1"/>
    <col min="5123" max="5123" width="20.5546875" style="4" customWidth="1"/>
    <col min="5124" max="5124" width="9.5546875" style="4" customWidth="1"/>
    <col min="5125" max="5377" width="8.77734375" style="4"/>
    <col min="5378" max="5378" width="13.21875" style="4" customWidth="1"/>
    <col min="5379" max="5379" width="20.5546875" style="4" customWidth="1"/>
    <col min="5380" max="5380" width="9.5546875" style="4" customWidth="1"/>
    <col min="5381" max="5633" width="8.77734375" style="4"/>
    <col min="5634" max="5634" width="13.21875" style="4" customWidth="1"/>
    <col min="5635" max="5635" width="20.5546875" style="4" customWidth="1"/>
    <col min="5636" max="5636" width="9.5546875" style="4" customWidth="1"/>
    <col min="5637" max="5889" width="8.77734375" style="4"/>
    <col min="5890" max="5890" width="13.21875" style="4" customWidth="1"/>
    <col min="5891" max="5891" width="20.5546875" style="4" customWidth="1"/>
    <col min="5892" max="5892" width="9.5546875" style="4" customWidth="1"/>
    <col min="5893" max="6145" width="8.77734375" style="4"/>
    <col min="6146" max="6146" width="13.21875" style="4" customWidth="1"/>
    <col min="6147" max="6147" width="20.5546875" style="4" customWidth="1"/>
    <col min="6148" max="6148" width="9.5546875" style="4" customWidth="1"/>
    <col min="6149" max="6401" width="8.77734375" style="4"/>
    <col min="6402" max="6402" width="13.21875" style="4" customWidth="1"/>
    <col min="6403" max="6403" width="20.5546875" style="4" customWidth="1"/>
    <col min="6404" max="6404" width="9.5546875" style="4" customWidth="1"/>
    <col min="6405" max="6657" width="8.77734375" style="4"/>
    <col min="6658" max="6658" width="13.21875" style="4" customWidth="1"/>
    <col min="6659" max="6659" width="20.5546875" style="4" customWidth="1"/>
    <col min="6660" max="6660" width="9.5546875" style="4" customWidth="1"/>
    <col min="6661" max="6913" width="8.77734375" style="4"/>
    <col min="6914" max="6914" width="13.21875" style="4" customWidth="1"/>
    <col min="6915" max="6915" width="20.5546875" style="4" customWidth="1"/>
    <col min="6916" max="6916" width="9.5546875" style="4" customWidth="1"/>
    <col min="6917" max="7169" width="8.77734375" style="4"/>
    <col min="7170" max="7170" width="13.21875" style="4" customWidth="1"/>
    <col min="7171" max="7171" width="20.5546875" style="4" customWidth="1"/>
    <col min="7172" max="7172" width="9.5546875" style="4" customWidth="1"/>
    <col min="7173" max="7425" width="8.77734375" style="4"/>
    <col min="7426" max="7426" width="13.21875" style="4" customWidth="1"/>
    <col min="7427" max="7427" width="20.5546875" style="4" customWidth="1"/>
    <col min="7428" max="7428" width="9.5546875" style="4" customWidth="1"/>
    <col min="7429" max="7681" width="8.77734375" style="4"/>
    <col min="7682" max="7682" width="13.21875" style="4" customWidth="1"/>
    <col min="7683" max="7683" width="20.5546875" style="4" customWidth="1"/>
    <col min="7684" max="7684" width="9.5546875" style="4" customWidth="1"/>
    <col min="7685" max="7937" width="8.77734375" style="4"/>
    <col min="7938" max="7938" width="13.21875" style="4" customWidth="1"/>
    <col min="7939" max="7939" width="20.5546875" style="4" customWidth="1"/>
    <col min="7940" max="7940" width="9.5546875" style="4" customWidth="1"/>
    <col min="7941" max="8193" width="8.77734375" style="4"/>
    <col min="8194" max="8194" width="13.21875" style="4" customWidth="1"/>
    <col min="8195" max="8195" width="20.5546875" style="4" customWidth="1"/>
    <col min="8196" max="8196" width="9.5546875" style="4" customWidth="1"/>
    <col min="8197" max="8449" width="8.77734375" style="4"/>
    <col min="8450" max="8450" width="13.21875" style="4" customWidth="1"/>
    <col min="8451" max="8451" width="20.5546875" style="4" customWidth="1"/>
    <col min="8452" max="8452" width="9.5546875" style="4" customWidth="1"/>
    <col min="8453" max="8705" width="8.77734375" style="4"/>
    <col min="8706" max="8706" width="13.21875" style="4" customWidth="1"/>
    <col min="8707" max="8707" width="20.5546875" style="4" customWidth="1"/>
    <col min="8708" max="8708" width="9.5546875" style="4" customWidth="1"/>
    <col min="8709" max="8961" width="8.77734375" style="4"/>
    <col min="8962" max="8962" width="13.21875" style="4" customWidth="1"/>
    <col min="8963" max="8963" width="20.5546875" style="4" customWidth="1"/>
    <col min="8964" max="8964" width="9.5546875" style="4" customWidth="1"/>
    <col min="8965" max="9217" width="8.77734375" style="4"/>
    <col min="9218" max="9218" width="13.21875" style="4" customWidth="1"/>
    <col min="9219" max="9219" width="20.5546875" style="4" customWidth="1"/>
    <col min="9220" max="9220" width="9.5546875" style="4" customWidth="1"/>
    <col min="9221" max="9473" width="8.77734375" style="4"/>
    <col min="9474" max="9474" width="13.21875" style="4" customWidth="1"/>
    <col min="9475" max="9475" width="20.5546875" style="4" customWidth="1"/>
    <col min="9476" max="9476" width="9.5546875" style="4" customWidth="1"/>
    <col min="9477" max="9729" width="8.77734375" style="4"/>
    <col min="9730" max="9730" width="13.21875" style="4" customWidth="1"/>
    <col min="9731" max="9731" width="20.5546875" style="4" customWidth="1"/>
    <col min="9732" max="9732" width="9.5546875" style="4" customWidth="1"/>
    <col min="9733" max="9985" width="8.77734375" style="4"/>
    <col min="9986" max="9986" width="13.21875" style="4" customWidth="1"/>
    <col min="9987" max="9987" width="20.5546875" style="4" customWidth="1"/>
    <col min="9988" max="9988" width="9.5546875" style="4" customWidth="1"/>
    <col min="9989" max="10241" width="8.77734375" style="4"/>
    <col min="10242" max="10242" width="13.21875" style="4" customWidth="1"/>
    <col min="10243" max="10243" width="20.5546875" style="4" customWidth="1"/>
    <col min="10244" max="10244" width="9.5546875" style="4" customWidth="1"/>
    <col min="10245" max="10497" width="8.77734375" style="4"/>
    <col min="10498" max="10498" width="13.21875" style="4" customWidth="1"/>
    <col min="10499" max="10499" width="20.5546875" style="4" customWidth="1"/>
    <col min="10500" max="10500" width="9.5546875" style="4" customWidth="1"/>
    <col min="10501" max="10753" width="8.77734375" style="4"/>
    <col min="10754" max="10754" width="13.21875" style="4" customWidth="1"/>
    <col min="10755" max="10755" width="20.5546875" style="4" customWidth="1"/>
    <col min="10756" max="10756" width="9.5546875" style="4" customWidth="1"/>
    <col min="10757" max="11009" width="8.77734375" style="4"/>
    <col min="11010" max="11010" width="13.21875" style="4" customWidth="1"/>
    <col min="11011" max="11011" width="20.5546875" style="4" customWidth="1"/>
    <col min="11012" max="11012" width="9.5546875" style="4" customWidth="1"/>
    <col min="11013" max="11265" width="8.77734375" style="4"/>
    <col min="11266" max="11266" width="13.21875" style="4" customWidth="1"/>
    <col min="11267" max="11267" width="20.5546875" style="4" customWidth="1"/>
    <col min="11268" max="11268" width="9.5546875" style="4" customWidth="1"/>
    <col min="11269" max="11521" width="8.77734375" style="4"/>
    <col min="11522" max="11522" width="13.21875" style="4" customWidth="1"/>
    <col min="11523" max="11523" width="20.5546875" style="4" customWidth="1"/>
    <col min="11524" max="11524" width="9.5546875" style="4" customWidth="1"/>
    <col min="11525" max="11777" width="8.77734375" style="4"/>
    <col min="11778" max="11778" width="13.21875" style="4" customWidth="1"/>
    <col min="11779" max="11779" width="20.5546875" style="4" customWidth="1"/>
    <col min="11780" max="11780" width="9.5546875" style="4" customWidth="1"/>
    <col min="11781" max="12033" width="8.77734375" style="4"/>
    <col min="12034" max="12034" width="13.21875" style="4" customWidth="1"/>
    <col min="12035" max="12035" width="20.5546875" style="4" customWidth="1"/>
    <col min="12036" max="12036" width="9.5546875" style="4" customWidth="1"/>
    <col min="12037" max="12289" width="8.77734375" style="4"/>
    <col min="12290" max="12290" width="13.21875" style="4" customWidth="1"/>
    <col min="12291" max="12291" width="20.5546875" style="4" customWidth="1"/>
    <col min="12292" max="12292" width="9.5546875" style="4" customWidth="1"/>
    <col min="12293" max="12545" width="8.77734375" style="4"/>
    <col min="12546" max="12546" width="13.21875" style="4" customWidth="1"/>
    <col min="12547" max="12547" width="20.5546875" style="4" customWidth="1"/>
    <col min="12548" max="12548" width="9.5546875" style="4" customWidth="1"/>
    <col min="12549" max="12801" width="8.77734375" style="4"/>
    <col min="12802" max="12802" width="13.21875" style="4" customWidth="1"/>
    <col min="12803" max="12803" width="20.5546875" style="4" customWidth="1"/>
    <col min="12804" max="12804" width="9.5546875" style="4" customWidth="1"/>
    <col min="12805" max="13057" width="8.77734375" style="4"/>
    <col min="13058" max="13058" width="13.21875" style="4" customWidth="1"/>
    <col min="13059" max="13059" width="20.5546875" style="4" customWidth="1"/>
    <col min="13060" max="13060" width="9.5546875" style="4" customWidth="1"/>
    <col min="13061" max="13313" width="8.77734375" style="4"/>
    <col min="13314" max="13314" width="13.21875" style="4" customWidth="1"/>
    <col min="13315" max="13315" width="20.5546875" style="4" customWidth="1"/>
    <col min="13316" max="13316" width="9.5546875" style="4" customWidth="1"/>
    <col min="13317" max="13569" width="8.77734375" style="4"/>
    <col min="13570" max="13570" width="13.21875" style="4" customWidth="1"/>
    <col min="13571" max="13571" width="20.5546875" style="4" customWidth="1"/>
    <col min="13572" max="13572" width="9.5546875" style="4" customWidth="1"/>
    <col min="13573" max="13825" width="8.77734375" style="4"/>
    <col min="13826" max="13826" width="13.21875" style="4" customWidth="1"/>
    <col min="13827" max="13827" width="20.5546875" style="4" customWidth="1"/>
    <col min="13828" max="13828" width="9.5546875" style="4" customWidth="1"/>
    <col min="13829" max="14081" width="8.77734375" style="4"/>
    <col min="14082" max="14082" width="13.21875" style="4" customWidth="1"/>
    <col min="14083" max="14083" width="20.5546875" style="4" customWidth="1"/>
    <col min="14084" max="14084" width="9.5546875" style="4" customWidth="1"/>
    <col min="14085" max="14337" width="8.77734375" style="4"/>
    <col min="14338" max="14338" width="13.21875" style="4" customWidth="1"/>
    <col min="14339" max="14339" width="20.5546875" style="4" customWidth="1"/>
    <col min="14340" max="14340" width="9.5546875" style="4" customWidth="1"/>
    <col min="14341" max="14593" width="8.77734375" style="4"/>
    <col min="14594" max="14594" width="13.21875" style="4" customWidth="1"/>
    <col min="14595" max="14595" width="20.5546875" style="4" customWidth="1"/>
    <col min="14596" max="14596" width="9.5546875" style="4" customWidth="1"/>
    <col min="14597" max="14849" width="8.77734375" style="4"/>
    <col min="14850" max="14850" width="13.21875" style="4" customWidth="1"/>
    <col min="14851" max="14851" width="20.5546875" style="4" customWidth="1"/>
    <col min="14852" max="14852" width="9.5546875" style="4" customWidth="1"/>
    <col min="14853" max="15105" width="8.77734375" style="4"/>
    <col min="15106" max="15106" width="13.21875" style="4" customWidth="1"/>
    <col min="15107" max="15107" width="20.5546875" style="4" customWidth="1"/>
    <col min="15108" max="15108" width="9.5546875" style="4" customWidth="1"/>
    <col min="15109" max="15361" width="8.77734375" style="4"/>
    <col min="15362" max="15362" width="13.21875" style="4" customWidth="1"/>
    <col min="15363" max="15363" width="20.5546875" style="4" customWidth="1"/>
    <col min="15364" max="15364" width="9.5546875" style="4" customWidth="1"/>
    <col min="15365" max="15617" width="8.77734375" style="4"/>
    <col min="15618" max="15618" width="13.21875" style="4" customWidth="1"/>
    <col min="15619" max="15619" width="20.5546875" style="4" customWidth="1"/>
    <col min="15620" max="15620" width="9.5546875" style="4" customWidth="1"/>
    <col min="15621" max="15873" width="8.77734375" style="4"/>
    <col min="15874" max="15874" width="13.21875" style="4" customWidth="1"/>
    <col min="15875" max="15875" width="20.5546875" style="4" customWidth="1"/>
    <col min="15876" max="15876" width="9.5546875" style="4" customWidth="1"/>
    <col min="15877" max="16129" width="8.77734375" style="4"/>
    <col min="16130" max="16130" width="13.21875" style="4" customWidth="1"/>
    <col min="16131" max="16131" width="20.5546875" style="4" customWidth="1"/>
    <col min="16132" max="16132" width="9.5546875" style="4" customWidth="1"/>
    <col min="16133" max="16382" width="8.77734375" style="4"/>
    <col min="16383" max="16384" width="9.21875" style="4" customWidth="1"/>
  </cols>
  <sheetData>
    <row r="1" spans="1:70" s="3" customFormat="1" ht="79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3" t="s">
        <v>15</v>
      </c>
      <c r="R1" s="3" t="s">
        <v>33</v>
      </c>
      <c r="S1" s="3" t="s">
        <v>16</v>
      </c>
      <c r="T1" s="3" t="s">
        <v>17</v>
      </c>
      <c r="U1" s="3" t="s">
        <v>34</v>
      </c>
      <c r="V1" s="3" t="s">
        <v>35</v>
      </c>
      <c r="W1" s="3" t="s">
        <v>36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3" t="s">
        <v>16</v>
      </c>
      <c r="AE1" s="3" t="s">
        <v>17</v>
      </c>
      <c r="AF1" s="3" t="s">
        <v>37</v>
      </c>
      <c r="AG1" s="3" t="s">
        <v>38</v>
      </c>
      <c r="AH1" s="3" t="s">
        <v>39</v>
      </c>
      <c r="AI1" s="7" t="s">
        <v>24</v>
      </c>
      <c r="AJ1" s="7" t="s">
        <v>25</v>
      </c>
      <c r="AK1" s="7" t="s">
        <v>26</v>
      </c>
      <c r="AL1" s="7" t="s">
        <v>27</v>
      </c>
      <c r="AM1" s="7" t="s">
        <v>28</v>
      </c>
      <c r="AN1" s="7" t="s">
        <v>29</v>
      </c>
    </row>
    <row r="2" spans="1:70" ht="14.4" x14ac:dyDescent="0.3">
      <c r="A2" s="6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70" customFormat="1" ht="14.4" x14ac:dyDescent="0.3">
      <c r="A3" s="1">
        <v>45357</v>
      </c>
      <c r="B3" t="s">
        <v>183</v>
      </c>
      <c r="C3" t="s">
        <v>184</v>
      </c>
      <c r="D3">
        <v>20</v>
      </c>
      <c r="E3">
        <v>1</v>
      </c>
      <c r="F3">
        <v>1</v>
      </c>
      <c r="G3" t="s">
        <v>51</v>
      </c>
      <c r="H3" t="s">
        <v>52</v>
      </c>
      <c r="I3">
        <v>8.1799999999999998E-2</v>
      </c>
      <c r="J3">
        <v>1.51</v>
      </c>
      <c r="K3">
        <v>-0.28499999999999998</v>
      </c>
      <c r="L3" t="s">
        <v>53</v>
      </c>
      <c r="M3" t="s">
        <v>54</v>
      </c>
      <c r="N3">
        <v>4.82E-2</v>
      </c>
      <c r="O3">
        <v>1.05</v>
      </c>
      <c r="P3">
        <v>8.16</v>
      </c>
      <c r="Q3" s="4"/>
      <c r="R3" s="4">
        <v>1</v>
      </c>
      <c r="S3" s="4">
        <v>1</v>
      </c>
      <c r="T3" s="4"/>
      <c r="U3" s="4">
        <f t="shared" ref="U3:U7" si="0">K3*F3</f>
        <v>-0.28499999999999998</v>
      </c>
      <c r="V3" s="4">
        <f t="shared" ref="V3:V7" si="1">IF(R3=1,U3,(U3-0))</f>
        <v>-0.28499999999999998</v>
      </c>
      <c r="W3" s="4">
        <f t="shared" ref="W3:W7" si="2">IF(R3=1,U3,(V3*R3))</f>
        <v>-0.28499999999999998</v>
      </c>
      <c r="X3" s="4"/>
      <c r="Y3" s="4"/>
      <c r="Z3" s="4"/>
      <c r="AA3" s="4"/>
      <c r="AB3" s="4"/>
      <c r="AC3" s="4"/>
      <c r="AD3" s="4">
        <v>1</v>
      </c>
      <c r="AE3" s="4"/>
      <c r="AF3" s="4">
        <f t="shared" ref="AF3:AF7" si="3">P3*F3</f>
        <v>8.16</v>
      </c>
      <c r="AG3" s="4">
        <f t="shared" ref="AG3:AG7" si="4">IF(R3=1,AF3,(AF3-0))</f>
        <v>8.16</v>
      </c>
      <c r="AH3" s="4">
        <f t="shared" ref="AH3:AH7" si="5">IF(R3=1,AF3,(AG3*R3))</f>
        <v>8.16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customFormat="1" ht="14.4" x14ac:dyDescent="0.3">
      <c r="A4" s="1">
        <v>45357</v>
      </c>
      <c r="B4" t="s">
        <v>183</v>
      </c>
      <c r="C4" t="s">
        <v>185</v>
      </c>
      <c r="D4">
        <v>21</v>
      </c>
      <c r="E4">
        <v>1</v>
      </c>
      <c r="F4">
        <v>1</v>
      </c>
      <c r="G4" t="s">
        <v>51</v>
      </c>
      <c r="H4" t="s">
        <v>52</v>
      </c>
      <c r="I4">
        <v>8.2000000000000003E-2</v>
      </c>
      <c r="J4">
        <v>1.47</v>
      </c>
      <c r="K4">
        <v>-1.74</v>
      </c>
      <c r="L4" t="s">
        <v>53</v>
      </c>
      <c r="M4" t="s">
        <v>54</v>
      </c>
      <c r="N4">
        <v>5.3800000000000001E-2</v>
      </c>
      <c r="O4">
        <v>0.98899999999999999</v>
      </c>
      <c r="P4">
        <v>4.1399999999999997</v>
      </c>
      <c r="Q4" s="4"/>
      <c r="R4" s="4">
        <v>1</v>
      </c>
      <c r="S4" s="4">
        <v>1</v>
      </c>
      <c r="T4" s="4"/>
      <c r="U4" s="4">
        <f t="shared" si="0"/>
        <v>-1.74</v>
      </c>
      <c r="V4" s="4">
        <f t="shared" si="1"/>
        <v>-1.74</v>
      </c>
      <c r="W4" s="4">
        <f t="shared" si="2"/>
        <v>-1.74</v>
      </c>
      <c r="X4" s="4"/>
      <c r="Y4" s="4"/>
      <c r="Z4" s="4"/>
      <c r="AA4" s="4"/>
      <c r="AB4" s="4"/>
      <c r="AC4" s="4"/>
      <c r="AD4" s="4">
        <v>1</v>
      </c>
      <c r="AE4" s="4"/>
      <c r="AF4" s="4">
        <f t="shared" si="3"/>
        <v>4.1399999999999997</v>
      </c>
      <c r="AG4" s="4">
        <f t="shared" si="4"/>
        <v>4.1399999999999997</v>
      </c>
      <c r="AH4" s="4">
        <f t="shared" si="5"/>
        <v>4.1399999999999997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customFormat="1" ht="14.4" x14ac:dyDescent="0.3">
      <c r="A5" s="1">
        <v>45357</v>
      </c>
      <c r="B5" t="s">
        <v>183</v>
      </c>
      <c r="C5" t="s">
        <v>186</v>
      </c>
      <c r="D5">
        <v>22</v>
      </c>
      <c r="E5">
        <v>1</v>
      </c>
      <c r="F5">
        <v>1</v>
      </c>
      <c r="G5" t="s">
        <v>51</v>
      </c>
      <c r="H5" t="s">
        <v>52</v>
      </c>
      <c r="I5">
        <v>8.1000000000000003E-2</v>
      </c>
      <c r="J5">
        <v>1.44</v>
      </c>
      <c r="K5">
        <v>-2.5299999999999998</v>
      </c>
      <c r="L5" t="s">
        <v>53</v>
      </c>
      <c r="M5" t="s">
        <v>54</v>
      </c>
      <c r="N5">
        <v>4.5600000000000002E-2</v>
      </c>
      <c r="O5">
        <v>0.89900000000000002</v>
      </c>
      <c r="P5">
        <v>-1.92</v>
      </c>
      <c r="Q5" s="4"/>
      <c r="R5" s="4">
        <v>1</v>
      </c>
      <c r="S5" s="4">
        <v>1</v>
      </c>
      <c r="T5" s="4"/>
      <c r="U5" s="4">
        <f t="shared" si="0"/>
        <v>-2.5299999999999998</v>
      </c>
      <c r="V5" s="4">
        <f t="shared" si="1"/>
        <v>-2.5299999999999998</v>
      </c>
      <c r="W5" s="4">
        <f t="shared" si="2"/>
        <v>-2.5299999999999998</v>
      </c>
      <c r="X5" s="4"/>
      <c r="Y5" s="4"/>
      <c r="Z5" s="4"/>
      <c r="AA5" s="4"/>
      <c r="AB5" s="4"/>
      <c r="AC5" s="4"/>
      <c r="AD5" s="4">
        <v>1</v>
      </c>
      <c r="AE5" s="4"/>
      <c r="AF5" s="4">
        <f t="shared" si="3"/>
        <v>-1.92</v>
      </c>
      <c r="AG5" s="4">
        <f t="shared" si="4"/>
        <v>-1.92</v>
      </c>
      <c r="AH5" s="4">
        <f t="shared" si="5"/>
        <v>-1.92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customFormat="1" ht="14.4" x14ac:dyDescent="0.3">
      <c r="A6" s="1">
        <v>45357</v>
      </c>
      <c r="B6" t="s">
        <v>183</v>
      </c>
      <c r="C6" t="s">
        <v>187</v>
      </c>
      <c r="D6">
        <v>23</v>
      </c>
      <c r="E6">
        <v>1</v>
      </c>
      <c r="F6">
        <v>1</v>
      </c>
      <c r="G6" t="s">
        <v>51</v>
      </c>
      <c r="H6" t="s">
        <v>52</v>
      </c>
      <c r="I6">
        <v>8.3699999999999997E-2</v>
      </c>
      <c r="J6">
        <v>1.55</v>
      </c>
      <c r="K6">
        <v>0.78500000000000003</v>
      </c>
      <c r="L6" t="s">
        <v>53</v>
      </c>
      <c r="M6" t="s">
        <v>54</v>
      </c>
      <c r="N6">
        <v>4.6800000000000001E-2</v>
      </c>
      <c r="O6">
        <v>0.94799999999999995</v>
      </c>
      <c r="P6">
        <v>1.38</v>
      </c>
      <c r="Q6" s="4"/>
      <c r="R6" s="4">
        <v>1</v>
      </c>
      <c r="S6" s="4">
        <v>1</v>
      </c>
      <c r="T6" s="4"/>
      <c r="U6" s="4">
        <f t="shared" si="0"/>
        <v>0.78500000000000003</v>
      </c>
      <c r="V6" s="4">
        <f t="shared" si="1"/>
        <v>0.78500000000000003</v>
      </c>
      <c r="W6" s="4">
        <f t="shared" si="2"/>
        <v>0.78500000000000003</v>
      </c>
      <c r="X6" s="4"/>
      <c r="Y6" s="4"/>
      <c r="Z6" s="4"/>
      <c r="AA6" s="4"/>
      <c r="AB6" s="4"/>
      <c r="AC6" s="4"/>
      <c r="AD6" s="4">
        <v>1</v>
      </c>
      <c r="AE6" s="4"/>
      <c r="AF6" s="4">
        <f t="shared" si="3"/>
        <v>1.38</v>
      </c>
      <c r="AG6" s="4">
        <f t="shared" si="4"/>
        <v>1.38</v>
      </c>
      <c r="AH6" s="4">
        <f t="shared" si="5"/>
        <v>1.38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customFormat="1" ht="14.4" x14ac:dyDescent="0.3">
      <c r="A7" s="1">
        <v>45357</v>
      </c>
      <c r="B7" t="s">
        <v>183</v>
      </c>
      <c r="C7" t="s">
        <v>187</v>
      </c>
      <c r="D7">
        <v>24</v>
      </c>
      <c r="E7">
        <v>1</v>
      </c>
      <c r="F7">
        <v>1</v>
      </c>
      <c r="G7" t="s">
        <v>51</v>
      </c>
      <c r="H7" t="s">
        <v>52</v>
      </c>
      <c r="I7">
        <v>8.1100000000000005E-2</v>
      </c>
      <c r="J7">
        <v>1.46</v>
      </c>
      <c r="K7">
        <v>-1.89</v>
      </c>
      <c r="L7" t="s">
        <v>53</v>
      </c>
      <c r="M7" t="s">
        <v>54</v>
      </c>
      <c r="N7">
        <v>4.2599999999999999E-2</v>
      </c>
      <c r="O7">
        <v>0.63700000000000001</v>
      </c>
      <c r="P7">
        <v>-19.7</v>
      </c>
      <c r="Q7" s="4"/>
      <c r="R7" s="4">
        <v>1</v>
      </c>
      <c r="S7" s="4">
        <v>1</v>
      </c>
      <c r="T7" s="4"/>
      <c r="U7" s="4">
        <f t="shared" si="0"/>
        <v>-1.89</v>
      </c>
      <c r="V7" s="4">
        <f t="shared" si="1"/>
        <v>-1.89</v>
      </c>
      <c r="W7" s="4">
        <f t="shared" si="2"/>
        <v>-1.89</v>
      </c>
      <c r="X7" s="4"/>
      <c r="Y7" s="4"/>
      <c r="Z7" s="4"/>
      <c r="AA7" s="4"/>
      <c r="AB7" s="4"/>
      <c r="AC7" s="4"/>
      <c r="AD7" s="4">
        <v>1</v>
      </c>
      <c r="AE7" s="4"/>
      <c r="AF7" s="4">
        <f t="shared" si="3"/>
        <v>-19.7</v>
      </c>
      <c r="AG7" s="4">
        <f t="shared" si="4"/>
        <v>-19.7</v>
      </c>
      <c r="AH7" s="4">
        <f t="shared" si="5"/>
        <v>-19.7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ht="14.4" x14ac:dyDescent="0.3">
      <c r="A8" s="9"/>
      <c r="B8" s="10"/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70" ht="14.4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70" ht="14.4" x14ac:dyDescent="0.3">
      <c r="A10" s="9"/>
      <c r="B10" s="10"/>
      <c r="C10" s="10"/>
      <c r="D10" s="10"/>
      <c r="E10" s="10"/>
      <c r="F10" s="10"/>
      <c r="G10" s="10"/>
      <c r="H10" s="11" t="s">
        <v>32</v>
      </c>
      <c r="I10" s="10"/>
      <c r="J10" s="13"/>
      <c r="K10" s="13">
        <v>0</v>
      </c>
      <c r="L10" s="10"/>
      <c r="M10" s="11" t="s">
        <v>32</v>
      </c>
      <c r="N10" s="10"/>
      <c r="O10" s="13"/>
      <c r="P10" s="13">
        <v>0</v>
      </c>
    </row>
    <row r="11" spans="1:70" ht="14.4" x14ac:dyDescent="0.3">
      <c r="A11" s="9"/>
      <c r="B11" s="10"/>
      <c r="C11" s="10"/>
      <c r="D11" s="10"/>
      <c r="E11" s="10"/>
      <c r="F11" s="10"/>
      <c r="G11" s="10"/>
      <c r="H11" s="11" t="s">
        <v>40</v>
      </c>
      <c r="I11" s="10"/>
      <c r="J11" s="12">
        <f>AVERAGE(J3:J7)</f>
        <v>1.486</v>
      </c>
      <c r="K11" s="12">
        <f>AVERAGE(K3:K7)</f>
        <v>-1.1319999999999999</v>
      </c>
      <c r="L11" s="10"/>
      <c r="M11" s="11" t="s">
        <v>40</v>
      </c>
      <c r="N11" s="10"/>
      <c r="O11" s="12">
        <f>AVERAGE(O3:O7)</f>
        <v>0.90459999999999996</v>
      </c>
      <c r="P11" s="12">
        <f>AVERAGE(P3:P7)</f>
        <v>-1.5879999999999996</v>
      </c>
    </row>
    <row r="12" spans="1:70" ht="14.4" x14ac:dyDescent="0.3">
      <c r="A12" s="9"/>
      <c r="B12" s="10"/>
      <c r="D12" s="10"/>
      <c r="E12" s="10"/>
      <c r="F12" s="10"/>
      <c r="G12" s="10"/>
      <c r="H12" s="11" t="s">
        <v>41</v>
      </c>
      <c r="I12" s="10"/>
      <c r="J12" s="12">
        <f>_xlfn.STDEV.S(J3:J7)</f>
        <v>4.3931765272977631E-2</v>
      </c>
      <c r="K12" s="12">
        <f>_xlfn.STDEV.S(K3:K7)</f>
        <v>1.3500861083649445</v>
      </c>
      <c r="L12" s="10"/>
      <c r="M12" s="11" t="s">
        <v>41</v>
      </c>
      <c r="N12" s="10"/>
      <c r="O12" s="12">
        <f>_xlfn.STDEV.S(O3:O7)</f>
        <v>0.159522098782583</v>
      </c>
      <c r="P12" s="12">
        <f>_xlfn.STDEV.S(P3:P7)</f>
        <v>10.77957884149469</v>
      </c>
    </row>
    <row r="13" spans="1:70" ht="14.4" x14ac:dyDescent="0.3">
      <c r="A13" s="9"/>
      <c r="B13" s="10"/>
      <c r="D13" s="10"/>
      <c r="E13" s="10"/>
      <c r="F13" s="10"/>
      <c r="G13" s="10"/>
      <c r="H13" s="11" t="s">
        <v>42</v>
      </c>
      <c r="I13" s="10"/>
      <c r="J13" s="12">
        <f>100*J12/J11</f>
        <v>2.9563772054493698</v>
      </c>
      <c r="K13" s="12">
        <f>100*K12/K11</f>
        <v>-119.26555727605518</v>
      </c>
      <c r="L13" s="10"/>
      <c r="M13" s="11" t="s">
        <v>42</v>
      </c>
      <c r="N13" s="10"/>
      <c r="O13" s="12">
        <f>100*O12/O11</f>
        <v>17.634545520957662</v>
      </c>
      <c r="P13" s="12">
        <f>100*P12/P11</f>
        <v>-678.81478850722249</v>
      </c>
    </row>
    <row r="14" spans="1:70" ht="14.4" x14ac:dyDescent="0.3">
      <c r="A14" s="9"/>
      <c r="B14" s="10"/>
      <c r="D14" s="10"/>
      <c r="E14" s="10"/>
      <c r="F14" s="10"/>
      <c r="G14" s="10"/>
      <c r="H14" s="11" t="s">
        <v>43</v>
      </c>
      <c r="I14" s="10"/>
      <c r="J14" s="12">
        <f>TINV(0.02,4)</f>
        <v>3.7469473879791968</v>
      </c>
      <c r="K14" s="12">
        <f>TINV(0.02,4)</f>
        <v>3.7469473879791968</v>
      </c>
      <c r="L14" s="10"/>
      <c r="M14" s="11" t="s">
        <v>43</v>
      </c>
      <c r="N14" s="10"/>
      <c r="O14" s="12">
        <f>TINV(0.02,4)</f>
        <v>3.7469473879791968</v>
      </c>
      <c r="P14" s="12">
        <f>TINV(0.02,4)</f>
        <v>3.7469473879791968</v>
      </c>
    </row>
    <row r="15" spans="1:70" ht="14.4" x14ac:dyDescent="0.3">
      <c r="A15" s="9"/>
      <c r="B15" s="10"/>
      <c r="D15" s="10"/>
      <c r="E15" s="10"/>
      <c r="F15" s="10"/>
      <c r="G15" s="10"/>
      <c r="H15" s="11" t="s">
        <v>44</v>
      </c>
      <c r="I15" s="10"/>
      <c r="J15" s="12">
        <f>J12*J14</f>
        <v>0.16461001313889873</v>
      </c>
      <c r="K15" s="12">
        <f>K12*K14</f>
        <v>5.0587016172850277</v>
      </c>
      <c r="L15" s="10"/>
      <c r="M15" s="11" t="s">
        <v>44</v>
      </c>
      <c r="N15" s="10"/>
      <c r="O15" s="12">
        <f>O12*O14</f>
        <v>0.59772091135835881</v>
      </c>
      <c r="P15" s="12">
        <f>P12*P14</f>
        <v>40.390514783654346</v>
      </c>
    </row>
    <row r="16" spans="1:70" ht="14.4" x14ac:dyDescent="0.3">
      <c r="A16" s="9"/>
      <c r="B16" s="10"/>
      <c r="D16" s="10"/>
      <c r="E16" s="10"/>
      <c r="F16" s="10"/>
      <c r="G16" s="10"/>
      <c r="H16" s="11" t="s">
        <v>45</v>
      </c>
      <c r="I16" s="10"/>
      <c r="J16" s="12">
        <f>10*J12</f>
        <v>0.4393176527297763</v>
      </c>
      <c r="K16" s="12">
        <f>10*K12</f>
        <v>13.500861083649445</v>
      </c>
      <c r="L16" s="10"/>
      <c r="M16" s="11" t="s">
        <v>45</v>
      </c>
      <c r="N16" s="10"/>
      <c r="O16" s="12">
        <f>10*O12</f>
        <v>1.5952209878258299</v>
      </c>
      <c r="P16" s="12">
        <f>10*P12</f>
        <v>107.7957884149469</v>
      </c>
    </row>
    <row r="17" spans="1:70" ht="14.4" x14ac:dyDescent="0.3">
      <c r="A17" s="9"/>
      <c r="B17" s="10"/>
      <c r="D17" s="10"/>
      <c r="E17" s="10"/>
      <c r="F17" s="10"/>
      <c r="G17" s="10"/>
      <c r="H17" s="11" t="s">
        <v>46</v>
      </c>
      <c r="I17" s="10"/>
      <c r="J17" s="12"/>
      <c r="K17" s="12"/>
      <c r="L17" s="10"/>
      <c r="M17" s="11" t="s">
        <v>46</v>
      </c>
      <c r="N17" s="10"/>
      <c r="O17" s="12"/>
      <c r="P17" s="12"/>
    </row>
    <row r="18" spans="1:70" ht="14.4" x14ac:dyDescent="0.3">
      <c r="A18" s="9"/>
      <c r="B18" s="10"/>
      <c r="D18" s="10"/>
      <c r="E18" s="10"/>
      <c r="F18" s="10"/>
      <c r="G18" s="10"/>
      <c r="H18" s="11" t="s">
        <v>47</v>
      </c>
      <c r="I18" s="10"/>
      <c r="J18" s="12"/>
      <c r="K18" s="12"/>
      <c r="L18" s="10"/>
      <c r="M18" s="11" t="s">
        <v>47</v>
      </c>
      <c r="N18" s="10"/>
      <c r="O18" s="12"/>
      <c r="P18" s="12"/>
    </row>
    <row r="19" spans="1:70" ht="14.4" x14ac:dyDescent="0.3">
      <c r="A19" s="9"/>
      <c r="B19" s="10"/>
      <c r="D19" s="10"/>
      <c r="E19" s="10"/>
      <c r="F19" s="10"/>
      <c r="G19" s="10"/>
      <c r="H19" s="11" t="s">
        <v>48</v>
      </c>
      <c r="I19" s="10"/>
      <c r="J19" s="12"/>
      <c r="K19" s="12"/>
      <c r="L19" s="10"/>
      <c r="M19" s="11" t="s">
        <v>48</v>
      </c>
      <c r="N19" s="10"/>
      <c r="O19" s="12"/>
      <c r="P19" s="12"/>
    </row>
    <row r="20" spans="1:70" ht="14.4" x14ac:dyDescent="0.3">
      <c r="A20" s="6"/>
      <c r="H20" s="11" t="s">
        <v>49</v>
      </c>
      <c r="J20" s="12">
        <f>J11/J12</f>
        <v>33.825183002924689</v>
      </c>
      <c r="K20" s="12">
        <f>K11/K12</f>
        <v>-0.83846503788631432</v>
      </c>
      <c r="M20" s="11" t="s">
        <v>49</v>
      </c>
      <c r="O20" s="12">
        <f>O11/O12</f>
        <v>5.6706876784068889</v>
      </c>
      <c r="P20" s="12">
        <f>P11/P12</f>
        <v>-0.14731558842421422</v>
      </c>
      <c r="V20" s="4" t="s">
        <v>30</v>
      </c>
      <c r="W20" s="4">
        <f>AVERAGE(W3:W7)</f>
        <v>-1.1319999999999999</v>
      </c>
      <c r="AG20" s="4" t="s">
        <v>30</v>
      </c>
      <c r="AH20" s="4">
        <f>AVERAGE(AH3:AH7)</f>
        <v>-1.5879999999999996</v>
      </c>
    </row>
    <row r="21" spans="1:70" x14ac:dyDescent="0.25">
      <c r="A21" s="6"/>
      <c r="D21" s="4" t="s">
        <v>131</v>
      </c>
      <c r="F21" s="4" t="s">
        <v>129</v>
      </c>
      <c r="J21" s="4" t="s">
        <v>130</v>
      </c>
      <c r="K21" s="4">
        <v>0.41489999999999999</v>
      </c>
      <c r="O21" s="4" t="s">
        <v>130</v>
      </c>
      <c r="P21" s="4">
        <v>0.35039999999999999</v>
      </c>
    </row>
    <row r="22" spans="1:70" ht="15" customHeight="1" x14ac:dyDescent="0.25"/>
    <row r="23" spans="1:70" x14ac:dyDescent="0.25">
      <c r="A23" s="6" t="s">
        <v>31</v>
      </c>
    </row>
    <row r="24" spans="1:70" customFormat="1" ht="14.4" x14ac:dyDescent="0.3">
      <c r="A24" s="1">
        <v>45357</v>
      </c>
      <c r="B24" t="s">
        <v>183</v>
      </c>
      <c r="C24" t="s">
        <v>188</v>
      </c>
      <c r="D24">
        <v>25</v>
      </c>
      <c r="E24">
        <v>1</v>
      </c>
      <c r="F24">
        <v>1</v>
      </c>
      <c r="G24" t="s">
        <v>51</v>
      </c>
      <c r="H24" t="s">
        <v>52</v>
      </c>
      <c r="I24">
        <v>0.16400000000000001</v>
      </c>
      <c r="J24">
        <v>2.91</v>
      </c>
      <c r="K24">
        <v>42.9</v>
      </c>
      <c r="L24" t="s">
        <v>53</v>
      </c>
      <c r="M24" t="s">
        <v>54</v>
      </c>
      <c r="N24">
        <v>0.36799999999999999</v>
      </c>
      <c r="O24">
        <v>5.62</v>
      </c>
      <c r="P24">
        <v>320</v>
      </c>
      <c r="Q24" s="4"/>
      <c r="R24" s="4">
        <v>1</v>
      </c>
      <c r="S24" s="4">
        <v>1</v>
      </c>
      <c r="T24" s="4"/>
      <c r="U24" s="4">
        <f t="shared" ref="U24:U28" si="6">K24*F24</f>
        <v>42.9</v>
      </c>
      <c r="V24" s="4">
        <f t="shared" ref="V24:V28" si="7">IF(R24=1,U24,(U24-0))</f>
        <v>42.9</v>
      </c>
      <c r="W24" s="4">
        <f t="shared" ref="W24:W28" si="8">IF(R24=1,U24,(V24*R24))</f>
        <v>42.9</v>
      </c>
      <c r="X24" s="4"/>
      <c r="Y24" s="4"/>
      <c r="Z24" s="4"/>
      <c r="AA24" s="4"/>
      <c r="AB24" s="4"/>
      <c r="AC24" s="4"/>
      <c r="AD24" s="4">
        <v>1</v>
      </c>
      <c r="AE24" s="4"/>
      <c r="AF24" s="4">
        <f t="shared" ref="AF24:AF28" si="9">P24*F24</f>
        <v>320</v>
      </c>
      <c r="AG24" s="4">
        <f t="shared" ref="AG24:AG28" si="10">IF(R24=1,AF24,(AF24-0))</f>
        <v>320</v>
      </c>
      <c r="AH24" s="4">
        <f t="shared" ref="AH24:AH28" si="11">IF(R24=1,AF24,(AG24*R24))</f>
        <v>320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customFormat="1" ht="14.4" x14ac:dyDescent="0.3">
      <c r="A25" s="1">
        <v>45357</v>
      </c>
      <c r="B25" t="s">
        <v>183</v>
      </c>
      <c r="C25" t="s">
        <v>188</v>
      </c>
      <c r="D25">
        <v>26</v>
      </c>
      <c r="E25">
        <v>1</v>
      </c>
      <c r="F25">
        <v>1</v>
      </c>
      <c r="G25" t="s">
        <v>51</v>
      </c>
      <c r="H25" t="s">
        <v>52</v>
      </c>
      <c r="I25">
        <v>0.16</v>
      </c>
      <c r="J25">
        <v>2.91</v>
      </c>
      <c r="K25">
        <v>43</v>
      </c>
      <c r="L25" t="s">
        <v>53</v>
      </c>
      <c r="M25" t="s">
        <v>54</v>
      </c>
      <c r="N25">
        <v>0.34599999999999997</v>
      </c>
      <c r="O25">
        <v>5.32</v>
      </c>
      <c r="P25">
        <v>299</v>
      </c>
      <c r="Q25" s="4"/>
      <c r="R25" s="4">
        <v>1</v>
      </c>
      <c r="S25" s="4">
        <v>1</v>
      </c>
      <c r="T25" s="4"/>
      <c r="U25" s="4">
        <f t="shared" si="6"/>
        <v>43</v>
      </c>
      <c r="V25" s="4">
        <f t="shared" si="7"/>
        <v>43</v>
      </c>
      <c r="W25" s="4">
        <f t="shared" si="8"/>
        <v>43</v>
      </c>
      <c r="X25" s="4"/>
      <c r="Y25" s="4"/>
      <c r="Z25" s="4"/>
      <c r="AA25" s="4"/>
      <c r="AB25" s="4"/>
      <c r="AC25" s="4"/>
      <c r="AD25" s="4">
        <v>1</v>
      </c>
      <c r="AE25" s="4"/>
      <c r="AF25" s="4">
        <f t="shared" si="9"/>
        <v>299</v>
      </c>
      <c r="AG25" s="4">
        <f t="shared" si="10"/>
        <v>299</v>
      </c>
      <c r="AH25" s="4">
        <f t="shared" si="11"/>
        <v>299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70" customFormat="1" ht="14.4" x14ac:dyDescent="0.3">
      <c r="A26" s="1">
        <v>45357</v>
      </c>
      <c r="B26" t="s">
        <v>183</v>
      </c>
      <c r="C26" t="s">
        <v>188</v>
      </c>
      <c r="D26">
        <v>27</v>
      </c>
      <c r="E26">
        <v>1</v>
      </c>
      <c r="F26">
        <v>1</v>
      </c>
      <c r="G26" t="s">
        <v>51</v>
      </c>
      <c r="H26" t="s">
        <v>52</v>
      </c>
      <c r="I26">
        <v>0.161</v>
      </c>
      <c r="J26">
        <v>2.91</v>
      </c>
      <c r="K26">
        <v>43</v>
      </c>
      <c r="L26" t="s">
        <v>53</v>
      </c>
      <c r="M26" t="s">
        <v>54</v>
      </c>
      <c r="N26">
        <v>0.38600000000000001</v>
      </c>
      <c r="O26">
        <v>6.07</v>
      </c>
      <c r="P26">
        <v>351</v>
      </c>
      <c r="Q26" s="4"/>
      <c r="R26" s="4">
        <v>1</v>
      </c>
      <c r="S26" s="4">
        <v>1</v>
      </c>
      <c r="T26" s="4"/>
      <c r="U26" s="4">
        <f t="shared" si="6"/>
        <v>43</v>
      </c>
      <c r="V26" s="4">
        <f t="shared" si="7"/>
        <v>43</v>
      </c>
      <c r="W26" s="4">
        <f t="shared" si="8"/>
        <v>43</v>
      </c>
      <c r="X26" s="4"/>
      <c r="Y26" s="4"/>
      <c r="Z26" s="4"/>
      <c r="AA26" s="4"/>
      <c r="AB26" s="4"/>
      <c r="AC26" s="4"/>
      <c r="AD26" s="4">
        <v>1</v>
      </c>
      <c r="AE26" s="4"/>
      <c r="AF26" s="4">
        <f t="shared" si="9"/>
        <v>351</v>
      </c>
      <c r="AG26" s="4">
        <f t="shared" si="10"/>
        <v>351</v>
      </c>
      <c r="AH26" s="4">
        <f t="shared" si="11"/>
        <v>351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70" customFormat="1" ht="14.4" x14ac:dyDescent="0.3">
      <c r="A27" s="1">
        <v>45357</v>
      </c>
      <c r="B27" t="s">
        <v>183</v>
      </c>
      <c r="C27" t="s">
        <v>188</v>
      </c>
      <c r="D27">
        <v>28</v>
      </c>
      <c r="E27">
        <v>1</v>
      </c>
      <c r="F27">
        <v>1</v>
      </c>
      <c r="G27" t="s">
        <v>51</v>
      </c>
      <c r="H27" t="s">
        <v>52</v>
      </c>
      <c r="I27">
        <v>0.16</v>
      </c>
      <c r="J27">
        <v>2.85</v>
      </c>
      <c r="K27">
        <v>41.3</v>
      </c>
      <c r="L27" t="s">
        <v>53</v>
      </c>
      <c r="M27" t="s">
        <v>54</v>
      </c>
      <c r="N27">
        <v>0.37</v>
      </c>
      <c r="O27">
        <v>5.84</v>
      </c>
      <c r="P27">
        <v>335</v>
      </c>
      <c r="Q27" s="4"/>
      <c r="R27" s="4">
        <v>1</v>
      </c>
      <c r="S27" s="4">
        <v>1</v>
      </c>
      <c r="T27" s="4"/>
      <c r="U27" s="4">
        <f t="shared" si="6"/>
        <v>41.3</v>
      </c>
      <c r="V27" s="4">
        <f t="shared" si="7"/>
        <v>41.3</v>
      </c>
      <c r="W27" s="4">
        <f t="shared" si="8"/>
        <v>41.3</v>
      </c>
      <c r="X27" s="4"/>
      <c r="Y27" s="4"/>
      <c r="Z27" s="4"/>
      <c r="AA27" s="4"/>
      <c r="AB27" s="4"/>
      <c r="AC27" s="4"/>
      <c r="AD27" s="4">
        <v>1</v>
      </c>
      <c r="AE27" s="4"/>
      <c r="AF27" s="4">
        <f t="shared" si="9"/>
        <v>335</v>
      </c>
      <c r="AG27" s="4">
        <f t="shared" si="10"/>
        <v>335</v>
      </c>
      <c r="AH27" s="4">
        <f t="shared" si="11"/>
        <v>335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:70" customFormat="1" ht="14.4" x14ac:dyDescent="0.3">
      <c r="A28" s="1">
        <v>45357</v>
      </c>
      <c r="B28" t="s">
        <v>183</v>
      </c>
      <c r="C28" t="s">
        <v>188</v>
      </c>
      <c r="D28">
        <v>29</v>
      </c>
      <c r="E28">
        <v>1</v>
      </c>
      <c r="F28">
        <v>1</v>
      </c>
      <c r="G28" t="s">
        <v>51</v>
      </c>
      <c r="H28" t="s">
        <v>52</v>
      </c>
      <c r="I28">
        <v>0.158</v>
      </c>
      <c r="J28">
        <v>2.86</v>
      </c>
      <c r="K28">
        <v>41.4</v>
      </c>
      <c r="L28" t="s">
        <v>53</v>
      </c>
      <c r="M28" t="s">
        <v>54</v>
      </c>
      <c r="N28">
        <v>0.35699999999999998</v>
      </c>
      <c r="O28">
        <v>5.34</v>
      </c>
      <c r="P28">
        <v>301</v>
      </c>
      <c r="Q28" s="4"/>
      <c r="R28" s="4">
        <v>1</v>
      </c>
      <c r="S28" s="4">
        <v>1</v>
      </c>
      <c r="T28" s="4"/>
      <c r="U28" s="4">
        <f t="shared" si="6"/>
        <v>41.4</v>
      </c>
      <c r="V28" s="4">
        <f t="shared" si="7"/>
        <v>41.4</v>
      </c>
      <c r="W28" s="4">
        <f t="shared" si="8"/>
        <v>41.4</v>
      </c>
      <c r="X28" s="4"/>
      <c r="Y28" s="4"/>
      <c r="Z28" s="4"/>
      <c r="AA28" s="4"/>
      <c r="AB28" s="4"/>
      <c r="AC28" s="4"/>
      <c r="AD28" s="4">
        <v>1</v>
      </c>
      <c r="AE28" s="4"/>
      <c r="AF28" s="4">
        <f t="shared" si="9"/>
        <v>301</v>
      </c>
      <c r="AG28" s="4">
        <f t="shared" si="10"/>
        <v>301</v>
      </c>
      <c r="AH28" s="4">
        <f t="shared" si="11"/>
        <v>301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:70" ht="14.4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V29" s="10"/>
      <c r="W29" s="10"/>
      <c r="X29" s="10"/>
      <c r="Y29" s="10"/>
      <c r="Z29" s="10"/>
      <c r="AA29" s="10"/>
    </row>
    <row r="30" spans="1:70" ht="14.4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V30" s="10"/>
      <c r="W30" s="10"/>
      <c r="X30" s="10"/>
      <c r="Y30" s="10"/>
      <c r="Z30" s="10"/>
      <c r="AA30" s="10"/>
    </row>
    <row r="31" spans="1:70" ht="14.4" x14ac:dyDescent="0.3">
      <c r="A31" s="9"/>
      <c r="B31" s="10"/>
      <c r="C31" s="10"/>
      <c r="D31" s="10"/>
      <c r="E31" s="10"/>
      <c r="F31" s="10"/>
      <c r="G31" s="10"/>
      <c r="H31" s="10"/>
      <c r="I31" s="10"/>
      <c r="J31" s="11" t="s">
        <v>32</v>
      </c>
      <c r="K31" s="13">
        <v>40</v>
      </c>
      <c r="L31" s="10"/>
      <c r="M31" s="10"/>
      <c r="N31" s="10"/>
      <c r="O31" s="11" t="s">
        <v>32</v>
      </c>
      <c r="P31" s="13">
        <v>400</v>
      </c>
      <c r="V31" s="11" t="s">
        <v>32</v>
      </c>
      <c r="W31" s="13">
        <v>40</v>
      </c>
      <c r="AG31" s="11" t="s">
        <v>32</v>
      </c>
      <c r="AH31" s="13">
        <v>400</v>
      </c>
    </row>
    <row r="32" spans="1:70" ht="14.4" x14ac:dyDescent="0.3">
      <c r="A32" s="9"/>
      <c r="B32" s="10"/>
      <c r="C32" s="10"/>
      <c r="D32" s="10"/>
      <c r="E32" s="10"/>
      <c r="F32" s="10"/>
      <c r="G32" s="10"/>
      <c r="H32" s="10"/>
      <c r="I32" s="10"/>
      <c r="J32" s="11" t="s">
        <v>40</v>
      </c>
      <c r="K32" s="12">
        <f>AVERAGE(K24:K28)</f>
        <v>42.32</v>
      </c>
      <c r="L32" s="10"/>
      <c r="M32" s="10"/>
      <c r="N32" s="10"/>
      <c r="O32" s="11" t="s">
        <v>40</v>
      </c>
      <c r="P32" s="12">
        <f>AVERAGE(P24:P28)</f>
        <v>321.2</v>
      </c>
      <c r="V32" s="11" t="s">
        <v>40</v>
      </c>
      <c r="W32" s="12">
        <f>AVERAGE(W24:W28)</f>
        <v>42.32</v>
      </c>
      <c r="AG32" s="11" t="s">
        <v>40</v>
      </c>
      <c r="AH32" s="12">
        <f>AVERAGE(AH24:AH28)</f>
        <v>321.2</v>
      </c>
    </row>
    <row r="33" spans="1:70" ht="14.4" x14ac:dyDescent="0.3">
      <c r="A33" s="9"/>
      <c r="B33" s="10"/>
      <c r="D33" s="10"/>
      <c r="E33" s="10"/>
      <c r="F33" s="10"/>
      <c r="G33" s="10"/>
      <c r="H33" s="10"/>
      <c r="I33" s="10"/>
      <c r="J33" s="11" t="s">
        <v>41</v>
      </c>
      <c r="K33" s="12">
        <f>_xlfn.STDEV.S(K24:K28)</f>
        <v>0.88713020464867598</v>
      </c>
      <c r="L33" s="10"/>
      <c r="M33" s="10"/>
      <c r="N33" s="10"/>
      <c r="O33" s="11" t="s">
        <v>41</v>
      </c>
      <c r="P33" s="12">
        <f>_xlfn.STDEV.S(P24:P28)</f>
        <v>22.253089673121796</v>
      </c>
      <c r="V33" s="11" t="s">
        <v>41</v>
      </c>
      <c r="W33" s="12">
        <f>_xlfn.STDEV.S(W24:W28)</f>
        <v>0.88713020464867598</v>
      </c>
      <c r="AG33" s="11" t="s">
        <v>41</v>
      </c>
      <c r="AH33" s="12">
        <f>_xlfn.STDEV.S(AH24:AH28)</f>
        <v>22.253089673121796</v>
      </c>
    </row>
    <row r="34" spans="1:70" ht="14.4" x14ac:dyDescent="0.3">
      <c r="A34" s="9"/>
      <c r="B34" s="10"/>
      <c r="D34" s="10"/>
      <c r="E34" s="10"/>
      <c r="F34" s="10"/>
      <c r="G34" s="10"/>
      <c r="H34" s="10"/>
      <c r="I34" s="10"/>
      <c r="J34" s="11" t="s">
        <v>42</v>
      </c>
      <c r="K34" s="12">
        <f>100*K33/K32</f>
        <v>2.096243394727495</v>
      </c>
      <c r="L34" s="10"/>
      <c r="M34" s="10"/>
      <c r="N34" s="10"/>
      <c r="O34" s="11" t="s">
        <v>42</v>
      </c>
      <c r="P34" s="12">
        <f>100*P33/P32</f>
        <v>6.9281101099382925</v>
      </c>
      <c r="V34" s="11" t="s">
        <v>42</v>
      </c>
      <c r="W34" s="12">
        <f>100*W33/W32</f>
        <v>2.096243394727495</v>
      </c>
      <c r="AG34" s="11" t="s">
        <v>42</v>
      </c>
      <c r="AH34" s="12">
        <f>100*AH33/AH32</f>
        <v>6.9281101099382925</v>
      </c>
    </row>
    <row r="35" spans="1:70" ht="14.4" x14ac:dyDescent="0.3">
      <c r="A35" s="9"/>
      <c r="B35" s="10"/>
      <c r="D35" s="10"/>
      <c r="E35" s="10"/>
      <c r="F35" s="10"/>
      <c r="G35" s="10"/>
      <c r="H35" s="10"/>
      <c r="I35" s="10"/>
      <c r="J35" s="11" t="s">
        <v>43</v>
      </c>
      <c r="K35" s="12">
        <f>TINV(0.02,4)</f>
        <v>3.7469473879791968</v>
      </c>
      <c r="L35" s="10"/>
      <c r="M35" s="10"/>
      <c r="N35" s="10"/>
      <c r="O35" s="11" t="s">
        <v>43</v>
      </c>
      <c r="P35" s="12">
        <f>TINV(0.02,4)</f>
        <v>3.7469473879791968</v>
      </c>
      <c r="V35" s="11" t="s">
        <v>43</v>
      </c>
      <c r="W35" s="12">
        <f>TINV(0.02,4)</f>
        <v>3.7469473879791968</v>
      </c>
      <c r="AG35" s="11" t="s">
        <v>43</v>
      </c>
      <c r="AH35" s="12">
        <f>TINV(0.02,4)</f>
        <v>3.7469473879791968</v>
      </c>
    </row>
    <row r="36" spans="1:70" ht="14.4" x14ac:dyDescent="0.3">
      <c r="A36" s="9"/>
      <c r="B36" s="10"/>
      <c r="D36" s="10"/>
      <c r="E36" s="10"/>
      <c r="F36" s="10"/>
      <c r="G36" s="10"/>
      <c r="H36" s="10"/>
      <c r="I36" s="10"/>
      <c r="J36" s="11" t="s">
        <v>44</v>
      </c>
      <c r="K36" s="12">
        <f>K33*K35</f>
        <v>3.3240302031058069</v>
      </c>
      <c r="L36" s="10"/>
      <c r="M36" s="10"/>
      <c r="N36" s="10"/>
      <c r="O36" s="11" t="s">
        <v>44</v>
      </c>
      <c r="P36" s="12">
        <f>P33*P35</f>
        <v>83.381156225170557</v>
      </c>
      <c r="V36" s="11" t="s">
        <v>44</v>
      </c>
      <c r="W36" s="12">
        <f>W33*W35</f>
        <v>3.3240302031058069</v>
      </c>
      <c r="AG36" s="11" t="s">
        <v>44</v>
      </c>
      <c r="AH36" s="12">
        <f>AH33*AH35</f>
        <v>83.381156225170557</v>
      </c>
    </row>
    <row r="37" spans="1:70" ht="14.4" x14ac:dyDescent="0.3">
      <c r="A37" s="9"/>
      <c r="B37" s="10"/>
      <c r="D37" s="10"/>
      <c r="E37" s="10"/>
      <c r="F37" s="10"/>
      <c r="G37" s="10"/>
      <c r="H37" s="10"/>
      <c r="I37" s="10"/>
      <c r="J37" s="11" t="s">
        <v>45</v>
      </c>
      <c r="K37" s="12">
        <f>10*K33</f>
        <v>8.8713020464867594</v>
      </c>
      <c r="L37" s="10"/>
      <c r="M37" s="10"/>
      <c r="N37" s="10"/>
      <c r="O37" s="11" t="s">
        <v>45</v>
      </c>
      <c r="P37" s="12">
        <f>10*P33</f>
        <v>222.53089673121795</v>
      </c>
      <c r="V37" s="11" t="s">
        <v>45</v>
      </c>
      <c r="W37" s="12">
        <f>10*W33</f>
        <v>8.8713020464867594</v>
      </c>
      <c r="AG37" s="11" t="s">
        <v>45</v>
      </c>
      <c r="AH37" s="12">
        <f>10*AH33</f>
        <v>222.53089673121795</v>
      </c>
    </row>
    <row r="38" spans="1:70" ht="14.4" x14ac:dyDescent="0.3">
      <c r="A38" s="9"/>
      <c r="B38" s="10"/>
      <c r="D38" s="10"/>
      <c r="E38" s="10"/>
      <c r="F38" s="10"/>
      <c r="G38" s="10"/>
      <c r="H38" s="10"/>
      <c r="I38" s="10"/>
      <c r="J38" s="11" t="s">
        <v>46</v>
      </c>
      <c r="K38" s="12">
        <f>100*(K32-K31)/K31</f>
        <v>5.8000000000000007</v>
      </c>
      <c r="L38" s="10"/>
      <c r="M38" s="10"/>
      <c r="N38" s="10"/>
      <c r="O38" s="11" t="s">
        <v>46</v>
      </c>
      <c r="P38" s="12">
        <f>100*(P32-P31)/P31</f>
        <v>-19.700000000000003</v>
      </c>
      <c r="V38" s="11" t="s">
        <v>46</v>
      </c>
      <c r="W38" s="12">
        <f>100*(W32-W31)/W31</f>
        <v>5.8000000000000007</v>
      </c>
      <c r="AG38" s="11" t="s">
        <v>46</v>
      </c>
      <c r="AH38" s="12">
        <f>100*(AH32-AH31)/AH31</f>
        <v>-19.700000000000003</v>
      </c>
    </row>
    <row r="39" spans="1:70" ht="14.4" x14ac:dyDescent="0.3">
      <c r="A39" s="9"/>
      <c r="B39" s="10"/>
      <c r="D39" s="10"/>
      <c r="E39" s="10"/>
      <c r="F39" s="10"/>
      <c r="G39" s="10"/>
      <c r="H39" s="10"/>
      <c r="I39" s="10"/>
      <c r="J39" s="11" t="s">
        <v>47</v>
      </c>
      <c r="K39" s="12"/>
      <c r="L39" s="10"/>
      <c r="M39" s="10"/>
      <c r="N39" s="10"/>
      <c r="O39" s="11" t="s">
        <v>47</v>
      </c>
      <c r="P39" s="12"/>
      <c r="V39" s="11" t="s">
        <v>47</v>
      </c>
      <c r="W39" s="12"/>
      <c r="AG39" s="11" t="s">
        <v>47</v>
      </c>
      <c r="AH39" s="12"/>
    </row>
    <row r="40" spans="1:70" ht="14.4" x14ac:dyDescent="0.3">
      <c r="A40" s="9"/>
      <c r="B40" s="10"/>
      <c r="D40" s="10"/>
      <c r="E40" s="10"/>
      <c r="F40" s="10"/>
      <c r="G40" s="10"/>
      <c r="H40" s="10"/>
      <c r="I40" s="10"/>
      <c r="J40" s="11" t="s">
        <v>48</v>
      </c>
      <c r="K40" s="12"/>
      <c r="L40" s="10"/>
      <c r="M40" s="10"/>
      <c r="N40" s="10"/>
      <c r="O40" s="11" t="s">
        <v>48</v>
      </c>
      <c r="P40" s="12"/>
      <c r="V40" s="11" t="s">
        <v>48</v>
      </c>
      <c r="W40" s="12"/>
      <c r="AG40" s="11" t="s">
        <v>48</v>
      </c>
      <c r="AH40" s="12"/>
    </row>
    <row r="41" spans="1:70" ht="14.4" x14ac:dyDescent="0.3">
      <c r="A41" s="6"/>
      <c r="J41" s="11" t="s">
        <v>49</v>
      </c>
      <c r="K41" s="12">
        <f>K32/K33</f>
        <v>47.704384067003666</v>
      </c>
      <c r="O41" s="11" t="s">
        <v>49</v>
      </c>
      <c r="P41" s="12">
        <f>P32/P33</f>
        <v>14.433950733050731</v>
      </c>
      <c r="V41" s="11" t="s">
        <v>49</v>
      </c>
      <c r="W41" s="12">
        <f>W32/W33</f>
        <v>47.704384067003666</v>
      </c>
      <c r="AG41" s="11" t="s">
        <v>49</v>
      </c>
      <c r="AH41" s="12">
        <f>AH32/AH33</f>
        <v>14.433950733050731</v>
      </c>
    </row>
    <row r="42" spans="1:70" ht="14.4" x14ac:dyDescent="0.3">
      <c r="A42" s="6"/>
      <c r="J42" s="11"/>
      <c r="K42" s="12"/>
      <c r="O42" s="11"/>
      <c r="P42" s="12"/>
    </row>
    <row r="44" spans="1:70" x14ac:dyDescent="0.25">
      <c r="A44" s="6" t="s">
        <v>66</v>
      </c>
    </row>
    <row r="45" spans="1:70" customFormat="1" ht="14.4" x14ac:dyDescent="0.3">
      <c r="A45" s="1">
        <v>45357</v>
      </c>
      <c r="B45" t="s">
        <v>183</v>
      </c>
      <c r="C45" t="s">
        <v>73</v>
      </c>
      <c r="D45">
        <v>30</v>
      </c>
      <c r="E45">
        <v>1</v>
      </c>
      <c r="F45">
        <v>1</v>
      </c>
      <c r="G45" t="s">
        <v>51</v>
      </c>
      <c r="H45" t="s">
        <v>52</v>
      </c>
      <c r="I45">
        <v>0.13400000000000001</v>
      </c>
      <c r="J45">
        <v>2.2400000000000002</v>
      </c>
      <c r="K45">
        <v>22.5</v>
      </c>
      <c r="L45" t="s">
        <v>53</v>
      </c>
      <c r="M45" t="s">
        <v>54</v>
      </c>
      <c r="N45">
        <v>0.223</v>
      </c>
      <c r="O45">
        <v>3.55</v>
      </c>
      <c r="P45">
        <v>179</v>
      </c>
      <c r="Q45" s="4"/>
      <c r="R45" s="4">
        <v>1</v>
      </c>
      <c r="S45" s="4">
        <v>1</v>
      </c>
      <c r="T45" s="4"/>
      <c r="U45" s="4">
        <f t="shared" ref="U45:U49" si="12">K45</f>
        <v>22.5</v>
      </c>
      <c r="V45" s="4">
        <f t="shared" ref="V45:V49" si="13">IF(R45=1,U45,(U45-6.8))</f>
        <v>22.5</v>
      </c>
      <c r="W45" s="4">
        <f t="shared" ref="W45:W49" si="14">IF(R45=1,U45,(V45*R45))</f>
        <v>22.5</v>
      </c>
      <c r="X45" s="4"/>
      <c r="Y45" s="4"/>
      <c r="Z45" s="4"/>
      <c r="AA45" s="4"/>
      <c r="AB45" s="4"/>
      <c r="AC45" s="4"/>
      <c r="AD45" s="4">
        <v>1</v>
      </c>
      <c r="AE45" s="4"/>
      <c r="AF45" s="4">
        <f t="shared" ref="AF45:AF49" si="15">P45</f>
        <v>179</v>
      </c>
      <c r="AG45" s="4">
        <f t="shared" ref="AG45:AG49" si="16">IF(R45=1,AF45,(AF45-379))</f>
        <v>179</v>
      </c>
      <c r="AH45" s="4">
        <f t="shared" ref="AH45:AH49" si="17">IF(R45=1,AF45,(AG45*R45))</f>
        <v>179</v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:70" customFormat="1" ht="14.4" x14ac:dyDescent="0.3">
      <c r="A46" s="1">
        <v>45357</v>
      </c>
      <c r="B46" t="s">
        <v>183</v>
      </c>
      <c r="C46" t="s">
        <v>73</v>
      </c>
      <c r="D46">
        <v>31</v>
      </c>
      <c r="E46">
        <v>1</v>
      </c>
      <c r="F46">
        <v>1</v>
      </c>
      <c r="G46" t="s">
        <v>51</v>
      </c>
      <c r="H46" t="s">
        <v>52</v>
      </c>
      <c r="I46">
        <v>0.126</v>
      </c>
      <c r="J46">
        <v>2.2200000000000002</v>
      </c>
      <c r="K46">
        <v>21.9</v>
      </c>
      <c r="L46" t="s">
        <v>53</v>
      </c>
      <c r="M46" t="s">
        <v>54</v>
      </c>
      <c r="N46">
        <v>0.23200000000000001</v>
      </c>
      <c r="O46">
        <v>3.74</v>
      </c>
      <c r="P46">
        <v>191</v>
      </c>
      <c r="Q46" s="4"/>
      <c r="R46" s="4">
        <v>1</v>
      </c>
      <c r="S46" s="4">
        <v>1</v>
      </c>
      <c r="T46" s="4"/>
      <c r="U46" s="4">
        <f t="shared" si="12"/>
        <v>21.9</v>
      </c>
      <c r="V46" s="4">
        <f t="shared" si="13"/>
        <v>21.9</v>
      </c>
      <c r="W46" s="4">
        <f t="shared" si="14"/>
        <v>21.9</v>
      </c>
      <c r="X46" s="4"/>
      <c r="Y46" s="4"/>
      <c r="Z46" s="4"/>
      <c r="AA46" s="4"/>
      <c r="AB46" s="4"/>
      <c r="AC46" s="4"/>
      <c r="AD46" s="4">
        <v>1</v>
      </c>
      <c r="AE46" s="4"/>
      <c r="AF46" s="4">
        <f t="shared" si="15"/>
        <v>191</v>
      </c>
      <c r="AG46" s="4">
        <f t="shared" si="16"/>
        <v>191</v>
      </c>
      <c r="AH46" s="4">
        <f t="shared" si="17"/>
        <v>191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:70" customFormat="1" ht="14.4" x14ac:dyDescent="0.3">
      <c r="A47" s="1">
        <v>45357</v>
      </c>
      <c r="B47" t="s">
        <v>183</v>
      </c>
      <c r="C47" t="s">
        <v>73</v>
      </c>
      <c r="D47">
        <v>32</v>
      </c>
      <c r="E47">
        <v>1</v>
      </c>
      <c r="F47">
        <v>1</v>
      </c>
      <c r="G47" t="s">
        <v>51</v>
      </c>
      <c r="H47" t="s">
        <v>52</v>
      </c>
      <c r="I47">
        <v>0.128</v>
      </c>
      <c r="J47">
        <v>2.2599999999999998</v>
      </c>
      <c r="K47">
        <v>23</v>
      </c>
      <c r="L47" t="s">
        <v>53</v>
      </c>
      <c r="M47" t="s">
        <v>54</v>
      </c>
      <c r="N47">
        <v>0.21299999999999999</v>
      </c>
      <c r="O47">
        <v>3.28</v>
      </c>
      <c r="P47">
        <v>160</v>
      </c>
      <c r="Q47" s="4"/>
      <c r="R47" s="4">
        <v>1</v>
      </c>
      <c r="S47" s="4">
        <v>1</v>
      </c>
      <c r="T47" s="4"/>
      <c r="U47" s="4">
        <f t="shared" si="12"/>
        <v>23</v>
      </c>
      <c r="V47" s="4">
        <f t="shared" si="13"/>
        <v>23</v>
      </c>
      <c r="W47" s="4">
        <f t="shared" si="14"/>
        <v>23</v>
      </c>
      <c r="X47" s="4"/>
      <c r="Y47" s="4"/>
      <c r="Z47" s="4"/>
      <c r="AA47" s="4"/>
      <c r="AB47" s="4"/>
      <c r="AC47" s="4"/>
      <c r="AD47" s="4">
        <v>1</v>
      </c>
      <c r="AE47" s="4"/>
      <c r="AF47" s="4">
        <f t="shared" si="15"/>
        <v>160</v>
      </c>
      <c r="AG47" s="4">
        <f t="shared" si="16"/>
        <v>160</v>
      </c>
      <c r="AH47" s="4">
        <f t="shared" si="17"/>
        <v>160</v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:70" customFormat="1" ht="14.4" x14ac:dyDescent="0.3">
      <c r="A48" s="1">
        <v>45357</v>
      </c>
      <c r="B48" t="s">
        <v>183</v>
      </c>
      <c r="C48" t="s">
        <v>73</v>
      </c>
      <c r="D48">
        <v>33</v>
      </c>
      <c r="E48">
        <v>1</v>
      </c>
      <c r="F48">
        <v>1</v>
      </c>
      <c r="G48" t="s">
        <v>51</v>
      </c>
      <c r="H48" t="s">
        <v>52</v>
      </c>
      <c r="I48">
        <v>0.126</v>
      </c>
      <c r="J48">
        <v>2.2400000000000002</v>
      </c>
      <c r="K48">
        <v>22.4</v>
      </c>
      <c r="L48" t="s">
        <v>53</v>
      </c>
      <c r="M48" t="s">
        <v>54</v>
      </c>
      <c r="N48">
        <v>0.23100000000000001</v>
      </c>
      <c r="O48">
        <v>3.82</v>
      </c>
      <c r="P48">
        <v>197</v>
      </c>
      <c r="Q48" s="4"/>
      <c r="R48" s="4">
        <v>1</v>
      </c>
      <c r="S48" s="4">
        <v>1</v>
      </c>
      <c r="T48" s="4"/>
      <c r="U48" s="4">
        <f t="shared" si="12"/>
        <v>22.4</v>
      </c>
      <c r="V48" s="4">
        <f t="shared" si="13"/>
        <v>22.4</v>
      </c>
      <c r="W48" s="4">
        <f t="shared" si="14"/>
        <v>22.4</v>
      </c>
      <c r="X48" s="4"/>
      <c r="Y48" s="4"/>
      <c r="Z48" s="4"/>
      <c r="AA48" s="4"/>
      <c r="AB48" s="4"/>
      <c r="AC48" s="4"/>
      <c r="AD48" s="4">
        <v>1</v>
      </c>
      <c r="AE48" s="4"/>
      <c r="AF48" s="4">
        <f t="shared" si="15"/>
        <v>197</v>
      </c>
      <c r="AG48" s="4">
        <f t="shared" si="16"/>
        <v>197</v>
      </c>
      <c r="AH48" s="4">
        <f t="shared" si="17"/>
        <v>197</v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:70" customFormat="1" ht="14.4" x14ac:dyDescent="0.3">
      <c r="A49" s="1">
        <v>45357</v>
      </c>
      <c r="B49" t="s">
        <v>183</v>
      </c>
      <c r="C49" t="s">
        <v>73</v>
      </c>
      <c r="D49">
        <v>34</v>
      </c>
      <c r="E49">
        <v>1</v>
      </c>
      <c r="F49">
        <v>1</v>
      </c>
      <c r="G49" t="s">
        <v>51</v>
      </c>
      <c r="H49" t="s">
        <v>52</v>
      </c>
      <c r="I49">
        <v>0.128</v>
      </c>
      <c r="J49">
        <v>2.2599999999999998</v>
      </c>
      <c r="K49">
        <v>23</v>
      </c>
      <c r="L49" t="s">
        <v>53</v>
      </c>
      <c r="M49" t="s">
        <v>54</v>
      </c>
      <c r="N49">
        <v>0.22500000000000001</v>
      </c>
      <c r="O49">
        <v>3.66</v>
      </c>
      <c r="P49">
        <v>186</v>
      </c>
      <c r="Q49" s="4"/>
      <c r="R49" s="4">
        <v>1</v>
      </c>
      <c r="S49" s="4">
        <v>1</v>
      </c>
      <c r="T49" s="4"/>
      <c r="U49" s="4">
        <f t="shared" si="12"/>
        <v>23</v>
      </c>
      <c r="V49" s="4">
        <f t="shared" si="13"/>
        <v>23</v>
      </c>
      <c r="W49" s="4">
        <f t="shared" si="14"/>
        <v>23</v>
      </c>
      <c r="X49" s="4"/>
      <c r="Y49" s="4"/>
      <c r="Z49" s="4"/>
      <c r="AA49" s="4"/>
      <c r="AB49" s="4"/>
      <c r="AC49" s="4"/>
      <c r="AD49" s="4">
        <v>1</v>
      </c>
      <c r="AE49" s="4"/>
      <c r="AF49" s="4">
        <f t="shared" si="15"/>
        <v>186</v>
      </c>
      <c r="AG49" s="4">
        <f t="shared" si="16"/>
        <v>186</v>
      </c>
      <c r="AH49" s="4">
        <f t="shared" si="17"/>
        <v>186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2" spans="1:70" ht="14.4" x14ac:dyDescent="0.3">
      <c r="A52" s="9"/>
      <c r="B52" s="10"/>
      <c r="C52" s="10"/>
      <c r="D52" s="10"/>
      <c r="E52" s="10"/>
      <c r="F52" s="10"/>
      <c r="G52" s="10"/>
      <c r="H52" s="10"/>
      <c r="I52" s="10"/>
      <c r="J52" s="11" t="s">
        <v>32</v>
      </c>
      <c r="K52" s="13">
        <v>25</v>
      </c>
      <c r="L52" s="10"/>
      <c r="M52" s="10"/>
      <c r="N52" s="10"/>
      <c r="O52" s="11" t="s">
        <v>32</v>
      </c>
      <c r="P52" s="13">
        <v>250</v>
      </c>
      <c r="V52" s="11" t="s">
        <v>32</v>
      </c>
      <c r="W52" s="13">
        <v>25</v>
      </c>
      <c r="AG52" s="11" t="s">
        <v>32</v>
      </c>
      <c r="AH52" s="13">
        <v>250</v>
      </c>
    </row>
    <row r="53" spans="1:70" ht="14.4" x14ac:dyDescent="0.3">
      <c r="A53" s="9"/>
      <c r="B53" s="10"/>
      <c r="C53" s="10"/>
      <c r="D53" s="10"/>
      <c r="E53" s="10"/>
      <c r="F53" s="10"/>
      <c r="G53" s="10"/>
      <c r="H53" s="10"/>
      <c r="I53" s="10"/>
      <c r="J53" s="11" t="s">
        <v>40</v>
      </c>
      <c r="K53" s="12">
        <f>AVERAGE(K45:K49)</f>
        <v>22.560000000000002</v>
      </c>
      <c r="L53" s="10"/>
      <c r="M53" s="10"/>
      <c r="N53" s="10"/>
      <c r="O53" s="11" t="s">
        <v>40</v>
      </c>
      <c r="P53" s="12">
        <f>AVERAGE(P45:P49)</f>
        <v>182.6</v>
      </c>
      <c r="V53" s="11" t="s">
        <v>40</v>
      </c>
      <c r="W53" s="12">
        <f>AVERAGE(W45:W49)</f>
        <v>22.560000000000002</v>
      </c>
      <c r="AG53" s="11" t="s">
        <v>40</v>
      </c>
      <c r="AH53" s="12">
        <f>AVERAGE(AH45:AH49)</f>
        <v>182.6</v>
      </c>
    </row>
    <row r="54" spans="1:70" ht="14.4" x14ac:dyDescent="0.3">
      <c r="A54" s="9"/>
      <c r="B54" s="10"/>
      <c r="D54" s="10"/>
      <c r="E54" s="10"/>
      <c r="F54" s="10"/>
      <c r="G54" s="10"/>
      <c r="H54" s="10"/>
      <c r="I54" s="10"/>
      <c r="J54" s="11" t="s">
        <v>41</v>
      </c>
      <c r="K54" s="12">
        <f>_xlfn.STDEV.S(K45:K49)</f>
        <v>0.46151923036857367</v>
      </c>
      <c r="L54" s="10"/>
      <c r="M54" s="10"/>
      <c r="N54" s="10"/>
      <c r="O54" s="11" t="s">
        <v>41</v>
      </c>
      <c r="P54" s="12">
        <f>_xlfn.STDEV.S(P45:P49)</f>
        <v>14.25833089811006</v>
      </c>
      <c r="V54" s="11" t="s">
        <v>41</v>
      </c>
      <c r="W54" s="12">
        <f>_xlfn.STDEV.S(W45:W49)</f>
        <v>0.46151923036857367</v>
      </c>
      <c r="AG54" s="11" t="s">
        <v>41</v>
      </c>
      <c r="AH54" s="12">
        <f>_xlfn.STDEV.S(AH45:AH49)</f>
        <v>14.25833089811006</v>
      </c>
    </row>
    <row r="55" spans="1:70" ht="14.4" x14ac:dyDescent="0.3">
      <c r="A55" s="9"/>
      <c r="B55" s="10"/>
      <c r="D55" s="10"/>
      <c r="E55" s="10"/>
      <c r="F55" s="10"/>
      <c r="G55" s="10"/>
      <c r="H55" s="10"/>
      <c r="I55" s="10"/>
      <c r="J55" s="11" t="s">
        <v>42</v>
      </c>
      <c r="K55" s="12">
        <f>100*K54/K53</f>
        <v>2.0457412693642447</v>
      </c>
      <c r="L55" s="10"/>
      <c r="M55" s="10"/>
      <c r="N55" s="10"/>
      <c r="O55" s="11" t="s">
        <v>42</v>
      </c>
      <c r="P55" s="12">
        <f>100*P54/P53</f>
        <v>7.8085054206517306</v>
      </c>
      <c r="V55" s="11" t="s">
        <v>42</v>
      </c>
      <c r="W55" s="12">
        <f>100*W54/W53</f>
        <v>2.0457412693642447</v>
      </c>
      <c r="AG55" s="11" t="s">
        <v>42</v>
      </c>
      <c r="AH55" s="12">
        <f>100*AH54/AH53</f>
        <v>7.8085054206517306</v>
      </c>
    </row>
    <row r="56" spans="1:70" ht="14.4" x14ac:dyDescent="0.3">
      <c r="A56" s="9"/>
      <c r="B56" s="10"/>
      <c r="D56" s="10"/>
      <c r="E56" s="10"/>
      <c r="F56" s="10"/>
      <c r="G56" s="10"/>
      <c r="H56" s="10"/>
      <c r="I56" s="10"/>
      <c r="J56" s="11" t="s">
        <v>43</v>
      </c>
      <c r="K56" s="12">
        <f>TINV(0.02,4)</f>
        <v>3.7469473879791968</v>
      </c>
      <c r="L56" s="10"/>
      <c r="M56" s="10"/>
      <c r="N56" s="10"/>
      <c r="O56" s="11" t="s">
        <v>43</v>
      </c>
      <c r="P56" s="12">
        <f>TINV(0.02,4)</f>
        <v>3.7469473879791968</v>
      </c>
      <c r="V56" s="11" t="s">
        <v>43</v>
      </c>
      <c r="W56" s="12">
        <f>TINV(0.02,4)</f>
        <v>3.7469473879791968</v>
      </c>
      <c r="AG56" s="11" t="s">
        <v>43</v>
      </c>
      <c r="AH56" s="12">
        <f>TINV(0.02,4)</f>
        <v>3.7469473879791968</v>
      </c>
    </row>
    <row r="57" spans="1:70" ht="14.4" x14ac:dyDescent="0.3">
      <c r="A57" s="9"/>
      <c r="B57" s="10"/>
      <c r="D57" s="10"/>
      <c r="E57" s="10"/>
      <c r="F57" s="10"/>
      <c r="G57" s="10"/>
      <c r="H57" s="10"/>
      <c r="I57" s="10"/>
      <c r="J57" s="11" t="s">
        <v>44</v>
      </c>
      <c r="K57" s="12">
        <f>K54*K56</f>
        <v>1.7292882747316962</v>
      </c>
      <c r="L57" s="10"/>
      <c r="M57" s="10"/>
      <c r="N57" s="10"/>
      <c r="O57" s="11" t="s">
        <v>44</v>
      </c>
      <c r="P57" s="12">
        <f>P54*P56</f>
        <v>53.425215715616567</v>
      </c>
      <c r="V57" s="11" t="s">
        <v>44</v>
      </c>
      <c r="W57" s="12">
        <f>W54*W56</f>
        <v>1.7292882747316962</v>
      </c>
      <c r="AG57" s="11" t="s">
        <v>44</v>
      </c>
      <c r="AH57" s="12">
        <f>AH54*AH56</f>
        <v>53.425215715616567</v>
      </c>
    </row>
    <row r="58" spans="1:70" ht="14.4" x14ac:dyDescent="0.3">
      <c r="A58" s="9"/>
      <c r="B58" s="10"/>
      <c r="D58" s="10"/>
      <c r="E58" s="10"/>
      <c r="F58" s="10"/>
      <c r="G58" s="10"/>
      <c r="H58" s="10"/>
      <c r="I58" s="10"/>
      <c r="J58" s="11" t="s">
        <v>45</v>
      </c>
      <c r="K58" s="12">
        <f>10*K54</f>
        <v>4.6151923036857365</v>
      </c>
      <c r="L58" s="10"/>
      <c r="M58" s="10"/>
      <c r="N58" s="10"/>
      <c r="O58" s="11" t="s">
        <v>45</v>
      </c>
      <c r="P58" s="12">
        <f>10*P54</f>
        <v>142.5833089811006</v>
      </c>
      <c r="V58" s="11" t="s">
        <v>45</v>
      </c>
      <c r="W58" s="12">
        <f>10*W54</f>
        <v>4.6151923036857365</v>
      </c>
      <c r="AG58" s="11" t="s">
        <v>45</v>
      </c>
      <c r="AH58" s="12">
        <f>10*AH54</f>
        <v>142.5833089811006</v>
      </c>
    </row>
    <row r="59" spans="1:70" ht="14.4" x14ac:dyDescent="0.3">
      <c r="A59" s="9"/>
      <c r="B59" s="10"/>
      <c r="D59" s="10"/>
      <c r="E59" s="10"/>
      <c r="F59" s="10"/>
      <c r="G59" s="10"/>
      <c r="H59" s="10"/>
      <c r="I59" s="10"/>
      <c r="J59" s="11" t="s">
        <v>46</v>
      </c>
      <c r="K59" s="12">
        <f>100*(K53-K52)/K52</f>
        <v>-9.7599999999999909</v>
      </c>
      <c r="L59" s="10"/>
      <c r="M59" s="10"/>
      <c r="N59" s="10"/>
      <c r="O59" s="11" t="s">
        <v>46</v>
      </c>
      <c r="P59" s="12">
        <f>100*(P53-P52)/P52</f>
        <v>-26.960000000000004</v>
      </c>
      <c r="V59" s="11" t="s">
        <v>46</v>
      </c>
      <c r="W59" s="12">
        <f>100*(W53-W52)/W52</f>
        <v>-9.7599999999999909</v>
      </c>
      <c r="AG59" s="11" t="s">
        <v>46</v>
      </c>
      <c r="AH59" s="12">
        <f>100*(AH53-AH52)/AH52</f>
        <v>-26.960000000000004</v>
      </c>
    </row>
    <row r="60" spans="1:70" ht="14.4" x14ac:dyDescent="0.3">
      <c r="A60" s="9"/>
      <c r="B60" s="10"/>
      <c r="D60" s="10"/>
      <c r="E60" s="10"/>
      <c r="F60" s="10"/>
      <c r="G60" s="10"/>
      <c r="H60" s="10"/>
      <c r="I60" s="10"/>
      <c r="J60" s="11" t="s">
        <v>47</v>
      </c>
      <c r="K60" s="12"/>
      <c r="L60" s="10"/>
      <c r="M60" s="10"/>
      <c r="N60" s="10"/>
      <c r="O60" s="11" t="s">
        <v>47</v>
      </c>
      <c r="P60" s="12"/>
      <c r="V60" s="11" t="s">
        <v>47</v>
      </c>
      <c r="W60" s="12"/>
      <c r="AG60" s="11" t="s">
        <v>47</v>
      </c>
      <c r="AH60" s="12"/>
    </row>
    <row r="61" spans="1:70" ht="14.4" x14ac:dyDescent="0.3">
      <c r="A61" s="9"/>
      <c r="B61" s="10"/>
      <c r="D61" s="10"/>
      <c r="E61" s="10"/>
      <c r="F61" s="10"/>
      <c r="G61" s="10"/>
      <c r="H61" s="10"/>
      <c r="I61" s="10"/>
      <c r="J61" s="11" t="s">
        <v>48</v>
      </c>
      <c r="K61" s="12"/>
      <c r="L61" s="10"/>
      <c r="M61" s="10"/>
      <c r="N61" s="10"/>
      <c r="O61" s="11" t="s">
        <v>48</v>
      </c>
      <c r="P61" s="12"/>
      <c r="V61" s="11" t="s">
        <v>48</v>
      </c>
      <c r="W61" s="12"/>
      <c r="AG61" s="11" t="s">
        <v>48</v>
      </c>
      <c r="AH61" s="12"/>
    </row>
    <row r="62" spans="1:70" ht="14.4" x14ac:dyDescent="0.3">
      <c r="A62" s="6"/>
      <c r="J62" s="11" t="s">
        <v>49</v>
      </c>
      <c r="K62" s="12">
        <f>K53/K54</f>
        <v>48.88203679396711</v>
      </c>
      <c r="O62" s="11" t="s">
        <v>49</v>
      </c>
      <c r="P62" s="12">
        <f>P53/P54</f>
        <v>12.806548066871109</v>
      </c>
      <c r="V62" s="11" t="s">
        <v>49</v>
      </c>
      <c r="W62" s="12">
        <f>W53/W54</f>
        <v>48.88203679396711</v>
      </c>
      <c r="AG62" s="11" t="s">
        <v>49</v>
      </c>
      <c r="AH62" s="12">
        <f>AH53/AH54</f>
        <v>12.806548066871109</v>
      </c>
    </row>
    <row r="65" spans="1:70" x14ac:dyDescent="0.25">
      <c r="A65" s="6"/>
    </row>
    <row r="66" spans="1:70" customFormat="1" ht="14.4" x14ac:dyDescent="0.3">
      <c r="A66" s="1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</row>
    <row r="67" spans="1:70" customFormat="1" ht="14.4" x14ac:dyDescent="0.3">
      <c r="A67" s="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</row>
    <row r="68" spans="1:70" customFormat="1" ht="14.4" x14ac:dyDescent="0.3">
      <c r="A68" s="1"/>
      <c r="R68" s="4"/>
      <c r="S68" s="4"/>
      <c r="T68" s="4"/>
      <c r="U68" s="4"/>
      <c r="V68" s="4"/>
      <c r="W68" s="4"/>
      <c r="X68" s="4"/>
      <c r="Y68" s="4"/>
      <c r="AD68" s="4"/>
      <c r="AE68" s="4"/>
      <c r="AF68" s="4"/>
      <c r="AG68" s="4"/>
      <c r="AH68" s="4"/>
      <c r="AO68" s="4"/>
      <c r="AP68" s="4"/>
      <c r="AQ68" s="4"/>
    </row>
    <row r="69" spans="1:70" customFormat="1" ht="14.4" x14ac:dyDescent="0.3">
      <c r="A69" s="1"/>
      <c r="R69" s="4"/>
      <c r="S69" s="4"/>
      <c r="T69" s="4"/>
      <c r="U69" s="4"/>
      <c r="V69" s="4"/>
      <c r="W69" s="4"/>
      <c r="X69" s="4"/>
      <c r="Y69" s="4"/>
      <c r="AD69" s="4"/>
      <c r="AE69" s="4"/>
      <c r="AF69" s="4"/>
      <c r="AG69" s="4"/>
      <c r="AH69" s="4"/>
      <c r="AI69" s="4"/>
      <c r="AJ69" s="4"/>
      <c r="AO69" s="4"/>
      <c r="AP69" s="4"/>
      <c r="AQ69" s="4"/>
    </row>
    <row r="70" spans="1:70" customFormat="1" ht="14.4" x14ac:dyDescent="0.3">
      <c r="A70" s="1"/>
      <c r="R70" s="4"/>
      <c r="S70" s="4"/>
      <c r="T70" s="4"/>
      <c r="U70" s="4"/>
      <c r="V70" s="4"/>
      <c r="W70" s="4"/>
      <c r="X70" s="4"/>
      <c r="Y70" s="4"/>
      <c r="AD70" s="4"/>
      <c r="AE70" s="4"/>
      <c r="AF70" s="4"/>
      <c r="AG70" s="4"/>
      <c r="AH70" s="4"/>
      <c r="AI70" s="4"/>
      <c r="AJ70" s="4"/>
      <c r="AO70" s="4"/>
      <c r="AP70" s="4"/>
      <c r="AQ70" s="4"/>
    </row>
    <row r="73" spans="1:70" ht="14.4" x14ac:dyDescent="0.3">
      <c r="A73" s="9"/>
      <c r="B73" s="10"/>
      <c r="C73" s="10"/>
      <c r="D73" s="10"/>
      <c r="E73" s="10"/>
      <c r="F73" s="10"/>
      <c r="G73" s="10"/>
      <c r="H73" s="11"/>
      <c r="I73" s="10"/>
      <c r="J73" s="11"/>
      <c r="K73" s="13"/>
      <c r="L73" s="10"/>
      <c r="M73" s="11"/>
      <c r="N73" s="10"/>
      <c r="O73" s="11"/>
      <c r="P73" s="13"/>
      <c r="V73" s="11"/>
      <c r="W73" s="13"/>
      <c r="AG73" s="11"/>
      <c r="AH73" s="13"/>
    </row>
    <row r="74" spans="1:70" ht="14.4" x14ac:dyDescent="0.3">
      <c r="A74" s="9"/>
      <c r="B74" s="10"/>
      <c r="C74" s="10"/>
      <c r="D74" s="10"/>
      <c r="E74" s="10"/>
      <c r="F74" s="10"/>
      <c r="G74" s="10"/>
      <c r="H74" s="11"/>
      <c r="I74" s="10"/>
      <c r="J74" s="12"/>
      <c r="K74" s="12"/>
      <c r="L74" s="10"/>
      <c r="M74" s="11"/>
      <c r="N74" s="10"/>
      <c r="O74" s="12"/>
      <c r="P74" s="12"/>
      <c r="V74" s="11"/>
      <c r="W74" s="12"/>
      <c r="AG74" s="11"/>
      <c r="AH74" s="12"/>
    </row>
    <row r="75" spans="1:70" ht="14.4" x14ac:dyDescent="0.3">
      <c r="A75" s="9"/>
      <c r="B75" s="10"/>
      <c r="D75" s="10"/>
      <c r="E75" s="10"/>
      <c r="F75" s="10"/>
      <c r="G75" s="10"/>
      <c r="H75" s="11"/>
      <c r="I75" s="10"/>
      <c r="J75" s="12"/>
      <c r="K75" s="12"/>
      <c r="L75" s="10"/>
      <c r="M75" s="11"/>
      <c r="N75" s="10"/>
      <c r="O75" s="12"/>
      <c r="P75" s="12"/>
      <c r="V75" s="11"/>
      <c r="W75" s="12"/>
      <c r="AG75" s="11"/>
      <c r="AH75" s="12"/>
    </row>
    <row r="76" spans="1:70" ht="14.4" x14ac:dyDescent="0.3">
      <c r="A76" s="9"/>
      <c r="B76" s="10"/>
      <c r="D76" s="10"/>
      <c r="E76" s="10"/>
      <c r="F76" s="10"/>
      <c r="G76" s="10"/>
      <c r="H76" s="11"/>
      <c r="I76" s="10"/>
      <c r="J76" s="12"/>
      <c r="K76" s="12"/>
      <c r="L76" s="10"/>
      <c r="M76" s="11"/>
      <c r="N76" s="10"/>
      <c r="O76" s="12"/>
      <c r="P76" s="12"/>
      <c r="V76" s="11"/>
      <c r="W76" s="12"/>
      <c r="AG76" s="11"/>
      <c r="AH76" s="12"/>
    </row>
    <row r="77" spans="1:70" ht="14.4" x14ac:dyDescent="0.3">
      <c r="A77" s="9"/>
      <c r="B77" s="10"/>
      <c r="D77" s="10"/>
      <c r="E77" s="10"/>
      <c r="F77" s="10"/>
      <c r="G77" s="10"/>
      <c r="H77" s="11"/>
      <c r="I77" s="10"/>
      <c r="J77" s="12"/>
      <c r="K77" s="12"/>
      <c r="L77" s="10"/>
      <c r="M77" s="11"/>
      <c r="N77" s="10"/>
      <c r="O77" s="12"/>
      <c r="P77" s="12"/>
      <c r="V77" s="11"/>
      <c r="W77" s="12"/>
      <c r="AG77" s="11"/>
      <c r="AH77" s="12"/>
    </row>
    <row r="78" spans="1:70" ht="14.4" x14ac:dyDescent="0.3">
      <c r="A78" s="9"/>
      <c r="B78" s="10"/>
      <c r="D78" s="10"/>
      <c r="E78" s="10"/>
      <c r="F78" s="10"/>
      <c r="G78" s="10"/>
      <c r="H78" s="11"/>
      <c r="I78" s="10"/>
      <c r="J78" s="12"/>
      <c r="K78" s="12"/>
      <c r="L78" s="10"/>
      <c r="M78" s="11"/>
      <c r="N78" s="10"/>
      <c r="O78" s="12"/>
      <c r="P78" s="12"/>
      <c r="V78" s="11"/>
      <c r="W78" s="12"/>
      <c r="AG78" s="11"/>
      <c r="AH78" s="12"/>
    </row>
    <row r="79" spans="1:70" ht="14.4" x14ac:dyDescent="0.3">
      <c r="A79" s="9"/>
      <c r="B79" s="10"/>
      <c r="D79" s="10"/>
      <c r="E79" s="10"/>
      <c r="F79" s="10"/>
      <c r="G79" s="10"/>
      <c r="H79" s="11"/>
      <c r="I79" s="10"/>
      <c r="J79" s="12"/>
      <c r="K79" s="12"/>
      <c r="L79" s="10"/>
      <c r="M79" s="11"/>
      <c r="N79" s="10"/>
      <c r="O79" s="12"/>
      <c r="P79" s="12"/>
      <c r="V79" s="11"/>
      <c r="W79" s="12"/>
      <c r="AG79" s="11"/>
      <c r="AH79" s="12"/>
    </row>
    <row r="80" spans="1:70" ht="14.4" x14ac:dyDescent="0.3">
      <c r="A80" s="9"/>
      <c r="B80" s="10"/>
      <c r="D80" s="10"/>
      <c r="E80" s="10"/>
      <c r="F80" s="10"/>
      <c r="G80" s="10"/>
      <c r="H80" s="11"/>
      <c r="I80" s="10"/>
      <c r="J80" s="12"/>
      <c r="K80" s="12"/>
      <c r="L80" s="10"/>
      <c r="M80" s="11"/>
      <c r="N80" s="10"/>
      <c r="O80" s="12"/>
      <c r="P80" s="12"/>
      <c r="V80" s="11"/>
      <c r="W80" s="12"/>
      <c r="AG80" s="11"/>
      <c r="AH80" s="12"/>
    </row>
    <row r="81" spans="1:34" ht="14.4" x14ac:dyDescent="0.3">
      <c r="A81" s="9"/>
      <c r="B81" s="10"/>
      <c r="D81" s="10"/>
      <c r="E81" s="10"/>
      <c r="F81" s="10"/>
      <c r="G81" s="10"/>
      <c r="H81" s="11"/>
      <c r="I81" s="10"/>
      <c r="J81" s="12"/>
      <c r="K81" s="12"/>
      <c r="L81" s="10"/>
      <c r="M81" s="11"/>
      <c r="N81" s="10"/>
      <c r="O81" s="12"/>
      <c r="P81" s="12"/>
      <c r="V81" s="11"/>
      <c r="W81" s="12"/>
      <c r="AG81" s="11"/>
      <c r="AH81" s="12"/>
    </row>
    <row r="82" spans="1:34" ht="14.4" x14ac:dyDescent="0.3">
      <c r="A82" s="9"/>
      <c r="B82" s="10"/>
      <c r="D82" s="10"/>
      <c r="E82" s="10"/>
      <c r="F82" s="10"/>
      <c r="G82" s="10"/>
      <c r="H82" s="11"/>
      <c r="I82" s="10"/>
      <c r="J82" s="12"/>
      <c r="K82" s="12"/>
      <c r="L82" s="10"/>
      <c r="M82" s="11"/>
      <c r="N82" s="10"/>
      <c r="O82" s="12"/>
      <c r="P82" s="12"/>
      <c r="V82" s="11"/>
      <c r="W82" s="12"/>
      <c r="AG82" s="11"/>
      <c r="AH82" s="12"/>
    </row>
    <row r="83" spans="1:34" ht="14.4" x14ac:dyDescent="0.3">
      <c r="A83" s="6"/>
      <c r="H83" s="11"/>
      <c r="J83" s="12"/>
      <c r="K83" s="12"/>
      <c r="M83" s="11"/>
      <c r="O83" s="12"/>
      <c r="P83" s="12"/>
      <c r="V83" s="11"/>
      <c r="W83" s="12"/>
      <c r="AG83" s="11"/>
      <c r="AH83" s="12"/>
    </row>
    <row r="87" spans="1:34" x14ac:dyDescent="0.25">
      <c r="J87" s="30"/>
      <c r="O87" s="30"/>
    </row>
  </sheetData>
  <conditionalFormatting sqref="K3:K7">
    <cfRule type="cellIs" dxfId="9" priority="6" operator="greaterThan">
      <formula>180</formula>
    </cfRule>
  </conditionalFormatting>
  <conditionalFormatting sqref="K24:K28">
    <cfRule type="cellIs" dxfId="8" priority="4" operator="greaterThan">
      <formula>180</formula>
    </cfRule>
  </conditionalFormatting>
  <conditionalFormatting sqref="K45:K49">
    <cfRule type="cellIs" dxfId="7" priority="2" operator="greaterThan">
      <formula>180</formula>
    </cfRule>
  </conditionalFormatting>
  <conditionalFormatting sqref="P3:P7">
    <cfRule type="cellIs" dxfId="6" priority="5" operator="greaterThan">
      <formula>1800</formula>
    </cfRule>
  </conditionalFormatting>
  <conditionalFormatting sqref="P24:P28">
    <cfRule type="cellIs" dxfId="5" priority="3" operator="greaterThan">
      <formula>1800</formula>
    </cfRule>
  </conditionalFormatting>
  <conditionalFormatting sqref="P45:P49">
    <cfRule type="cellIs" dxfId="4" priority="1" operator="greaterThan">
      <formula>1800</formula>
    </cfRule>
  </conditionalFormatting>
  <printOptions gridLines="1"/>
  <pageMargins left="0.75" right="0.75" top="1" bottom="1" header="0.5" footer="0.5"/>
  <pageSetup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5:BR147"/>
  <sheetViews>
    <sheetView topLeftCell="A95" zoomScale="80" zoomScaleNormal="80" workbookViewId="0">
      <selection activeCell="AA136" sqref="AA136"/>
    </sheetView>
  </sheetViews>
  <sheetFormatPr defaultRowHeight="15" x14ac:dyDescent="0.25"/>
  <cols>
    <col min="1" max="1" width="24.5546875" style="26" customWidth="1"/>
    <col min="2" max="2" width="22.77734375" style="29" customWidth="1"/>
    <col min="3" max="3" width="23.44140625" style="26" customWidth="1"/>
    <col min="4" max="4" width="14.5546875" style="26" customWidth="1"/>
    <col min="5" max="5" width="21.21875" style="26" customWidth="1"/>
    <col min="6" max="6" width="6.44140625" style="26" customWidth="1"/>
    <col min="7" max="7" width="8.21875" style="26" customWidth="1"/>
    <col min="8" max="8" width="6.77734375" style="26" customWidth="1"/>
    <col min="9" max="9" width="9.21875" style="26" customWidth="1"/>
    <col min="10" max="10" width="7" style="26" customWidth="1"/>
    <col min="11" max="11" width="8.77734375" style="26" customWidth="1"/>
    <col min="12" max="12" width="13.21875" style="28" customWidth="1"/>
    <col min="13" max="13" width="7.21875" style="28" customWidth="1"/>
    <col min="14" max="14" width="6" style="26" customWidth="1"/>
    <col min="15" max="15" width="12" style="16" bestFit="1" customWidth="1"/>
    <col min="16" max="16" width="9.21875" style="16" bestFit="1" customWidth="1"/>
    <col min="17" max="17" width="7.21875" style="16" customWidth="1"/>
    <col min="18" max="20" width="9.21875" style="16" bestFit="1" customWidth="1"/>
    <col min="21" max="21" width="9.77734375" style="16" bestFit="1" customWidth="1"/>
    <col min="22" max="22" width="10.77734375" style="16" bestFit="1" customWidth="1"/>
    <col min="23" max="23" width="9.21875" style="16" bestFit="1" customWidth="1"/>
    <col min="24" max="24" width="14.21875" style="16" customWidth="1"/>
    <col min="25" max="25" width="12.77734375" style="27" customWidth="1"/>
    <col min="26" max="27" width="12.77734375" style="16" customWidth="1"/>
    <col min="28" max="190" width="8.77734375" style="16"/>
    <col min="191" max="191" width="24.77734375" style="16" customWidth="1"/>
    <col min="192" max="192" width="13.5546875" style="16" customWidth="1"/>
    <col min="193" max="193" width="8.77734375" style="16"/>
    <col min="194" max="194" width="6.77734375" style="16" customWidth="1"/>
    <col min="195" max="195" width="6.44140625" style="16" customWidth="1"/>
    <col min="196" max="196" width="8.21875" style="16" customWidth="1"/>
    <col min="197" max="197" width="6.77734375" style="16" customWidth="1"/>
    <col min="198" max="198" width="4.77734375" style="16" customWidth="1"/>
    <col min="199" max="200" width="5" style="16" customWidth="1"/>
    <col min="201" max="201" width="8.77734375" style="16"/>
    <col min="202" max="202" width="10.5546875" style="16" customWidth="1"/>
    <col min="203" max="203" width="3.77734375" style="16" customWidth="1"/>
    <col min="204" max="205" width="8.77734375" style="16"/>
    <col min="206" max="206" width="3.77734375" style="16" customWidth="1"/>
    <col min="207" max="446" width="8.77734375" style="16"/>
    <col min="447" max="447" width="24.77734375" style="16" customWidth="1"/>
    <col min="448" max="448" width="13.5546875" style="16" customWidth="1"/>
    <col min="449" max="449" width="8.77734375" style="16"/>
    <col min="450" max="450" width="6.77734375" style="16" customWidth="1"/>
    <col min="451" max="451" width="6.44140625" style="16" customWidth="1"/>
    <col min="452" max="452" width="8.21875" style="16" customWidth="1"/>
    <col min="453" max="453" width="6.77734375" style="16" customWidth="1"/>
    <col min="454" max="454" width="4.77734375" style="16" customWidth="1"/>
    <col min="455" max="456" width="5" style="16" customWidth="1"/>
    <col min="457" max="457" width="8.77734375" style="16"/>
    <col min="458" max="458" width="10.5546875" style="16" customWidth="1"/>
    <col min="459" max="459" width="3.77734375" style="16" customWidth="1"/>
    <col min="460" max="461" width="8.77734375" style="16"/>
    <col min="462" max="462" width="3.77734375" style="16" customWidth="1"/>
    <col min="463" max="702" width="8.77734375" style="16"/>
    <col min="703" max="703" width="24.77734375" style="16" customWidth="1"/>
    <col min="704" max="704" width="13.5546875" style="16" customWidth="1"/>
    <col min="705" max="705" width="8.77734375" style="16"/>
    <col min="706" max="706" width="6.77734375" style="16" customWidth="1"/>
    <col min="707" max="707" width="6.44140625" style="16" customWidth="1"/>
    <col min="708" max="708" width="8.21875" style="16" customWidth="1"/>
    <col min="709" max="709" width="6.77734375" style="16" customWidth="1"/>
    <col min="710" max="710" width="4.77734375" style="16" customWidth="1"/>
    <col min="711" max="712" width="5" style="16" customWidth="1"/>
    <col min="713" max="713" width="8.77734375" style="16"/>
    <col min="714" max="714" width="10.5546875" style="16" customWidth="1"/>
    <col min="715" max="715" width="3.77734375" style="16" customWidth="1"/>
    <col min="716" max="717" width="8.77734375" style="16"/>
    <col min="718" max="718" width="3.77734375" style="16" customWidth="1"/>
    <col min="719" max="958" width="8.77734375" style="16"/>
    <col min="959" max="959" width="24.77734375" style="16" customWidth="1"/>
    <col min="960" max="960" width="13.5546875" style="16" customWidth="1"/>
    <col min="961" max="961" width="8.77734375" style="16"/>
    <col min="962" max="962" width="6.77734375" style="16" customWidth="1"/>
    <col min="963" max="963" width="6.44140625" style="16" customWidth="1"/>
    <col min="964" max="964" width="8.21875" style="16" customWidth="1"/>
    <col min="965" max="965" width="6.77734375" style="16" customWidth="1"/>
    <col min="966" max="966" width="4.77734375" style="16" customWidth="1"/>
    <col min="967" max="968" width="5" style="16" customWidth="1"/>
    <col min="969" max="969" width="8.77734375" style="16"/>
    <col min="970" max="970" width="10.5546875" style="16" customWidth="1"/>
    <col min="971" max="971" width="3.77734375" style="16" customWidth="1"/>
    <col min="972" max="973" width="8.77734375" style="16"/>
    <col min="974" max="974" width="3.77734375" style="16" customWidth="1"/>
    <col min="975" max="1214" width="8.77734375" style="16"/>
    <col min="1215" max="1215" width="24.77734375" style="16" customWidth="1"/>
    <col min="1216" max="1216" width="13.5546875" style="16" customWidth="1"/>
    <col min="1217" max="1217" width="8.77734375" style="16"/>
    <col min="1218" max="1218" width="6.77734375" style="16" customWidth="1"/>
    <col min="1219" max="1219" width="6.44140625" style="16" customWidth="1"/>
    <col min="1220" max="1220" width="8.21875" style="16" customWidth="1"/>
    <col min="1221" max="1221" width="6.77734375" style="16" customWidth="1"/>
    <col min="1222" max="1222" width="4.77734375" style="16" customWidth="1"/>
    <col min="1223" max="1224" width="5" style="16" customWidth="1"/>
    <col min="1225" max="1225" width="8.77734375" style="16"/>
    <col min="1226" max="1226" width="10.5546875" style="16" customWidth="1"/>
    <col min="1227" max="1227" width="3.77734375" style="16" customWidth="1"/>
    <col min="1228" max="1229" width="8.77734375" style="16"/>
    <col min="1230" max="1230" width="3.77734375" style="16" customWidth="1"/>
    <col min="1231" max="1470" width="8.77734375" style="16"/>
    <col min="1471" max="1471" width="24.77734375" style="16" customWidth="1"/>
    <col min="1472" max="1472" width="13.5546875" style="16" customWidth="1"/>
    <col min="1473" max="1473" width="8.77734375" style="16"/>
    <col min="1474" max="1474" width="6.77734375" style="16" customWidth="1"/>
    <col min="1475" max="1475" width="6.44140625" style="16" customWidth="1"/>
    <col min="1476" max="1476" width="8.21875" style="16" customWidth="1"/>
    <col min="1477" max="1477" width="6.77734375" style="16" customWidth="1"/>
    <col min="1478" max="1478" width="4.77734375" style="16" customWidth="1"/>
    <col min="1479" max="1480" width="5" style="16" customWidth="1"/>
    <col min="1481" max="1481" width="8.77734375" style="16"/>
    <col min="1482" max="1482" width="10.5546875" style="16" customWidth="1"/>
    <col min="1483" max="1483" width="3.77734375" style="16" customWidth="1"/>
    <col min="1484" max="1485" width="8.77734375" style="16"/>
    <col min="1486" max="1486" width="3.77734375" style="16" customWidth="1"/>
    <col min="1487" max="1726" width="8.77734375" style="16"/>
    <col min="1727" max="1727" width="24.77734375" style="16" customWidth="1"/>
    <col min="1728" max="1728" width="13.5546875" style="16" customWidth="1"/>
    <col min="1729" max="1729" width="8.77734375" style="16"/>
    <col min="1730" max="1730" width="6.77734375" style="16" customWidth="1"/>
    <col min="1731" max="1731" width="6.44140625" style="16" customWidth="1"/>
    <col min="1732" max="1732" width="8.21875" style="16" customWidth="1"/>
    <col min="1733" max="1733" width="6.77734375" style="16" customWidth="1"/>
    <col min="1734" max="1734" width="4.77734375" style="16" customWidth="1"/>
    <col min="1735" max="1736" width="5" style="16" customWidth="1"/>
    <col min="1737" max="1737" width="8.77734375" style="16"/>
    <col min="1738" max="1738" width="10.5546875" style="16" customWidth="1"/>
    <col min="1739" max="1739" width="3.77734375" style="16" customWidth="1"/>
    <col min="1740" max="1741" width="8.77734375" style="16"/>
    <col min="1742" max="1742" width="3.77734375" style="16" customWidth="1"/>
    <col min="1743" max="1982" width="8.77734375" style="16"/>
    <col min="1983" max="1983" width="24.77734375" style="16" customWidth="1"/>
    <col min="1984" max="1984" width="13.5546875" style="16" customWidth="1"/>
    <col min="1985" max="1985" width="8.77734375" style="16"/>
    <col min="1986" max="1986" width="6.77734375" style="16" customWidth="1"/>
    <col min="1987" max="1987" width="6.44140625" style="16" customWidth="1"/>
    <col min="1988" max="1988" width="8.21875" style="16" customWidth="1"/>
    <col min="1989" max="1989" width="6.77734375" style="16" customWidth="1"/>
    <col min="1990" max="1990" width="4.77734375" style="16" customWidth="1"/>
    <col min="1991" max="1992" width="5" style="16" customWidth="1"/>
    <col min="1993" max="1993" width="8.77734375" style="16"/>
    <col min="1994" max="1994" width="10.5546875" style="16" customWidth="1"/>
    <col min="1995" max="1995" width="3.77734375" style="16" customWidth="1"/>
    <col min="1996" max="1997" width="8.77734375" style="16"/>
    <col min="1998" max="1998" width="3.77734375" style="16" customWidth="1"/>
    <col min="1999" max="2238" width="8.77734375" style="16"/>
    <col min="2239" max="2239" width="24.77734375" style="16" customWidth="1"/>
    <col min="2240" max="2240" width="13.5546875" style="16" customWidth="1"/>
    <col min="2241" max="2241" width="8.77734375" style="16"/>
    <col min="2242" max="2242" width="6.77734375" style="16" customWidth="1"/>
    <col min="2243" max="2243" width="6.44140625" style="16" customWidth="1"/>
    <col min="2244" max="2244" width="8.21875" style="16" customWidth="1"/>
    <col min="2245" max="2245" width="6.77734375" style="16" customWidth="1"/>
    <col min="2246" max="2246" width="4.77734375" style="16" customWidth="1"/>
    <col min="2247" max="2248" width="5" style="16" customWidth="1"/>
    <col min="2249" max="2249" width="8.77734375" style="16"/>
    <col min="2250" max="2250" width="10.5546875" style="16" customWidth="1"/>
    <col min="2251" max="2251" width="3.77734375" style="16" customWidth="1"/>
    <col min="2252" max="2253" width="8.77734375" style="16"/>
    <col min="2254" max="2254" width="3.77734375" style="16" customWidth="1"/>
    <col min="2255" max="2494" width="8.77734375" style="16"/>
    <col min="2495" max="2495" width="24.77734375" style="16" customWidth="1"/>
    <col min="2496" max="2496" width="13.5546875" style="16" customWidth="1"/>
    <col min="2497" max="2497" width="8.77734375" style="16"/>
    <col min="2498" max="2498" width="6.77734375" style="16" customWidth="1"/>
    <col min="2499" max="2499" width="6.44140625" style="16" customWidth="1"/>
    <col min="2500" max="2500" width="8.21875" style="16" customWidth="1"/>
    <col min="2501" max="2501" width="6.77734375" style="16" customWidth="1"/>
    <col min="2502" max="2502" width="4.77734375" style="16" customWidth="1"/>
    <col min="2503" max="2504" width="5" style="16" customWidth="1"/>
    <col min="2505" max="2505" width="8.77734375" style="16"/>
    <col min="2506" max="2506" width="10.5546875" style="16" customWidth="1"/>
    <col min="2507" max="2507" width="3.77734375" style="16" customWidth="1"/>
    <col min="2508" max="2509" width="8.77734375" style="16"/>
    <col min="2510" max="2510" width="3.77734375" style="16" customWidth="1"/>
    <col min="2511" max="2750" width="8.77734375" style="16"/>
    <col min="2751" max="2751" width="24.77734375" style="16" customWidth="1"/>
    <col min="2752" max="2752" width="13.5546875" style="16" customWidth="1"/>
    <col min="2753" max="2753" width="8.77734375" style="16"/>
    <col min="2754" max="2754" width="6.77734375" style="16" customWidth="1"/>
    <col min="2755" max="2755" width="6.44140625" style="16" customWidth="1"/>
    <col min="2756" max="2756" width="8.21875" style="16" customWidth="1"/>
    <col min="2757" max="2757" width="6.77734375" style="16" customWidth="1"/>
    <col min="2758" max="2758" width="4.77734375" style="16" customWidth="1"/>
    <col min="2759" max="2760" width="5" style="16" customWidth="1"/>
    <col min="2761" max="2761" width="8.77734375" style="16"/>
    <col min="2762" max="2762" width="10.5546875" style="16" customWidth="1"/>
    <col min="2763" max="2763" width="3.77734375" style="16" customWidth="1"/>
    <col min="2764" max="2765" width="8.77734375" style="16"/>
    <col min="2766" max="2766" width="3.77734375" style="16" customWidth="1"/>
    <col min="2767" max="3006" width="8.77734375" style="16"/>
    <col min="3007" max="3007" width="24.77734375" style="16" customWidth="1"/>
    <col min="3008" max="3008" width="13.5546875" style="16" customWidth="1"/>
    <col min="3009" max="3009" width="8.77734375" style="16"/>
    <col min="3010" max="3010" width="6.77734375" style="16" customWidth="1"/>
    <col min="3011" max="3011" width="6.44140625" style="16" customWidth="1"/>
    <col min="3012" max="3012" width="8.21875" style="16" customWidth="1"/>
    <col min="3013" max="3013" width="6.77734375" style="16" customWidth="1"/>
    <col min="3014" max="3014" width="4.77734375" style="16" customWidth="1"/>
    <col min="3015" max="3016" width="5" style="16" customWidth="1"/>
    <col min="3017" max="3017" width="8.77734375" style="16"/>
    <col min="3018" max="3018" width="10.5546875" style="16" customWidth="1"/>
    <col min="3019" max="3019" width="3.77734375" style="16" customWidth="1"/>
    <col min="3020" max="3021" width="8.77734375" style="16"/>
    <col min="3022" max="3022" width="3.77734375" style="16" customWidth="1"/>
    <col min="3023" max="3262" width="8.77734375" style="16"/>
    <col min="3263" max="3263" width="24.77734375" style="16" customWidth="1"/>
    <col min="3264" max="3264" width="13.5546875" style="16" customWidth="1"/>
    <col min="3265" max="3265" width="8.77734375" style="16"/>
    <col min="3266" max="3266" width="6.77734375" style="16" customWidth="1"/>
    <col min="3267" max="3267" width="6.44140625" style="16" customWidth="1"/>
    <col min="3268" max="3268" width="8.21875" style="16" customWidth="1"/>
    <col min="3269" max="3269" width="6.77734375" style="16" customWidth="1"/>
    <col min="3270" max="3270" width="4.77734375" style="16" customWidth="1"/>
    <col min="3271" max="3272" width="5" style="16" customWidth="1"/>
    <col min="3273" max="3273" width="8.77734375" style="16"/>
    <col min="3274" max="3274" width="10.5546875" style="16" customWidth="1"/>
    <col min="3275" max="3275" width="3.77734375" style="16" customWidth="1"/>
    <col min="3276" max="3277" width="8.77734375" style="16"/>
    <col min="3278" max="3278" width="3.77734375" style="16" customWidth="1"/>
    <col min="3279" max="3518" width="8.77734375" style="16"/>
    <col min="3519" max="3519" width="24.77734375" style="16" customWidth="1"/>
    <col min="3520" max="3520" width="13.5546875" style="16" customWidth="1"/>
    <col min="3521" max="3521" width="8.77734375" style="16"/>
    <col min="3522" max="3522" width="6.77734375" style="16" customWidth="1"/>
    <col min="3523" max="3523" width="6.44140625" style="16" customWidth="1"/>
    <col min="3524" max="3524" width="8.21875" style="16" customWidth="1"/>
    <col min="3525" max="3525" width="6.77734375" style="16" customWidth="1"/>
    <col min="3526" max="3526" width="4.77734375" style="16" customWidth="1"/>
    <col min="3527" max="3528" width="5" style="16" customWidth="1"/>
    <col min="3529" max="3529" width="8.77734375" style="16"/>
    <col min="3530" max="3530" width="10.5546875" style="16" customWidth="1"/>
    <col min="3531" max="3531" width="3.77734375" style="16" customWidth="1"/>
    <col min="3532" max="3533" width="8.77734375" style="16"/>
    <col min="3534" max="3534" width="3.77734375" style="16" customWidth="1"/>
    <col min="3535" max="3774" width="8.77734375" style="16"/>
    <col min="3775" max="3775" width="24.77734375" style="16" customWidth="1"/>
    <col min="3776" max="3776" width="13.5546875" style="16" customWidth="1"/>
    <col min="3777" max="3777" width="8.77734375" style="16"/>
    <col min="3778" max="3778" width="6.77734375" style="16" customWidth="1"/>
    <col min="3779" max="3779" width="6.44140625" style="16" customWidth="1"/>
    <col min="3780" max="3780" width="8.21875" style="16" customWidth="1"/>
    <col min="3781" max="3781" width="6.77734375" style="16" customWidth="1"/>
    <col min="3782" max="3782" width="4.77734375" style="16" customWidth="1"/>
    <col min="3783" max="3784" width="5" style="16" customWidth="1"/>
    <col min="3785" max="3785" width="8.77734375" style="16"/>
    <col min="3786" max="3786" width="10.5546875" style="16" customWidth="1"/>
    <col min="3787" max="3787" width="3.77734375" style="16" customWidth="1"/>
    <col min="3788" max="3789" width="8.77734375" style="16"/>
    <col min="3790" max="3790" width="3.77734375" style="16" customWidth="1"/>
    <col min="3791" max="4030" width="8.77734375" style="16"/>
    <col min="4031" max="4031" width="24.77734375" style="16" customWidth="1"/>
    <col min="4032" max="4032" width="13.5546875" style="16" customWidth="1"/>
    <col min="4033" max="4033" width="8.77734375" style="16"/>
    <col min="4034" max="4034" width="6.77734375" style="16" customWidth="1"/>
    <col min="4035" max="4035" width="6.44140625" style="16" customWidth="1"/>
    <col min="4036" max="4036" width="8.21875" style="16" customWidth="1"/>
    <col min="4037" max="4037" width="6.77734375" style="16" customWidth="1"/>
    <col min="4038" max="4038" width="4.77734375" style="16" customWidth="1"/>
    <col min="4039" max="4040" width="5" style="16" customWidth="1"/>
    <col min="4041" max="4041" width="8.77734375" style="16"/>
    <col min="4042" max="4042" width="10.5546875" style="16" customWidth="1"/>
    <col min="4043" max="4043" width="3.77734375" style="16" customWidth="1"/>
    <col min="4044" max="4045" width="8.77734375" style="16"/>
    <col min="4046" max="4046" width="3.77734375" style="16" customWidth="1"/>
    <col min="4047" max="4286" width="8.77734375" style="16"/>
    <col min="4287" max="4287" width="24.77734375" style="16" customWidth="1"/>
    <col min="4288" max="4288" width="13.5546875" style="16" customWidth="1"/>
    <col min="4289" max="4289" width="8.77734375" style="16"/>
    <col min="4290" max="4290" width="6.77734375" style="16" customWidth="1"/>
    <col min="4291" max="4291" width="6.44140625" style="16" customWidth="1"/>
    <col min="4292" max="4292" width="8.21875" style="16" customWidth="1"/>
    <col min="4293" max="4293" width="6.77734375" style="16" customWidth="1"/>
    <col min="4294" max="4294" width="4.77734375" style="16" customWidth="1"/>
    <col min="4295" max="4296" width="5" style="16" customWidth="1"/>
    <col min="4297" max="4297" width="8.77734375" style="16"/>
    <col min="4298" max="4298" width="10.5546875" style="16" customWidth="1"/>
    <col min="4299" max="4299" width="3.77734375" style="16" customWidth="1"/>
    <col min="4300" max="4301" width="8.77734375" style="16"/>
    <col min="4302" max="4302" width="3.77734375" style="16" customWidth="1"/>
    <col min="4303" max="4542" width="8.77734375" style="16"/>
    <col min="4543" max="4543" width="24.77734375" style="16" customWidth="1"/>
    <col min="4544" max="4544" width="13.5546875" style="16" customWidth="1"/>
    <col min="4545" max="4545" width="8.77734375" style="16"/>
    <col min="4546" max="4546" width="6.77734375" style="16" customWidth="1"/>
    <col min="4547" max="4547" width="6.44140625" style="16" customWidth="1"/>
    <col min="4548" max="4548" width="8.21875" style="16" customWidth="1"/>
    <col min="4549" max="4549" width="6.77734375" style="16" customWidth="1"/>
    <col min="4550" max="4550" width="4.77734375" style="16" customWidth="1"/>
    <col min="4551" max="4552" width="5" style="16" customWidth="1"/>
    <col min="4553" max="4553" width="8.77734375" style="16"/>
    <col min="4554" max="4554" width="10.5546875" style="16" customWidth="1"/>
    <col min="4555" max="4555" width="3.77734375" style="16" customWidth="1"/>
    <col min="4556" max="4557" width="8.77734375" style="16"/>
    <col min="4558" max="4558" width="3.77734375" style="16" customWidth="1"/>
    <col min="4559" max="4798" width="8.77734375" style="16"/>
    <col min="4799" max="4799" width="24.77734375" style="16" customWidth="1"/>
    <col min="4800" max="4800" width="13.5546875" style="16" customWidth="1"/>
    <col min="4801" max="4801" width="8.77734375" style="16"/>
    <col min="4802" max="4802" width="6.77734375" style="16" customWidth="1"/>
    <col min="4803" max="4803" width="6.44140625" style="16" customWidth="1"/>
    <col min="4804" max="4804" width="8.21875" style="16" customWidth="1"/>
    <col min="4805" max="4805" width="6.77734375" style="16" customWidth="1"/>
    <col min="4806" max="4806" width="4.77734375" style="16" customWidth="1"/>
    <col min="4807" max="4808" width="5" style="16" customWidth="1"/>
    <col min="4809" max="4809" width="8.77734375" style="16"/>
    <col min="4810" max="4810" width="10.5546875" style="16" customWidth="1"/>
    <col min="4811" max="4811" width="3.77734375" style="16" customWidth="1"/>
    <col min="4812" max="4813" width="8.77734375" style="16"/>
    <col min="4814" max="4814" width="3.77734375" style="16" customWidth="1"/>
    <col min="4815" max="5054" width="8.77734375" style="16"/>
    <col min="5055" max="5055" width="24.77734375" style="16" customWidth="1"/>
    <col min="5056" max="5056" width="13.5546875" style="16" customWidth="1"/>
    <col min="5057" max="5057" width="8.77734375" style="16"/>
    <col min="5058" max="5058" width="6.77734375" style="16" customWidth="1"/>
    <col min="5059" max="5059" width="6.44140625" style="16" customWidth="1"/>
    <col min="5060" max="5060" width="8.21875" style="16" customWidth="1"/>
    <col min="5061" max="5061" width="6.77734375" style="16" customWidth="1"/>
    <col min="5062" max="5062" width="4.77734375" style="16" customWidth="1"/>
    <col min="5063" max="5064" width="5" style="16" customWidth="1"/>
    <col min="5065" max="5065" width="8.77734375" style="16"/>
    <col min="5066" max="5066" width="10.5546875" style="16" customWidth="1"/>
    <col min="5067" max="5067" width="3.77734375" style="16" customWidth="1"/>
    <col min="5068" max="5069" width="8.77734375" style="16"/>
    <col min="5070" max="5070" width="3.77734375" style="16" customWidth="1"/>
    <col min="5071" max="5310" width="8.77734375" style="16"/>
    <col min="5311" max="5311" width="24.77734375" style="16" customWidth="1"/>
    <col min="5312" max="5312" width="13.5546875" style="16" customWidth="1"/>
    <col min="5313" max="5313" width="8.77734375" style="16"/>
    <col min="5314" max="5314" width="6.77734375" style="16" customWidth="1"/>
    <col min="5315" max="5315" width="6.44140625" style="16" customWidth="1"/>
    <col min="5316" max="5316" width="8.21875" style="16" customWidth="1"/>
    <col min="5317" max="5317" width="6.77734375" style="16" customWidth="1"/>
    <col min="5318" max="5318" width="4.77734375" style="16" customWidth="1"/>
    <col min="5319" max="5320" width="5" style="16" customWidth="1"/>
    <col min="5321" max="5321" width="8.77734375" style="16"/>
    <col min="5322" max="5322" width="10.5546875" style="16" customWidth="1"/>
    <col min="5323" max="5323" width="3.77734375" style="16" customWidth="1"/>
    <col min="5324" max="5325" width="8.77734375" style="16"/>
    <col min="5326" max="5326" width="3.77734375" style="16" customWidth="1"/>
    <col min="5327" max="5566" width="8.77734375" style="16"/>
    <col min="5567" max="5567" width="24.77734375" style="16" customWidth="1"/>
    <col min="5568" max="5568" width="13.5546875" style="16" customWidth="1"/>
    <col min="5569" max="5569" width="8.77734375" style="16"/>
    <col min="5570" max="5570" width="6.77734375" style="16" customWidth="1"/>
    <col min="5571" max="5571" width="6.44140625" style="16" customWidth="1"/>
    <col min="5572" max="5572" width="8.21875" style="16" customWidth="1"/>
    <col min="5573" max="5573" width="6.77734375" style="16" customWidth="1"/>
    <col min="5574" max="5574" width="4.77734375" style="16" customWidth="1"/>
    <col min="5575" max="5576" width="5" style="16" customWidth="1"/>
    <col min="5577" max="5577" width="8.77734375" style="16"/>
    <col min="5578" max="5578" width="10.5546875" style="16" customWidth="1"/>
    <col min="5579" max="5579" width="3.77734375" style="16" customWidth="1"/>
    <col min="5580" max="5581" width="8.77734375" style="16"/>
    <col min="5582" max="5582" width="3.77734375" style="16" customWidth="1"/>
    <col min="5583" max="5822" width="8.77734375" style="16"/>
    <col min="5823" max="5823" width="24.77734375" style="16" customWidth="1"/>
    <col min="5824" max="5824" width="13.5546875" style="16" customWidth="1"/>
    <col min="5825" max="5825" width="8.77734375" style="16"/>
    <col min="5826" max="5826" width="6.77734375" style="16" customWidth="1"/>
    <col min="5827" max="5827" width="6.44140625" style="16" customWidth="1"/>
    <col min="5828" max="5828" width="8.21875" style="16" customWidth="1"/>
    <col min="5829" max="5829" width="6.77734375" style="16" customWidth="1"/>
    <col min="5830" max="5830" width="4.77734375" style="16" customWidth="1"/>
    <col min="5831" max="5832" width="5" style="16" customWidth="1"/>
    <col min="5833" max="5833" width="8.77734375" style="16"/>
    <col min="5834" max="5834" width="10.5546875" style="16" customWidth="1"/>
    <col min="5835" max="5835" width="3.77734375" style="16" customWidth="1"/>
    <col min="5836" max="5837" width="8.77734375" style="16"/>
    <col min="5838" max="5838" width="3.77734375" style="16" customWidth="1"/>
    <col min="5839" max="6078" width="8.77734375" style="16"/>
    <col min="6079" max="6079" width="24.77734375" style="16" customWidth="1"/>
    <col min="6080" max="6080" width="13.5546875" style="16" customWidth="1"/>
    <col min="6081" max="6081" width="8.77734375" style="16"/>
    <col min="6082" max="6082" width="6.77734375" style="16" customWidth="1"/>
    <col min="6083" max="6083" width="6.44140625" style="16" customWidth="1"/>
    <col min="6084" max="6084" width="8.21875" style="16" customWidth="1"/>
    <col min="6085" max="6085" width="6.77734375" style="16" customWidth="1"/>
    <col min="6086" max="6086" width="4.77734375" style="16" customWidth="1"/>
    <col min="6087" max="6088" width="5" style="16" customWidth="1"/>
    <col min="6089" max="6089" width="8.77734375" style="16"/>
    <col min="6090" max="6090" width="10.5546875" style="16" customWidth="1"/>
    <col min="6091" max="6091" width="3.77734375" style="16" customWidth="1"/>
    <col min="6092" max="6093" width="8.77734375" style="16"/>
    <col min="6094" max="6094" width="3.77734375" style="16" customWidth="1"/>
    <col min="6095" max="6334" width="8.77734375" style="16"/>
    <col min="6335" max="6335" width="24.77734375" style="16" customWidth="1"/>
    <col min="6336" max="6336" width="13.5546875" style="16" customWidth="1"/>
    <col min="6337" max="6337" width="8.77734375" style="16"/>
    <col min="6338" max="6338" width="6.77734375" style="16" customWidth="1"/>
    <col min="6339" max="6339" width="6.44140625" style="16" customWidth="1"/>
    <col min="6340" max="6340" width="8.21875" style="16" customWidth="1"/>
    <col min="6341" max="6341" width="6.77734375" style="16" customWidth="1"/>
    <col min="6342" max="6342" width="4.77734375" style="16" customWidth="1"/>
    <col min="6343" max="6344" width="5" style="16" customWidth="1"/>
    <col min="6345" max="6345" width="8.77734375" style="16"/>
    <col min="6346" max="6346" width="10.5546875" style="16" customWidth="1"/>
    <col min="6347" max="6347" width="3.77734375" style="16" customWidth="1"/>
    <col min="6348" max="6349" width="8.77734375" style="16"/>
    <col min="6350" max="6350" width="3.77734375" style="16" customWidth="1"/>
    <col min="6351" max="6590" width="8.77734375" style="16"/>
    <col min="6591" max="6591" width="24.77734375" style="16" customWidth="1"/>
    <col min="6592" max="6592" width="13.5546875" style="16" customWidth="1"/>
    <col min="6593" max="6593" width="8.77734375" style="16"/>
    <col min="6594" max="6594" width="6.77734375" style="16" customWidth="1"/>
    <col min="6595" max="6595" width="6.44140625" style="16" customWidth="1"/>
    <col min="6596" max="6596" width="8.21875" style="16" customWidth="1"/>
    <col min="6597" max="6597" width="6.77734375" style="16" customWidth="1"/>
    <col min="6598" max="6598" width="4.77734375" style="16" customWidth="1"/>
    <col min="6599" max="6600" width="5" style="16" customWidth="1"/>
    <col min="6601" max="6601" width="8.77734375" style="16"/>
    <col min="6602" max="6602" width="10.5546875" style="16" customWidth="1"/>
    <col min="6603" max="6603" width="3.77734375" style="16" customWidth="1"/>
    <col min="6604" max="6605" width="8.77734375" style="16"/>
    <col min="6606" max="6606" width="3.77734375" style="16" customWidth="1"/>
    <col min="6607" max="6846" width="8.77734375" style="16"/>
    <col min="6847" max="6847" width="24.77734375" style="16" customWidth="1"/>
    <col min="6848" max="6848" width="13.5546875" style="16" customWidth="1"/>
    <col min="6849" max="6849" width="8.77734375" style="16"/>
    <col min="6850" max="6850" width="6.77734375" style="16" customWidth="1"/>
    <col min="6851" max="6851" width="6.44140625" style="16" customWidth="1"/>
    <col min="6852" max="6852" width="8.21875" style="16" customWidth="1"/>
    <col min="6853" max="6853" width="6.77734375" style="16" customWidth="1"/>
    <col min="6854" max="6854" width="4.77734375" style="16" customWidth="1"/>
    <col min="6855" max="6856" width="5" style="16" customWidth="1"/>
    <col min="6857" max="6857" width="8.77734375" style="16"/>
    <col min="6858" max="6858" width="10.5546875" style="16" customWidth="1"/>
    <col min="6859" max="6859" width="3.77734375" style="16" customWidth="1"/>
    <col min="6860" max="6861" width="8.77734375" style="16"/>
    <col min="6862" max="6862" width="3.77734375" style="16" customWidth="1"/>
    <col min="6863" max="7102" width="8.77734375" style="16"/>
    <col min="7103" max="7103" width="24.77734375" style="16" customWidth="1"/>
    <col min="7104" max="7104" width="13.5546875" style="16" customWidth="1"/>
    <col min="7105" max="7105" width="8.77734375" style="16"/>
    <col min="7106" max="7106" width="6.77734375" style="16" customWidth="1"/>
    <col min="7107" max="7107" width="6.44140625" style="16" customWidth="1"/>
    <col min="7108" max="7108" width="8.21875" style="16" customWidth="1"/>
    <col min="7109" max="7109" width="6.77734375" style="16" customWidth="1"/>
    <col min="7110" max="7110" width="4.77734375" style="16" customWidth="1"/>
    <col min="7111" max="7112" width="5" style="16" customWidth="1"/>
    <col min="7113" max="7113" width="8.77734375" style="16"/>
    <col min="7114" max="7114" width="10.5546875" style="16" customWidth="1"/>
    <col min="7115" max="7115" width="3.77734375" style="16" customWidth="1"/>
    <col min="7116" max="7117" width="8.77734375" style="16"/>
    <col min="7118" max="7118" width="3.77734375" style="16" customWidth="1"/>
    <col min="7119" max="7358" width="8.77734375" style="16"/>
    <col min="7359" max="7359" width="24.77734375" style="16" customWidth="1"/>
    <col min="7360" max="7360" width="13.5546875" style="16" customWidth="1"/>
    <col min="7361" max="7361" width="8.77734375" style="16"/>
    <col min="7362" max="7362" width="6.77734375" style="16" customWidth="1"/>
    <col min="7363" max="7363" width="6.44140625" style="16" customWidth="1"/>
    <col min="7364" max="7364" width="8.21875" style="16" customWidth="1"/>
    <col min="7365" max="7365" width="6.77734375" style="16" customWidth="1"/>
    <col min="7366" max="7366" width="4.77734375" style="16" customWidth="1"/>
    <col min="7367" max="7368" width="5" style="16" customWidth="1"/>
    <col min="7369" max="7369" width="8.77734375" style="16"/>
    <col min="7370" max="7370" width="10.5546875" style="16" customWidth="1"/>
    <col min="7371" max="7371" width="3.77734375" style="16" customWidth="1"/>
    <col min="7372" max="7373" width="8.77734375" style="16"/>
    <col min="7374" max="7374" width="3.77734375" style="16" customWidth="1"/>
    <col min="7375" max="7614" width="8.77734375" style="16"/>
    <col min="7615" max="7615" width="24.77734375" style="16" customWidth="1"/>
    <col min="7616" max="7616" width="13.5546875" style="16" customWidth="1"/>
    <col min="7617" max="7617" width="8.77734375" style="16"/>
    <col min="7618" max="7618" width="6.77734375" style="16" customWidth="1"/>
    <col min="7619" max="7619" width="6.44140625" style="16" customWidth="1"/>
    <col min="7620" max="7620" width="8.21875" style="16" customWidth="1"/>
    <col min="7621" max="7621" width="6.77734375" style="16" customWidth="1"/>
    <col min="7622" max="7622" width="4.77734375" style="16" customWidth="1"/>
    <col min="7623" max="7624" width="5" style="16" customWidth="1"/>
    <col min="7625" max="7625" width="8.77734375" style="16"/>
    <col min="7626" max="7626" width="10.5546875" style="16" customWidth="1"/>
    <col min="7627" max="7627" width="3.77734375" style="16" customWidth="1"/>
    <col min="7628" max="7629" width="8.77734375" style="16"/>
    <col min="7630" max="7630" width="3.77734375" style="16" customWidth="1"/>
    <col min="7631" max="7870" width="8.77734375" style="16"/>
    <col min="7871" max="7871" width="24.77734375" style="16" customWidth="1"/>
    <col min="7872" max="7872" width="13.5546875" style="16" customWidth="1"/>
    <col min="7873" max="7873" width="8.77734375" style="16"/>
    <col min="7874" max="7874" width="6.77734375" style="16" customWidth="1"/>
    <col min="7875" max="7875" width="6.44140625" style="16" customWidth="1"/>
    <col min="7876" max="7876" width="8.21875" style="16" customWidth="1"/>
    <col min="7877" max="7877" width="6.77734375" style="16" customWidth="1"/>
    <col min="7878" max="7878" width="4.77734375" style="16" customWidth="1"/>
    <col min="7879" max="7880" width="5" style="16" customWidth="1"/>
    <col min="7881" max="7881" width="8.77734375" style="16"/>
    <col min="7882" max="7882" width="10.5546875" style="16" customWidth="1"/>
    <col min="7883" max="7883" width="3.77734375" style="16" customWidth="1"/>
    <col min="7884" max="7885" width="8.77734375" style="16"/>
    <col min="7886" max="7886" width="3.77734375" style="16" customWidth="1"/>
    <col min="7887" max="8126" width="8.77734375" style="16"/>
    <col min="8127" max="8127" width="24.77734375" style="16" customWidth="1"/>
    <col min="8128" max="8128" width="13.5546875" style="16" customWidth="1"/>
    <col min="8129" max="8129" width="8.77734375" style="16"/>
    <col min="8130" max="8130" width="6.77734375" style="16" customWidth="1"/>
    <col min="8131" max="8131" width="6.44140625" style="16" customWidth="1"/>
    <col min="8132" max="8132" width="8.21875" style="16" customWidth="1"/>
    <col min="8133" max="8133" width="6.77734375" style="16" customWidth="1"/>
    <col min="8134" max="8134" width="4.77734375" style="16" customWidth="1"/>
    <col min="8135" max="8136" width="5" style="16" customWidth="1"/>
    <col min="8137" max="8137" width="8.77734375" style="16"/>
    <col min="8138" max="8138" width="10.5546875" style="16" customWidth="1"/>
    <col min="8139" max="8139" width="3.77734375" style="16" customWidth="1"/>
    <col min="8140" max="8141" width="8.77734375" style="16"/>
    <col min="8142" max="8142" width="3.77734375" style="16" customWidth="1"/>
    <col min="8143" max="8382" width="8.77734375" style="16"/>
    <col min="8383" max="8383" width="24.77734375" style="16" customWidth="1"/>
    <col min="8384" max="8384" width="13.5546875" style="16" customWidth="1"/>
    <col min="8385" max="8385" width="8.77734375" style="16"/>
    <col min="8386" max="8386" width="6.77734375" style="16" customWidth="1"/>
    <col min="8387" max="8387" width="6.44140625" style="16" customWidth="1"/>
    <col min="8388" max="8388" width="8.21875" style="16" customWidth="1"/>
    <col min="8389" max="8389" width="6.77734375" style="16" customWidth="1"/>
    <col min="8390" max="8390" width="4.77734375" style="16" customWidth="1"/>
    <col min="8391" max="8392" width="5" style="16" customWidth="1"/>
    <col min="8393" max="8393" width="8.77734375" style="16"/>
    <col min="8394" max="8394" width="10.5546875" style="16" customWidth="1"/>
    <col min="8395" max="8395" width="3.77734375" style="16" customWidth="1"/>
    <col min="8396" max="8397" width="8.77734375" style="16"/>
    <col min="8398" max="8398" width="3.77734375" style="16" customWidth="1"/>
    <col min="8399" max="8638" width="8.77734375" style="16"/>
    <col min="8639" max="8639" width="24.77734375" style="16" customWidth="1"/>
    <col min="8640" max="8640" width="13.5546875" style="16" customWidth="1"/>
    <col min="8641" max="8641" width="8.77734375" style="16"/>
    <col min="8642" max="8642" width="6.77734375" style="16" customWidth="1"/>
    <col min="8643" max="8643" width="6.44140625" style="16" customWidth="1"/>
    <col min="8644" max="8644" width="8.21875" style="16" customWidth="1"/>
    <col min="8645" max="8645" width="6.77734375" style="16" customWidth="1"/>
    <col min="8646" max="8646" width="4.77734375" style="16" customWidth="1"/>
    <col min="8647" max="8648" width="5" style="16" customWidth="1"/>
    <col min="8649" max="8649" width="8.77734375" style="16"/>
    <col min="8650" max="8650" width="10.5546875" style="16" customWidth="1"/>
    <col min="8651" max="8651" width="3.77734375" style="16" customWidth="1"/>
    <col min="8652" max="8653" width="8.77734375" style="16"/>
    <col min="8654" max="8654" width="3.77734375" style="16" customWidth="1"/>
    <col min="8655" max="8894" width="8.77734375" style="16"/>
    <col min="8895" max="8895" width="24.77734375" style="16" customWidth="1"/>
    <col min="8896" max="8896" width="13.5546875" style="16" customWidth="1"/>
    <col min="8897" max="8897" width="8.77734375" style="16"/>
    <col min="8898" max="8898" width="6.77734375" style="16" customWidth="1"/>
    <col min="8899" max="8899" width="6.44140625" style="16" customWidth="1"/>
    <col min="8900" max="8900" width="8.21875" style="16" customWidth="1"/>
    <col min="8901" max="8901" width="6.77734375" style="16" customWidth="1"/>
    <col min="8902" max="8902" width="4.77734375" style="16" customWidth="1"/>
    <col min="8903" max="8904" width="5" style="16" customWidth="1"/>
    <col min="8905" max="8905" width="8.77734375" style="16"/>
    <col min="8906" max="8906" width="10.5546875" style="16" customWidth="1"/>
    <col min="8907" max="8907" width="3.77734375" style="16" customWidth="1"/>
    <col min="8908" max="8909" width="8.77734375" style="16"/>
    <col min="8910" max="8910" width="3.77734375" style="16" customWidth="1"/>
    <col min="8911" max="9150" width="8.77734375" style="16"/>
    <col min="9151" max="9151" width="24.77734375" style="16" customWidth="1"/>
    <col min="9152" max="9152" width="13.5546875" style="16" customWidth="1"/>
    <col min="9153" max="9153" width="8.77734375" style="16"/>
    <col min="9154" max="9154" width="6.77734375" style="16" customWidth="1"/>
    <col min="9155" max="9155" width="6.44140625" style="16" customWidth="1"/>
    <col min="9156" max="9156" width="8.21875" style="16" customWidth="1"/>
    <col min="9157" max="9157" width="6.77734375" style="16" customWidth="1"/>
    <col min="9158" max="9158" width="4.77734375" style="16" customWidth="1"/>
    <col min="9159" max="9160" width="5" style="16" customWidth="1"/>
    <col min="9161" max="9161" width="8.77734375" style="16"/>
    <col min="9162" max="9162" width="10.5546875" style="16" customWidth="1"/>
    <col min="9163" max="9163" width="3.77734375" style="16" customWidth="1"/>
    <col min="9164" max="9165" width="8.77734375" style="16"/>
    <col min="9166" max="9166" width="3.77734375" style="16" customWidth="1"/>
    <col min="9167" max="9406" width="8.77734375" style="16"/>
    <col min="9407" max="9407" width="24.77734375" style="16" customWidth="1"/>
    <col min="9408" max="9408" width="13.5546875" style="16" customWidth="1"/>
    <col min="9409" max="9409" width="8.77734375" style="16"/>
    <col min="9410" max="9410" width="6.77734375" style="16" customWidth="1"/>
    <col min="9411" max="9411" width="6.44140625" style="16" customWidth="1"/>
    <col min="9412" max="9412" width="8.21875" style="16" customWidth="1"/>
    <col min="9413" max="9413" width="6.77734375" style="16" customWidth="1"/>
    <col min="9414" max="9414" width="4.77734375" style="16" customWidth="1"/>
    <col min="9415" max="9416" width="5" style="16" customWidth="1"/>
    <col min="9417" max="9417" width="8.77734375" style="16"/>
    <col min="9418" max="9418" width="10.5546875" style="16" customWidth="1"/>
    <col min="9419" max="9419" width="3.77734375" style="16" customWidth="1"/>
    <col min="9420" max="9421" width="8.77734375" style="16"/>
    <col min="9422" max="9422" width="3.77734375" style="16" customWidth="1"/>
    <col min="9423" max="9662" width="8.77734375" style="16"/>
    <col min="9663" max="9663" width="24.77734375" style="16" customWidth="1"/>
    <col min="9664" max="9664" width="13.5546875" style="16" customWidth="1"/>
    <col min="9665" max="9665" width="8.77734375" style="16"/>
    <col min="9666" max="9666" width="6.77734375" style="16" customWidth="1"/>
    <col min="9667" max="9667" width="6.44140625" style="16" customWidth="1"/>
    <col min="9668" max="9668" width="8.21875" style="16" customWidth="1"/>
    <col min="9669" max="9669" width="6.77734375" style="16" customWidth="1"/>
    <col min="9670" max="9670" width="4.77734375" style="16" customWidth="1"/>
    <col min="9671" max="9672" width="5" style="16" customWidth="1"/>
    <col min="9673" max="9673" width="8.77734375" style="16"/>
    <col min="9674" max="9674" width="10.5546875" style="16" customWidth="1"/>
    <col min="9675" max="9675" width="3.77734375" style="16" customWidth="1"/>
    <col min="9676" max="9677" width="8.77734375" style="16"/>
    <col min="9678" max="9678" width="3.77734375" style="16" customWidth="1"/>
    <col min="9679" max="9918" width="8.77734375" style="16"/>
    <col min="9919" max="9919" width="24.77734375" style="16" customWidth="1"/>
    <col min="9920" max="9920" width="13.5546875" style="16" customWidth="1"/>
    <col min="9921" max="9921" width="8.77734375" style="16"/>
    <col min="9922" max="9922" width="6.77734375" style="16" customWidth="1"/>
    <col min="9923" max="9923" width="6.44140625" style="16" customWidth="1"/>
    <col min="9924" max="9924" width="8.21875" style="16" customWidth="1"/>
    <col min="9925" max="9925" width="6.77734375" style="16" customWidth="1"/>
    <col min="9926" max="9926" width="4.77734375" style="16" customWidth="1"/>
    <col min="9927" max="9928" width="5" style="16" customWidth="1"/>
    <col min="9929" max="9929" width="8.77734375" style="16"/>
    <col min="9930" max="9930" width="10.5546875" style="16" customWidth="1"/>
    <col min="9931" max="9931" width="3.77734375" style="16" customWidth="1"/>
    <col min="9932" max="9933" width="8.77734375" style="16"/>
    <col min="9934" max="9934" width="3.77734375" style="16" customWidth="1"/>
    <col min="9935" max="10174" width="8.77734375" style="16"/>
    <col min="10175" max="10175" width="24.77734375" style="16" customWidth="1"/>
    <col min="10176" max="10176" width="13.5546875" style="16" customWidth="1"/>
    <col min="10177" max="10177" width="8.77734375" style="16"/>
    <col min="10178" max="10178" width="6.77734375" style="16" customWidth="1"/>
    <col min="10179" max="10179" width="6.44140625" style="16" customWidth="1"/>
    <col min="10180" max="10180" width="8.21875" style="16" customWidth="1"/>
    <col min="10181" max="10181" width="6.77734375" style="16" customWidth="1"/>
    <col min="10182" max="10182" width="4.77734375" style="16" customWidth="1"/>
    <col min="10183" max="10184" width="5" style="16" customWidth="1"/>
    <col min="10185" max="10185" width="8.77734375" style="16"/>
    <col min="10186" max="10186" width="10.5546875" style="16" customWidth="1"/>
    <col min="10187" max="10187" width="3.77734375" style="16" customWidth="1"/>
    <col min="10188" max="10189" width="8.77734375" style="16"/>
    <col min="10190" max="10190" width="3.77734375" style="16" customWidth="1"/>
    <col min="10191" max="10430" width="8.77734375" style="16"/>
    <col min="10431" max="10431" width="24.77734375" style="16" customWidth="1"/>
    <col min="10432" max="10432" width="13.5546875" style="16" customWidth="1"/>
    <col min="10433" max="10433" width="8.77734375" style="16"/>
    <col min="10434" max="10434" width="6.77734375" style="16" customWidth="1"/>
    <col min="10435" max="10435" width="6.44140625" style="16" customWidth="1"/>
    <col min="10436" max="10436" width="8.21875" style="16" customWidth="1"/>
    <col min="10437" max="10437" width="6.77734375" style="16" customWidth="1"/>
    <col min="10438" max="10438" width="4.77734375" style="16" customWidth="1"/>
    <col min="10439" max="10440" width="5" style="16" customWidth="1"/>
    <col min="10441" max="10441" width="8.77734375" style="16"/>
    <col min="10442" max="10442" width="10.5546875" style="16" customWidth="1"/>
    <col min="10443" max="10443" width="3.77734375" style="16" customWidth="1"/>
    <col min="10444" max="10445" width="8.77734375" style="16"/>
    <col min="10446" max="10446" width="3.77734375" style="16" customWidth="1"/>
    <col min="10447" max="10686" width="8.77734375" style="16"/>
    <col min="10687" max="10687" width="24.77734375" style="16" customWidth="1"/>
    <col min="10688" max="10688" width="13.5546875" style="16" customWidth="1"/>
    <col min="10689" max="10689" width="8.77734375" style="16"/>
    <col min="10690" max="10690" width="6.77734375" style="16" customWidth="1"/>
    <col min="10691" max="10691" width="6.44140625" style="16" customWidth="1"/>
    <col min="10692" max="10692" width="8.21875" style="16" customWidth="1"/>
    <col min="10693" max="10693" width="6.77734375" style="16" customWidth="1"/>
    <col min="10694" max="10694" width="4.77734375" style="16" customWidth="1"/>
    <col min="10695" max="10696" width="5" style="16" customWidth="1"/>
    <col min="10697" max="10697" width="8.77734375" style="16"/>
    <col min="10698" max="10698" width="10.5546875" style="16" customWidth="1"/>
    <col min="10699" max="10699" width="3.77734375" style="16" customWidth="1"/>
    <col min="10700" max="10701" width="8.77734375" style="16"/>
    <col min="10702" max="10702" width="3.77734375" style="16" customWidth="1"/>
    <col min="10703" max="10942" width="8.77734375" style="16"/>
    <col min="10943" max="10943" width="24.77734375" style="16" customWidth="1"/>
    <col min="10944" max="10944" width="13.5546875" style="16" customWidth="1"/>
    <col min="10945" max="10945" width="8.77734375" style="16"/>
    <col min="10946" max="10946" width="6.77734375" style="16" customWidth="1"/>
    <col min="10947" max="10947" width="6.44140625" style="16" customWidth="1"/>
    <col min="10948" max="10948" width="8.21875" style="16" customWidth="1"/>
    <col min="10949" max="10949" width="6.77734375" style="16" customWidth="1"/>
    <col min="10950" max="10950" width="4.77734375" style="16" customWidth="1"/>
    <col min="10951" max="10952" width="5" style="16" customWidth="1"/>
    <col min="10953" max="10953" width="8.77734375" style="16"/>
    <col min="10954" max="10954" width="10.5546875" style="16" customWidth="1"/>
    <col min="10955" max="10955" width="3.77734375" style="16" customWidth="1"/>
    <col min="10956" max="10957" width="8.77734375" style="16"/>
    <col min="10958" max="10958" width="3.77734375" style="16" customWidth="1"/>
    <col min="10959" max="11198" width="8.77734375" style="16"/>
    <col min="11199" max="11199" width="24.77734375" style="16" customWidth="1"/>
    <col min="11200" max="11200" width="13.5546875" style="16" customWidth="1"/>
    <col min="11201" max="11201" width="8.77734375" style="16"/>
    <col min="11202" max="11202" width="6.77734375" style="16" customWidth="1"/>
    <col min="11203" max="11203" width="6.44140625" style="16" customWidth="1"/>
    <col min="11204" max="11204" width="8.21875" style="16" customWidth="1"/>
    <col min="11205" max="11205" width="6.77734375" style="16" customWidth="1"/>
    <col min="11206" max="11206" width="4.77734375" style="16" customWidth="1"/>
    <col min="11207" max="11208" width="5" style="16" customWidth="1"/>
    <col min="11209" max="11209" width="8.77734375" style="16"/>
    <col min="11210" max="11210" width="10.5546875" style="16" customWidth="1"/>
    <col min="11211" max="11211" width="3.77734375" style="16" customWidth="1"/>
    <col min="11212" max="11213" width="8.77734375" style="16"/>
    <col min="11214" max="11214" width="3.77734375" style="16" customWidth="1"/>
    <col min="11215" max="11454" width="8.77734375" style="16"/>
    <col min="11455" max="11455" width="24.77734375" style="16" customWidth="1"/>
    <col min="11456" max="11456" width="13.5546875" style="16" customWidth="1"/>
    <col min="11457" max="11457" width="8.77734375" style="16"/>
    <col min="11458" max="11458" width="6.77734375" style="16" customWidth="1"/>
    <col min="11459" max="11459" width="6.44140625" style="16" customWidth="1"/>
    <col min="11460" max="11460" width="8.21875" style="16" customWidth="1"/>
    <col min="11461" max="11461" width="6.77734375" style="16" customWidth="1"/>
    <col min="11462" max="11462" width="4.77734375" style="16" customWidth="1"/>
    <col min="11463" max="11464" width="5" style="16" customWidth="1"/>
    <col min="11465" max="11465" width="8.77734375" style="16"/>
    <col min="11466" max="11466" width="10.5546875" style="16" customWidth="1"/>
    <col min="11467" max="11467" width="3.77734375" style="16" customWidth="1"/>
    <col min="11468" max="11469" width="8.77734375" style="16"/>
    <col min="11470" max="11470" width="3.77734375" style="16" customWidth="1"/>
    <col min="11471" max="11710" width="8.77734375" style="16"/>
    <col min="11711" max="11711" width="24.77734375" style="16" customWidth="1"/>
    <col min="11712" max="11712" width="13.5546875" style="16" customWidth="1"/>
    <col min="11713" max="11713" width="8.77734375" style="16"/>
    <col min="11714" max="11714" width="6.77734375" style="16" customWidth="1"/>
    <col min="11715" max="11715" width="6.44140625" style="16" customWidth="1"/>
    <col min="11716" max="11716" width="8.21875" style="16" customWidth="1"/>
    <col min="11717" max="11717" width="6.77734375" style="16" customWidth="1"/>
    <col min="11718" max="11718" width="4.77734375" style="16" customWidth="1"/>
    <col min="11719" max="11720" width="5" style="16" customWidth="1"/>
    <col min="11721" max="11721" width="8.77734375" style="16"/>
    <col min="11722" max="11722" width="10.5546875" style="16" customWidth="1"/>
    <col min="11723" max="11723" width="3.77734375" style="16" customWidth="1"/>
    <col min="11724" max="11725" width="8.77734375" style="16"/>
    <col min="11726" max="11726" width="3.77734375" style="16" customWidth="1"/>
    <col min="11727" max="11966" width="8.77734375" style="16"/>
    <col min="11967" max="11967" width="24.77734375" style="16" customWidth="1"/>
    <col min="11968" max="11968" width="13.5546875" style="16" customWidth="1"/>
    <col min="11969" max="11969" width="8.77734375" style="16"/>
    <col min="11970" max="11970" width="6.77734375" style="16" customWidth="1"/>
    <col min="11971" max="11971" width="6.44140625" style="16" customWidth="1"/>
    <col min="11972" max="11972" width="8.21875" style="16" customWidth="1"/>
    <col min="11973" max="11973" width="6.77734375" style="16" customWidth="1"/>
    <col min="11974" max="11974" width="4.77734375" style="16" customWidth="1"/>
    <col min="11975" max="11976" width="5" style="16" customWidth="1"/>
    <col min="11977" max="11977" width="8.77734375" style="16"/>
    <col min="11978" max="11978" width="10.5546875" style="16" customWidth="1"/>
    <col min="11979" max="11979" width="3.77734375" style="16" customWidth="1"/>
    <col min="11980" max="11981" width="8.77734375" style="16"/>
    <col min="11982" max="11982" width="3.77734375" style="16" customWidth="1"/>
    <col min="11983" max="12222" width="8.77734375" style="16"/>
    <col min="12223" max="12223" width="24.77734375" style="16" customWidth="1"/>
    <col min="12224" max="12224" width="13.5546875" style="16" customWidth="1"/>
    <col min="12225" max="12225" width="8.77734375" style="16"/>
    <col min="12226" max="12226" width="6.77734375" style="16" customWidth="1"/>
    <col min="12227" max="12227" width="6.44140625" style="16" customWidth="1"/>
    <col min="12228" max="12228" width="8.21875" style="16" customWidth="1"/>
    <col min="12229" max="12229" width="6.77734375" style="16" customWidth="1"/>
    <col min="12230" max="12230" width="4.77734375" style="16" customWidth="1"/>
    <col min="12231" max="12232" width="5" style="16" customWidth="1"/>
    <col min="12233" max="12233" width="8.77734375" style="16"/>
    <col min="12234" max="12234" width="10.5546875" style="16" customWidth="1"/>
    <col min="12235" max="12235" width="3.77734375" style="16" customWidth="1"/>
    <col min="12236" max="12237" width="8.77734375" style="16"/>
    <col min="12238" max="12238" width="3.77734375" style="16" customWidth="1"/>
    <col min="12239" max="12478" width="8.77734375" style="16"/>
    <col min="12479" max="12479" width="24.77734375" style="16" customWidth="1"/>
    <col min="12480" max="12480" width="13.5546875" style="16" customWidth="1"/>
    <col min="12481" max="12481" width="8.77734375" style="16"/>
    <col min="12482" max="12482" width="6.77734375" style="16" customWidth="1"/>
    <col min="12483" max="12483" width="6.44140625" style="16" customWidth="1"/>
    <col min="12484" max="12484" width="8.21875" style="16" customWidth="1"/>
    <col min="12485" max="12485" width="6.77734375" style="16" customWidth="1"/>
    <col min="12486" max="12486" width="4.77734375" style="16" customWidth="1"/>
    <col min="12487" max="12488" width="5" style="16" customWidth="1"/>
    <col min="12489" max="12489" width="8.77734375" style="16"/>
    <col min="12490" max="12490" width="10.5546875" style="16" customWidth="1"/>
    <col min="12491" max="12491" width="3.77734375" style="16" customWidth="1"/>
    <col min="12492" max="12493" width="8.77734375" style="16"/>
    <col min="12494" max="12494" width="3.77734375" style="16" customWidth="1"/>
    <col min="12495" max="12734" width="8.77734375" style="16"/>
    <col min="12735" max="12735" width="24.77734375" style="16" customWidth="1"/>
    <col min="12736" max="12736" width="13.5546875" style="16" customWidth="1"/>
    <col min="12737" max="12737" width="8.77734375" style="16"/>
    <col min="12738" max="12738" width="6.77734375" style="16" customWidth="1"/>
    <col min="12739" max="12739" width="6.44140625" style="16" customWidth="1"/>
    <col min="12740" max="12740" width="8.21875" style="16" customWidth="1"/>
    <col min="12741" max="12741" width="6.77734375" style="16" customWidth="1"/>
    <col min="12742" max="12742" width="4.77734375" style="16" customWidth="1"/>
    <col min="12743" max="12744" width="5" style="16" customWidth="1"/>
    <col min="12745" max="12745" width="8.77734375" style="16"/>
    <col min="12746" max="12746" width="10.5546875" style="16" customWidth="1"/>
    <col min="12747" max="12747" width="3.77734375" style="16" customWidth="1"/>
    <col min="12748" max="12749" width="8.77734375" style="16"/>
    <col min="12750" max="12750" width="3.77734375" style="16" customWidth="1"/>
    <col min="12751" max="12990" width="8.77734375" style="16"/>
    <col min="12991" max="12991" width="24.77734375" style="16" customWidth="1"/>
    <col min="12992" max="12992" width="13.5546875" style="16" customWidth="1"/>
    <col min="12993" max="12993" width="8.77734375" style="16"/>
    <col min="12994" max="12994" width="6.77734375" style="16" customWidth="1"/>
    <col min="12995" max="12995" width="6.44140625" style="16" customWidth="1"/>
    <col min="12996" max="12996" width="8.21875" style="16" customWidth="1"/>
    <col min="12997" max="12997" width="6.77734375" style="16" customWidth="1"/>
    <col min="12998" max="12998" width="4.77734375" style="16" customWidth="1"/>
    <col min="12999" max="13000" width="5" style="16" customWidth="1"/>
    <col min="13001" max="13001" width="8.77734375" style="16"/>
    <col min="13002" max="13002" width="10.5546875" style="16" customWidth="1"/>
    <col min="13003" max="13003" width="3.77734375" style="16" customWidth="1"/>
    <col min="13004" max="13005" width="8.77734375" style="16"/>
    <col min="13006" max="13006" width="3.77734375" style="16" customWidth="1"/>
    <col min="13007" max="13246" width="8.77734375" style="16"/>
    <col min="13247" max="13247" width="24.77734375" style="16" customWidth="1"/>
    <col min="13248" max="13248" width="13.5546875" style="16" customWidth="1"/>
    <col min="13249" max="13249" width="8.77734375" style="16"/>
    <col min="13250" max="13250" width="6.77734375" style="16" customWidth="1"/>
    <col min="13251" max="13251" width="6.44140625" style="16" customWidth="1"/>
    <col min="13252" max="13252" width="8.21875" style="16" customWidth="1"/>
    <col min="13253" max="13253" width="6.77734375" style="16" customWidth="1"/>
    <col min="13254" max="13254" width="4.77734375" style="16" customWidth="1"/>
    <col min="13255" max="13256" width="5" style="16" customWidth="1"/>
    <col min="13257" max="13257" width="8.77734375" style="16"/>
    <col min="13258" max="13258" width="10.5546875" style="16" customWidth="1"/>
    <col min="13259" max="13259" width="3.77734375" style="16" customWidth="1"/>
    <col min="13260" max="13261" width="8.77734375" style="16"/>
    <col min="13262" max="13262" width="3.77734375" style="16" customWidth="1"/>
    <col min="13263" max="13502" width="8.77734375" style="16"/>
    <col min="13503" max="13503" width="24.77734375" style="16" customWidth="1"/>
    <col min="13504" max="13504" width="13.5546875" style="16" customWidth="1"/>
    <col min="13505" max="13505" width="8.77734375" style="16"/>
    <col min="13506" max="13506" width="6.77734375" style="16" customWidth="1"/>
    <col min="13507" max="13507" width="6.44140625" style="16" customWidth="1"/>
    <col min="13508" max="13508" width="8.21875" style="16" customWidth="1"/>
    <col min="13509" max="13509" width="6.77734375" style="16" customWidth="1"/>
    <col min="13510" max="13510" width="4.77734375" style="16" customWidth="1"/>
    <col min="13511" max="13512" width="5" style="16" customWidth="1"/>
    <col min="13513" max="13513" width="8.77734375" style="16"/>
    <col min="13514" max="13514" width="10.5546875" style="16" customWidth="1"/>
    <col min="13515" max="13515" width="3.77734375" style="16" customWidth="1"/>
    <col min="13516" max="13517" width="8.77734375" style="16"/>
    <col min="13518" max="13518" width="3.77734375" style="16" customWidth="1"/>
    <col min="13519" max="13758" width="8.77734375" style="16"/>
    <col min="13759" max="13759" width="24.77734375" style="16" customWidth="1"/>
    <col min="13760" max="13760" width="13.5546875" style="16" customWidth="1"/>
    <col min="13761" max="13761" width="8.77734375" style="16"/>
    <col min="13762" max="13762" width="6.77734375" style="16" customWidth="1"/>
    <col min="13763" max="13763" width="6.44140625" style="16" customWidth="1"/>
    <col min="13764" max="13764" width="8.21875" style="16" customWidth="1"/>
    <col min="13765" max="13765" width="6.77734375" style="16" customWidth="1"/>
    <col min="13766" max="13766" width="4.77734375" style="16" customWidth="1"/>
    <col min="13767" max="13768" width="5" style="16" customWidth="1"/>
    <col min="13769" max="13769" width="8.77734375" style="16"/>
    <col min="13770" max="13770" width="10.5546875" style="16" customWidth="1"/>
    <col min="13771" max="13771" width="3.77734375" style="16" customWidth="1"/>
    <col min="13772" max="13773" width="8.77734375" style="16"/>
    <col min="13774" max="13774" width="3.77734375" style="16" customWidth="1"/>
    <col min="13775" max="14014" width="8.77734375" style="16"/>
    <col min="14015" max="14015" width="24.77734375" style="16" customWidth="1"/>
    <col min="14016" max="14016" width="13.5546875" style="16" customWidth="1"/>
    <col min="14017" max="14017" width="8.77734375" style="16"/>
    <col min="14018" max="14018" width="6.77734375" style="16" customWidth="1"/>
    <col min="14019" max="14019" width="6.44140625" style="16" customWidth="1"/>
    <col min="14020" max="14020" width="8.21875" style="16" customWidth="1"/>
    <col min="14021" max="14021" width="6.77734375" style="16" customWidth="1"/>
    <col min="14022" max="14022" width="4.77734375" style="16" customWidth="1"/>
    <col min="14023" max="14024" width="5" style="16" customWidth="1"/>
    <col min="14025" max="14025" width="8.77734375" style="16"/>
    <col min="14026" max="14026" width="10.5546875" style="16" customWidth="1"/>
    <col min="14027" max="14027" width="3.77734375" style="16" customWidth="1"/>
    <col min="14028" max="14029" width="8.77734375" style="16"/>
    <col min="14030" max="14030" width="3.77734375" style="16" customWidth="1"/>
    <col min="14031" max="14270" width="8.77734375" style="16"/>
    <col min="14271" max="14271" width="24.77734375" style="16" customWidth="1"/>
    <col min="14272" max="14272" width="13.5546875" style="16" customWidth="1"/>
    <col min="14273" max="14273" width="8.77734375" style="16"/>
    <col min="14274" max="14274" width="6.77734375" style="16" customWidth="1"/>
    <col min="14275" max="14275" width="6.44140625" style="16" customWidth="1"/>
    <col min="14276" max="14276" width="8.21875" style="16" customWidth="1"/>
    <col min="14277" max="14277" width="6.77734375" style="16" customWidth="1"/>
    <col min="14278" max="14278" width="4.77734375" style="16" customWidth="1"/>
    <col min="14279" max="14280" width="5" style="16" customWidth="1"/>
    <col min="14281" max="14281" width="8.77734375" style="16"/>
    <col min="14282" max="14282" width="10.5546875" style="16" customWidth="1"/>
    <col min="14283" max="14283" width="3.77734375" style="16" customWidth="1"/>
    <col min="14284" max="14285" width="8.77734375" style="16"/>
    <col min="14286" max="14286" width="3.77734375" style="16" customWidth="1"/>
    <col min="14287" max="14526" width="8.77734375" style="16"/>
    <col min="14527" max="14527" width="24.77734375" style="16" customWidth="1"/>
    <col min="14528" max="14528" width="13.5546875" style="16" customWidth="1"/>
    <col min="14529" max="14529" width="8.77734375" style="16"/>
    <col min="14530" max="14530" width="6.77734375" style="16" customWidth="1"/>
    <col min="14531" max="14531" width="6.44140625" style="16" customWidth="1"/>
    <col min="14532" max="14532" width="8.21875" style="16" customWidth="1"/>
    <col min="14533" max="14533" width="6.77734375" style="16" customWidth="1"/>
    <col min="14534" max="14534" width="4.77734375" style="16" customWidth="1"/>
    <col min="14535" max="14536" width="5" style="16" customWidth="1"/>
    <col min="14537" max="14537" width="8.77734375" style="16"/>
    <col min="14538" max="14538" width="10.5546875" style="16" customWidth="1"/>
    <col min="14539" max="14539" width="3.77734375" style="16" customWidth="1"/>
    <col min="14540" max="14541" width="8.77734375" style="16"/>
    <col min="14542" max="14542" width="3.77734375" style="16" customWidth="1"/>
    <col min="14543" max="14782" width="8.77734375" style="16"/>
    <col min="14783" max="14783" width="24.77734375" style="16" customWidth="1"/>
    <col min="14784" max="14784" width="13.5546875" style="16" customWidth="1"/>
    <col min="14785" max="14785" width="8.77734375" style="16"/>
    <col min="14786" max="14786" width="6.77734375" style="16" customWidth="1"/>
    <col min="14787" max="14787" width="6.44140625" style="16" customWidth="1"/>
    <col min="14788" max="14788" width="8.21875" style="16" customWidth="1"/>
    <col min="14789" max="14789" width="6.77734375" style="16" customWidth="1"/>
    <col min="14790" max="14790" width="4.77734375" style="16" customWidth="1"/>
    <col min="14791" max="14792" width="5" style="16" customWidth="1"/>
    <col min="14793" max="14793" width="8.77734375" style="16"/>
    <col min="14794" max="14794" width="10.5546875" style="16" customWidth="1"/>
    <col min="14795" max="14795" width="3.77734375" style="16" customWidth="1"/>
    <col min="14796" max="14797" width="8.77734375" style="16"/>
    <col min="14798" max="14798" width="3.77734375" style="16" customWidth="1"/>
    <col min="14799" max="15038" width="8.77734375" style="16"/>
    <col min="15039" max="15039" width="24.77734375" style="16" customWidth="1"/>
    <col min="15040" max="15040" width="13.5546875" style="16" customWidth="1"/>
    <col min="15041" max="15041" width="8.77734375" style="16"/>
    <col min="15042" max="15042" width="6.77734375" style="16" customWidth="1"/>
    <col min="15043" max="15043" width="6.44140625" style="16" customWidth="1"/>
    <col min="15044" max="15044" width="8.21875" style="16" customWidth="1"/>
    <col min="15045" max="15045" width="6.77734375" style="16" customWidth="1"/>
    <col min="15046" max="15046" width="4.77734375" style="16" customWidth="1"/>
    <col min="15047" max="15048" width="5" style="16" customWidth="1"/>
    <col min="15049" max="15049" width="8.77734375" style="16"/>
    <col min="15050" max="15050" width="10.5546875" style="16" customWidth="1"/>
    <col min="15051" max="15051" width="3.77734375" style="16" customWidth="1"/>
    <col min="15052" max="15053" width="8.77734375" style="16"/>
    <col min="15054" max="15054" width="3.77734375" style="16" customWidth="1"/>
    <col min="15055" max="15294" width="8.77734375" style="16"/>
    <col min="15295" max="15295" width="24.77734375" style="16" customWidth="1"/>
    <col min="15296" max="15296" width="13.5546875" style="16" customWidth="1"/>
    <col min="15297" max="15297" width="8.77734375" style="16"/>
    <col min="15298" max="15298" width="6.77734375" style="16" customWidth="1"/>
    <col min="15299" max="15299" width="6.44140625" style="16" customWidth="1"/>
    <col min="15300" max="15300" width="8.21875" style="16" customWidth="1"/>
    <col min="15301" max="15301" width="6.77734375" style="16" customWidth="1"/>
    <col min="15302" max="15302" width="4.77734375" style="16" customWidth="1"/>
    <col min="15303" max="15304" width="5" style="16" customWidth="1"/>
    <col min="15305" max="15305" width="8.77734375" style="16"/>
    <col min="15306" max="15306" width="10.5546875" style="16" customWidth="1"/>
    <col min="15307" max="15307" width="3.77734375" style="16" customWidth="1"/>
    <col min="15308" max="15309" width="8.77734375" style="16"/>
    <col min="15310" max="15310" width="3.77734375" style="16" customWidth="1"/>
    <col min="15311" max="15550" width="8.77734375" style="16"/>
    <col min="15551" max="15551" width="24.77734375" style="16" customWidth="1"/>
    <col min="15552" max="15552" width="13.5546875" style="16" customWidth="1"/>
    <col min="15553" max="15553" width="8.77734375" style="16"/>
    <col min="15554" max="15554" width="6.77734375" style="16" customWidth="1"/>
    <col min="15555" max="15555" width="6.44140625" style="16" customWidth="1"/>
    <col min="15556" max="15556" width="8.21875" style="16" customWidth="1"/>
    <col min="15557" max="15557" width="6.77734375" style="16" customWidth="1"/>
    <col min="15558" max="15558" width="4.77734375" style="16" customWidth="1"/>
    <col min="15559" max="15560" width="5" style="16" customWidth="1"/>
    <col min="15561" max="15561" width="8.77734375" style="16"/>
    <col min="15562" max="15562" width="10.5546875" style="16" customWidth="1"/>
    <col min="15563" max="15563" width="3.77734375" style="16" customWidth="1"/>
    <col min="15564" max="15565" width="8.77734375" style="16"/>
    <col min="15566" max="15566" width="3.77734375" style="16" customWidth="1"/>
    <col min="15567" max="15806" width="8.77734375" style="16"/>
    <col min="15807" max="15807" width="24.77734375" style="16" customWidth="1"/>
    <col min="15808" max="15808" width="13.5546875" style="16" customWidth="1"/>
    <col min="15809" max="15809" width="8.77734375" style="16"/>
    <col min="15810" max="15810" width="6.77734375" style="16" customWidth="1"/>
    <col min="15811" max="15811" width="6.44140625" style="16" customWidth="1"/>
    <col min="15812" max="15812" width="8.21875" style="16" customWidth="1"/>
    <col min="15813" max="15813" width="6.77734375" style="16" customWidth="1"/>
    <col min="15814" max="15814" width="4.77734375" style="16" customWidth="1"/>
    <col min="15815" max="15816" width="5" style="16" customWidth="1"/>
    <col min="15817" max="15817" width="8.77734375" style="16"/>
    <col min="15818" max="15818" width="10.5546875" style="16" customWidth="1"/>
    <col min="15819" max="15819" width="3.77734375" style="16" customWidth="1"/>
    <col min="15820" max="15821" width="8.77734375" style="16"/>
    <col min="15822" max="15822" width="3.77734375" style="16" customWidth="1"/>
    <col min="15823" max="16062" width="8.77734375" style="16"/>
    <col min="16063" max="16063" width="24.77734375" style="16" customWidth="1"/>
    <col min="16064" max="16064" width="13.5546875" style="16" customWidth="1"/>
    <col min="16065" max="16065" width="8.77734375" style="16"/>
    <col min="16066" max="16066" width="6.77734375" style="16" customWidth="1"/>
    <col min="16067" max="16067" width="6.44140625" style="16" customWidth="1"/>
    <col min="16068" max="16068" width="8.21875" style="16" customWidth="1"/>
    <col min="16069" max="16069" width="6.77734375" style="16" customWidth="1"/>
    <col min="16070" max="16070" width="4.77734375" style="16" customWidth="1"/>
    <col min="16071" max="16072" width="5" style="16" customWidth="1"/>
    <col min="16073" max="16073" width="8.77734375" style="16"/>
    <col min="16074" max="16074" width="10.5546875" style="16" customWidth="1"/>
    <col min="16075" max="16075" width="3.77734375" style="16" customWidth="1"/>
    <col min="16076" max="16077" width="8.77734375" style="16"/>
    <col min="16078" max="16078" width="3.77734375" style="16" customWidth="1"/>
    <col min="16079" max="16384" width="8.77734375" style="16"/>
  </cols>
  <sheetData>
    <row r="15" spans="42:61" ht="15.6" x14ac:dyDescent="0.3">
      <c r="AP15" s="2"/>
      <c r="AQ15" s="3"/>
      <c r="AR15" s="3"/>
      <c r="AS15" s="3"/>
      <c r="AT15" s="3"/>
      <c r="AU15" s="2"/>
      <c r="AV15" s="2"/>
      <c r="AW15" s="2"/>
      <c r="AX15" s="2"/>
      <c r="AY15" s="2"/>
      <c r="AZ15" s="3"/>
      <c r="BA15" s="3"/>
      <c r="BB15" s="3"/>
      <c r="BC15" s="3"/>
      <c r="BD15" s="3"/>
      <c r="BE15" s="3"/>
      <c r="BF15" s="3"/>
      <c r="BG15" s="2"/>
      <c r="BH15" s="2"/>
      <c r="BI15" s="3"/>
    </row>
    <row r="16" spans="42:61" x14ac:dyDescent="0.25">
      <c r="AR16" s="16" t="s">
        <v>84</v>
      </c>
    </row>
    <row r="17" spans="1:43" s="3" customFormat="1" ht="79.8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6</v>
      </c>
      <c r="M17" s="2" t="s">
        <v>7</v>
      </c>
      <c r="N17" s="2" t="s">
        <v>8</v>
      </c>
      <c r="O17" s="2" t="s">
        <v>9</v>
      </c>
      <c r="P17" s="2" t="s">
        <v>10</v>
      </c>
      <c r="Q17" s="3" t="s">
        <v>15</v>
      </c>
      <c r="R17" s="3" t="s">
        <v>33</v>
      </c>
      <c r="S17" s="3" t="s">
        <v>16</v>
      </c>
      <c r="T17" s="3" t="s">
        <v>17</v>
      </c>
      <c r="U17" s="3" t="s">
        <v>34</v>
      </c>
      <c r="V17" s="3" t="s">
        <v>35</v>
      </c>
      <c r="W17" s="3" t="s">
        <v>85</v>
      </c>
      <c r="X17" s="2" t="s">
        <v>18</v>
      </c>
      <c r="Y17" s="2" t="s">
        <v>19</v>
      </c>
      <c r="Z17" s="2" t="s">
        <v>20</v>
      </c>
      <c r="AA17" s="2" t="s">
        <v>21</v>
      </c>
      <c r="AB17" s="2" t="s">
        <v>22</v>
      </c>
      <c r="AC17" s="2" t="s">
        <v>23</v>
      </c>
      <c r="AD17" s="3" t="s">
        <v>16</v>
      </c>
      <c r="AE17" s="3" t="s">
        <v>17</v>
      </c>
      <c r="AF17" s="3" t="s">
        <v>37</v>
      </c>
      <c r="AG17" s="3" t="s">
        <v>38</v>
      </c>
      <c r="AH17" s="3" t="s">
        <v>86</v>
      </c>
      <c r="AI17" s="17" t="s">
        <v>24</v>
      </c>
      <c r="AJ17" s="17" t="s">
        <v>25</v>
      </c>
      <c r="AK17" s="17" t="s">
        <v>26</v>
      </c>
      <c r="AL17" s="17" t="s">
        <v>27</v>
      </c>
      <c r="AM17" s="17" t="s">
        <v>28</v>
      </c>
      <c r="AN17" s="17" t="s">
        <v>29</v>
      </c>
      <c r="AP17" s="2" t="s">
        <v>87</v>
      </c>
    </row>
    <row r="18" spans="1:43" customFormat="1" ht="14.4" x14ac:dyDescent="0.3">
      <c r="A18" s="1">
        <v>43857</v>
      </c>
      <c r="B18" t="s">
        <v>88</v>
      </c>
      <c r="C18" t="s">
        <v>89</v>
      </c>
      <c r="D18">
        <v>10</v>
      </c>
      <c r="E18">
        <v>1</v>
      </c>
      <c r="F18">
        <v>1</v>
      </c>
      <c r="G18" t="s">
        <v>90</v>
      </c>
      <c r="H18" t="s">
        <v>91</v>
      </c>
      <c r="I18">
        <v>6.7000000000000004E-2</v>
      </c>
      <c r="J18">
        <v>1</v>
      </c>
      <c r="K18">
        <v>16.600000000000001</v>
      </c>
      <c r="L18" t="s">
        <v>92</v>
      </c>
      <c r="M18" t="s">
        <v>91</v>
      </c>
      <c r="N18">
        <v>1.73</v>
      </c>
      <c r="O18">
        <v>26.4</v>
      </c>
      <c r="P18">
        <v>427</v>
      </c>
      <c r="Q18" s="4"/>
      <c r="R18" s="4">
        <v>1.5</v>
      </c>
      <c r="S18" s="4">
        <v>1</v>
      </c>
      <c r="T18" s="4"/>
      <c r="U18" s="4">
        <f t="shared" ref="U18" si="0">(-4.515*J18^2)+(52.911*J18)-29.408</f>
        <v>18.988</v>
      </c>
      <c r="V18" s="4">
        <f t="shared" ref="V18:V23" si="1">IF(R18=1,U18,(U18-U$9))</f>
        <v>18.988</v>
      </c>
      <c r="W18" s="4">
        <f t="shared" ref="W18:W23" si="2">U18</f>
        <v>18.988</v>
      </c>
      <c r="Y18" s="4">
        <f t="shared" ref="Y18" si="3">(-4.515*(J18-0.62)^2)+(52.911*(J18-0.62))-29.408</f>
        <v>-9.9537860000000009</v>
      </c>
      <c r="AD18" s="4">
        <v>1</v>
      </c>
      <c r="AE18" s="4"/>
      <c r="AF18" s="4">
        <f t="shared" ref="AF18" si="4">(0.04031*O18^2)+(21.6372*O18)-370.075</f>
        <v>229.24153759999996</v>
      </c>
      <c r="AG18" s="4">
        <f t="shared" ref="AG18" si="5">IF(R18=1,AF18,(AF18-AF$9))</f>
        <v>229.24153759999996</v>
      </c>
      <c r="AH18" s="4">
        <f t="shared" ref="AH18:AH23" si="6">AF18</f>
        <v>229.24153759999996</v>
      </c>
      <c r="AM18" s="16"/>
      <c r="AP18" s="2">
        <v>1</v>
      </c>
      <c r="AQ18" s="15"/>
    </row>
    <row r="19" spans="1:43" customFormat="1" ht="14.4" x14ac:dyDescent="0.3">
      <c r="A19" s="1">
        <v>43871</v>
      </c>
      <c r="B19" t="s">
        <v>93</v>
      </c>
      <c r="C19" t="s">
        <v>89</v>
      </c>
      <c r="D19">
        <v>10</v>
      </c>
      <c r="E19">
        <v>1</v>
      </c>
      <c r="F19">
        <v>1</v>
      </c>
      <c r="G19" t="s">
        <v>90</v>
      </c>
      <c r="H19" t="s">
        <v>91</v>
      </c>
      <c r="I19">
        <v>6.6299999999999998E-2</v>
      </c>
      <c r="J19">
        <v>1.28</v>
      </c>
      <c r="K19">
        <v>21.5</v>
      </c>
      <c r="L19" t="s">
        <v>92</v>
      </c>
      <c r="M19" t="s">
        <v>91</v>
      </c>
      <c r="N19">
        <v>1.35</v>
      </c>
      <c r="O19">
        <v>20.7</v>
      </c>
      <c r="P19">
        <v>501</v>
      </c>
      <c r="Q19" s="4"/>
      <c r="R19" s="4">
        <v>1.5</v>
      </c>
      <c r="S19" s="4">
        <v>1</v>
      </c>
      <c r="T19" s="4"/>
      <c r="U19" s="4">
        <f t="shared" ref="U19" si="7">(-2.322*J19^2)+(42.443*J19)-25.069</f>
        <v>25.453675199999996</v>
      </c>
      <c r="V19" s="4">
        <f t="shared" si="1"/>
        <v>25.453675199999996</v>
      </c>
      <c r="W19" s="4">
        <f t="shared" si="2"/>
        <v>25.453675199999996</v>
      </c>
      <c r="X19" s="4"/>
      <c r="Y19" s="4"/>
      <c r="AD19" s="4">
        <v>1</v>
      </c>
      <c r="AE19" s="4"/>
      <c r="AF19" s="4">
        <f t="shared" ref="AF19" si="8">(0.06481*O19^2)+(34.2113*O19)-491.181</f>
        <v>244.76334690000004</v>
      </c>
      <c r="AG19" s="4">
        <f t="shared" ref="AG19" si="9">IF(AC19=1,AF19,(AF19-AF$9))</f>
        <v>244.76334690000004</v>
      </c>
      <c r="AH19" s="4">
        <f t="shared" si="6"/>
        <v>244.76334690000004</v>
      </c>
      <c r="AM19" s="16"/>
      <c r="AP19" s="2">
        <v>2</v>
      </c>
      <c r="AQ19" s="15"/>
    </row>
    <row r="20" spans="1:43" customFormat="1" ht="14.4" x14ac:dyDescent="0.3">
      <c r="A20" s="9">
        <v>43878</v>
      </c>
      <c r="B20" s="10" t="s">
        <v>94</v>
      </c>
      <c r="C20" s="10" t="s">
        <v>89</v>
      </c>
      <c r="D20" s="10">
        <v>10</v>
      </c>
      <c r="E20" s="10">
        <v>1</v>
      </c>
      <c r="F20" s="10">
        <v>1</v>
      </c>
      <c r="G20" s="10" t="s">
        <v>90</v>
      </c>
      <c r="H20" s="10" t="s">
        <v>91</v>
      </c>
      <c r="I20" s="10">
        <v>5.6300000000000003E-2</v>
      </c>
      <c r="J20" s="10">
        <v>1.1399999999999999</v>
      </c>
      <c r="K20" s="10">
        <v>15.8</v>
      </c>
      <c r="L20" s="10" t="s">
        <v>92</v>
      </c>
      <c r="M20" s="10" t="s">
        <v>91</v>
      </c>
      <c r="N20" s="10">
        <v>1.39</v>
      </c>
      <c r="O20" s="10">
        <v>21.4</v>
      </c>
      <c r="P20" s="10">
        <v>508</v>
      </c>
      <c r="Q20" s="4"/>
      <c r="R20" s="4">
        <v>1.5</v>
      </c>
      <c r="S20" s="4">
        <v>1</v>
      </c>
      <c r="T20" s="4"/>
      <c r="U20" s="4">
        <f t="shared" ref="U20" si="10">(-2.704*J20^2)+(44.34*J20)-22.788</f>
        <v>24.245481600000002</v>
      </c>
      <c r="V20" s="4">
        <f t="shared" si="1"/>
        <v>24.245481600000002</v>
      </c>
      <c r="W20" s="4">
        <f t="shared" si="2"/>
        <v>24.245481600000002</v>
      </c>
      <c r="X20" s="10"/>
      <c r="Y20" s="10"/>
      <c r="Z20" s="10"/>
      <c r="AA20" s="10"/>
      <c r="AB20" s="10"/>
      <c r="AC20" s="10"/>
      <c r="AD20" s="4">
        <v>1</v>
      </c>
      <c r="AE20" s="4"/>
      <c r="AF20" s="4">
        <f t="shared" ref="AF20" si="11">(-0.13814*O20^2)+(44.7842*O20)-648.064</f>
        <v>247.05528559999993</v>
      </c>
      <c r="AG20" s="4">
        <f t="shared" ref="AG20:AG23" si="12">IF(R20=1,AF20,(AF20-AF$9))</f>
        <v>247.05528559999993</v>
      </c>
      <c r="AH20" s="4">
        <f t="shared" si="6"/>
        <v>247.05528559999993</v>
      </c>
      <c r="AM20" s="16"/>
      <c r="AP20" s="2">
        <v>3</v>
      </c>
      <c r="AQ20" s="15"/>
    </row>
    <row r="21" spans="1:43" customFormat="1" ht="14.4" x14ac:dyDescent="0.3">
      <c r="A21" s="1">
        <v>43892</v>
      </c>
      <c r="B21" t="s">
        <v>95</v>
      </c>
      <c r="C21" t="s">
        <v>89</v>
      </c>
      <c r="D21">
        <v>10</v>
      </c>
      <c r="E21">
        <v>1</v>
      </c>
      <c r="F21">
        <v>1</v>
      </c>
      <c r="G21" t="s">
        <v>90</v>
      </c>
      <c r="H21" t="s">
        <v>91</v>
      </c>
      <c r="I21">
        <v>5.7799999999999997E-2</v>
      </c>
      <c r="J21">
        <v>1.5</v>
      </c>
      <c r="K21">
        <v>27.5</v>
      </c>
      <c r="L21" t="s">
        <v>92</v>
      </c>
      <c r="M21" t="s">
        <v>91</v>
      </c>
      <c r="N21">
        <v>1.35</v>
      </c>
      <c r="O21">
        <v>20.5</v>
      </c>
      <c r="P21">
        <v>492</v>
      </c>
      <c r="Q21" s="4"/>
      <c r="R21" s="4">
        <v>1.5</v>
      </c>
      <c r="S21" s="4">
        <v>1</v>
      </c>
      <c r="T21" s="4"/>
      <c r="U21" s="4">
        <f t="shared" ref="U21" si="13">(-1.414*J21^2)+(34.739*J21)-20.448</f>
        <v>28.478999999999992</v>
      </c>
      <c r="V21" s="4">
        <f t="shared" si="1"/>
        <v>28.478999999999992</v>
      </c>
      <c r="W21" s="4">
        <f t="shared" si="2"/>
        <v>28.478999999999992</v>
      </c>
      <c r="X21" s="4"/>
      <c r="Y21" s="4"/>
      <c r="Z21" s="4"/>
      <c r="AA21" s="4"/>
      <c r="AB21" s="4"/>
      <c r="AC21" s="4"/>
      <c r="AD21" s="4">
        <v>1</v>
      </c>
      <c r="AE21" s="4"/>
      <c r="AF21" s="4">
        <f t="shared" ref="AF21" si="14">(-0.12612*O21^2)+(39.93163*O21)-519.30727</f>
        <v>246.2892149999999</v>
      </c>
      <c r="AG21" s="4">
        <f t="shared" si="12"/>
        <v>246.2892149999999</v>
      </c>
      <c r="AH21" s="4">
        <f t="shared" si="6"/>
        <v>246.2892149999999</v>
      </c>
      <c r="AM21" s="16"/>
      <c r="AP21" s="2">
        <v>4</v>
      </c>
      <c r="AQ21" s="15"/>
    </row>
    <row r="22" spans="1:43" customFormat="1" ht="14.4" x14ac:dyDescent="0.3">
      <c r="A22" s="1">
        <v>43916</v>
      </c>
      <c r="B22" t="s">
        <v>96</v>
      </c>
      <c r="C22" t="s">
        <v>89</v>
      </c>
      <c r="D22">
        <v>10</v>
      </c>
      <c r="E22">
        <v>1</v>
      </c>
      <c r="F22">
        <v>1</v>
      </c>
      <c r="G22" t="s">
        <v>90</v>
      </c>
      <c r="H22" t="s">
        <v>91</v>
      </c>
      <c r="I22">
        <v>5.8500000000000003E-2</v>
      </c>
      <c r="J22">
        <v>1.33</v>
      </c>
      <c r="K22">
        <v>23</v>
      </c>
      <c r="L22" t="s">
        <v>92</v>
      </c>
      <c r="M22" t="s">
        <v>91</v>
      </c>
      <c r="N22">
        <v>1.25</v>
      </c>
      <c r="O22">
        <v>19.399999999999999</v>
      </c>
      <c r="P22">
        <v>569</v>
      </c>
      <c r="Q22" s="4"/>
      <c r="R22" s="4">
        <v>1.5</v>
      </c>
      <c r="S22" s="4">
        <v>1</v>
      </c>
      <c r="T22" s="4"/>
      <c r="U22" s="4">
        <f t="shared" ref="U22" si="15">(-2.418*J22^2)+(40.489*J22)-25.853</f>
        <v>23.720169799999994</v>
      </c>
      <c r="V22" s="4">
        <f t="shared" si="1"/>
        <v>23.720169799999994</v>
      </c>
      <c r="W22" s="4">
        <f t="shared" si="2"/>
        <v>23.720169799999994</v>
      </c>
      <c r="AD22" s="4">
        <v>1</v>
      </c>
      <c r="AE22" s="4"/>
      <c r="AF22" s="4">
        <f t="shared" ref="AF22" si="16">(-0.03519*O22^2)+(40.2247*O22)-512.361</f>
        <v>254.75407159999997</v>
      </c>
      <c r="AG22" s="4">
        <f t="shared" si="12"/>
        <v>254.75407159999997</v>
      </c>
      <c r="AH22" s="4">
        <f t="shared" si="6"/>
        <v>254.75407159999997</v>
      </c>
      <c r="AM22" s="16"/>
      <c r="AP22" s="2">
        <v>5</v>
      </c>
      <c r="AQ22" s="15"/>
    </row>
    <row r="23" spans="1:43" customFormat="1" ht="14.4" x14ac:dyDescent="0.3">
      <c r="A23" s="1">
        <v>43921</v>
      </c>
      <c r="B23" t="s">
        <v>97</v>
      </c>
      <c r="C23" t="s">
        <v>98</v>
      </c>
      <c r="D23">
        <v>10</v>
      </c>
      <c r="E23">
        <v>1</v>
      </c>
      <c r="F23">
        <v>1</v>
      </c>
      <c r="G23" t="s">
        <v>90</v>
      </c>
      <c r="H23" t="s">
        <v>91</v>
      </c>
      <c r="I23">
        <v>7.4300000000000005E-2</v>
      </c>
      <c r="J23">
        <v>1.32</v>
      </c>
      <c r="K23">
        <v>21.9</v>
      </c>
      <c r="L23" t="s">
        <v>92</v>
      </c>
      <c r="M23" t="s">
        <v>91</v>
      </c>
      <c r="N23">
        <v>1.04</v>
      </c>
      <c r="O23">
        <v>18</v>
      </c>
      <c r="P23">
        <v>487</v>
      </c>
      <c r="Q23" s="4"/>
      <c r="R23" s="4">
        <v>1.5</v>
      </c>
      <c r="S23" s="4">
        <v>1</v>
      </c>
      <c r="T23" s="4"/>
      <c r="U23" s="4">
        <f t="shared" ref="U23" si="17">(-0.25*J23^2)+(28.116*J23)-12.712</f>
        <v>23.965520000000001</v>
      </c>
      <c r="V23" s="4">
        <f t="shared" si="1"/>
        <v>23.965520000000001</v>
      </c>
      <c r="W23" s="4">
        <f t="shared" si="2"/>
        <v>23.965520000000001</v>
      </c>
      <c r="X23" s="4"/>
      <c r="Y23" s="4"/>
      <c r="Z23" s="4"/>
      <c r="AA23" s="4"/>
      <c r="AB23" s="4"/>
      <c r="AC23" s="4"/>
      <c r="AD23" s="4">
        <v>1</v>
      </c>
      <c r="AE23" s="4"/>
      <c r="AF23" s="4">
        <f t="shared" ref="AF23" si="18">(-0.1483*O23^2)+(50.9038*O23)-621.97</f>
        <v>246.24919999999986</v>
      </c>
      <c r="AG23" s="4">
        <f t="shared" si="12"/>
        <v>246.24919999999986</v>
      </c>
      <c r="AH23" s="4">
        <f t="shared" si="6"/>
        <v>246.24919999999986</v>
      </c>
      <c r="AM23" s="16"/>
      <c r="AO23" s="2"/>
      <c r="AP23" s="2">
        <v>6</v>
      </c>
      <c r="AQ23" s="15"/>
    </row>
    <row r="24" spans="1:43" customFormat="1" ht="14.4" x14ac:dyDescent="0.3">
      <c r="A24" s="1">
        <v>44119</v>
      </c>
      <c r="B24" t="s">
        <v>99</v>
      </c>
      <c r="C24" t="s">
        <v>77</v>
      </c>
      <c r="D24">
        <v>28</v>
      </c>
      <c r="E24">
        <v>1</v>
      </c>
      <c r="F24">
        <v>1</v>
      </c>
      <c r="G24" t="s">
        <v>51</v>
      </c>
      <c r="H24" t="s">
        <v>52</v>
      </c>
      <c r="I24">
        <v>5.5100000000000003E-2</v>
      </c>
      <c r="J24">
        <v>1.31</v>
      </c>
      <c r="K24">
        <v>24</v>
      </c>
      <c r="L24" t="s">
        <v>53</v>
      </c>
      <c r="M24" t="s">
        <v>54</v>
      </c>
      <c r="N24">
        <v>0.42199999999999999</v>
      </c>
      <c r="O24">
        <v>7.07</v>
      </c>
      <c r="P24">
        <v>8.16</v>
      </c>
      <c r="Q24" s="4"/>
      <c r="R24" s="4">
        <v>1</v>
      </c>
      <c r="S24" s="4">
        <v>1</v>
      </c>
      <c r="T24" s="4"/>
      <c r="U24" s="4">
        <v>24</v>
      </c>
      <c r="V24" s="4">
        <v>24</v>
      </c>
      <c r="W24" s="4">
        <v>24</v>
      </c>
      <c r="X24" s="4"/>
      <c r="Y24" s="4"/>
      <c r="Z24" s="4"/>
      <c r="AA24" s="4"/>
      <c r="AB24" s="4"/>
      <c r="AC24" s="4"/>
      <c r="AD24" s="4">
        <v>2</v>
      </c>
      <c r="AE24" s="4" t="s">
        <v>100</v>
      </c>
      <c r="AF24" s="4">
        <v>127.46810978999997</v>
      </c>
      <c r="AG24" s="4">
        <v>127.46810978999997</v>
      </c>
      <c r="AH24" s="4"/>
      <c r="AJ24" s="4">
        <v>105.68690316525036</v>
      </c>
      <c r="AM24" s="16"/>
      <c r="AO24" s="2"/>
      <c r="AP24" s="2">
        <v>7</v>
      </c>
      <c r="AQ24" s="15"/>
    </row>
    <row r="25" spans="1:43" customFormat="1" ht="14.4" x14ac:dyDescent="0.3">
      <c r="A25" s="1">
        <v>44119</v>
      </c>
      <c r="B25" t="s">
        <v>99</v>
      </c>
      <c r="C25" t="s">
        <v>78</v>
      </c>
      <c r="D25">
        <v>29</v>
      </c>
      <c r="E25">
        <v>1</v>
      </c>
      <c r="F25">
        <v>1</v>
      </c>
      <c r="G25" t="s">
        <v>51</v>
      </c>
      <c r="H25" t="s">
        <v>52</v>
      </c>
      <c r="I25">
        <v>5.6300000000000003E-2</v>
      </c>
      <c r="J25">
        <v>1.31</v>
      </c>
      <c r="K25">
        <v>23.8</v>
      </c>
      <c r="L25" t="s">
        <v>53</v>
      </c>
      <c r="M25" t="s">
        <v>54</v>
      </c>
      <c r="N25">
        <v>0.51200000000000001</v>
      </c>
      <c r="O25">
        <v>8.69</v>
      </c>
      <c r="P25">
        <v>22.1</v>
      </c>
      <c r="Q25" s="4"/>
      <c r="R25" s="4">
        <v>1</v>
      </c>
      <c r="S25" s="4">
        <v>1</v>
      </c>
      <c r="T25" s="4"/>
      <c r="U25" s="4">
        <v>23.8</v>
      </c>
      <c r="V25" s="4">
        <v>23.8</v>
      </c>
      <c r="W25" s="4">
        <v>23.8</v>
      </c>
      <c r="X25" s="4"/>
      <c r="Y25" s="4"/>
      <c r="Z25" s="4"/>
      <c r="AA25" s="4"/>
      <c r="AB25" s="4"/>
      <c r="AC25" s="4"/>
      <c r="AD25" s="4">
        <v>2</v>
      </c>
      <c r="AE25" s="4" t="s">
        <v>100</v>
      </c>
      <c r="AF25" s="4">
        <v>292.51807730999997</v>
      </c>
      <c r="AG25" s="4">
        <v>292.51807730999997</v>
      </c>
      <c r="AH25" s="4">
        <v>251.64358121458605</v>
      </c>
      <c r="AM25" s="16"/>
      <c r="AO25" s="2"/>
      <c r="AP25" s="2">
        <v>8</v>
      </c>
      <c r="AQ25" s="15"/>
    </row>
    <row r="26" spans="1:43" customFormat="1" ht="14.4" x14ac:dyDescent="0.3">
      <c r="A26" s="1">
        <v>44119</v>
      </c>
      <c r="B26" t="s">
        <v>99</v>
      </c>
      <c r="C26" t="s">
        <v>79</v>
      </c>
      <c r="D26">
        <v>30</v>
      </c>
      <c r="E26">
        <v>1</v>
      </c>
      <c r="F26">
        <v>1</v>
      </c>
      <c r="G26" t="s">
        <v>51</v>
      </c>
      <c r="H26" t="s">
        <v>52</v>
      </c>
      <c r="I26">
        <v>5.5500000000000001E-2</v>
      </c>
      <c r="J26">
        <v>1.27</v>
      </c>
      <c r="K26">
        <v>22.9</v>
      </c>
      <c r="L26" t="s">
        <v>53</v>
      </c>
      <c r="M26" t="s">
        <v>54</v>
      </c>
      <c r="N26">
        <v>0.495</v>
      </c>
      <c r="O26">
        <v>8.41</v>
      </c>
      <c r="P26">
        <v>19.7</v>
      </c>
      <c r="Q26" s="4"/>
      <c r="R26" s="4">
        <v>1</v>
      </c>
      <c r="S26" s="4">
        <v>1</v>
      </c>
      <c r="T26" s="4"/>
      <c r="U26" s="4">
        <v>22.9</v>
      </c>
      <c r="V26" s="4">
        <v>22.9</v>
      </c>
      <c r="W26" s="4">
        <v>22.9</v>
      </c>
      <c r="X26" s="4"/>
      <c r="Y26" s="4"/>
      <c r="Z26" s="4"/>
      <c r="AA26" s="4"/>
      <c r="AB26" s="4"/>
      <c r="AC26" s="4"/>
      <c r="AD26" s="4">
        <v>2</v>
      </c>
      <c r="AE26" s="4" t="s">
        <v>100</v>
      </c>
      <c r="AF26" s="4">
        <v>264.23964250999995</v>
      </c>
      <c r="AG26" s="4">
        <v>264.23964250999995</v>
      </c>
      <c r="AH26" s="4">
        <v>227.2878064954233</v>
      </c>
      <c r="AM26" s="16"/>
      <c r="AO26" s="2"/>
      <c r="AP26" s="2">
        <v>9</v>
      </c>
      <c r="AQ26" s="15"/>
    </row>
    <row r="27" spans="1:43" customFormat="1" ht="14.4" x14ac:dyDescent="0.3">
      <c r="A27" s="1">
        <v>44119</v>
      </c>
      <c r="B27" t="s">
        <v>99</v>
      </c>
      <c r="C27" t="s">
        <v>80</v>
      </c>
      <c r="D27">
        <v>31</v>
      </c>
      <c r="E27">
        <v>1</v>
      </c>
      <c r="F27">
        <v>1</v>
      </c>
      <c r="G27" t="s">
        <v>51</v>
      </c>
      <c r="H27" t="s">
        <v>52</v>
      </c>
      <c r="I27">
        <v>5.57E-2</v>
      </c>
      <c r="J27">
        <v>1.28</v>
      </c>
      <c r="K27">
        <v>23.1</v>
      </c>
      <c r="L27" t="s">
        <v>53</v>
      </c>
      <c r="M27" t="s">
        <v>54</v>
      </c>
      <c r="N27">
        <v>0.48299999999999998</v>
      </c>
      <c r="O27">
        <v>8.16</v>
      </c>
      <c r="P27">
        <v>17.5</v>
      </c>
      <c r="Q27" s="4"/>
      <c r="R27" s="4">
        <v>1</v>
      </c>
      <c r="S27" s="4">
        <v>1</v>
      </c>
      <c r="T27" s="4"/>
      <c r="U27" s="4">
        <v>23.1</v>
      </c>
      <c r="V27" s="4">
        <v>23.1</v>
      </c>
      <c r="W27" s="4">
        <v>23.1</v>
      </c>
      <c r="X27" s="4"/>
      <c r="Y27" s="4"/>
      <c r="Z27" s="4"/>
      <c r="AA27" s="4"/>
      <c r="AB27" s="4"/>
      <c r="AC27" s="4"/>
      <c r="AD27" s="4">
        <v>2</v>
      </c>
      <c r="AE27" s="4" t="s">
        <v>100</v>
      </c>
      <c r="AF27" s="4">
        <v>238.90320575999999</v>
      </c>
      <c r="AG27" s="4">
        <v>238.90320575999999</v>
      </c>
      <c r="AH27" s="4">
        <v>205.5903123585334</v>
      </c>
      <c r="AM27" s="16"/>
      <c r="AO27" s="2"/>
      <c r="AP27" s="2">
        <v>10</v>
      </c>
      <c r="AQ27" s="15"/>
    </row>
    <row r="28" spans="1:43" customFormat="1" ht="14.4" x14ac:dyDescent="0.3">
      <c r="A28" s="1">
        <v>44119</v>
      </c>
      <c r="B28" t="s">
        <v>99</v>
      </c>
      <c r="C28" t="s">
        <v>81</v>
      </c>
      <c r="D28">
        <v>32</v>
      </c>
      <c r="E28">
        <v>1</v>
      </c>
      <c r="F28">
        <v>1</v>
      </c>
      <c r="G28" t="s">
        <v>51</v>
      </c>
      <c r="H28" t="s">
        <v>52</v>
      </c>
      <c r="I28">
        <v>5.7299999999999997E-2</v>
      </c>
      <c r="J28">
        <v>1.32</v>
      </c>
      <c r="K28">
        <v>24.1</v>
      </c>
      <c r="L28" t="s">
        <v>53</v>
      </c>
      <c r="M28" t="s">
        <v>54</v>
      </c>
      <c r="N28">
        <v>0.51700000000000002</v>
      </c>
      <c r="O28">
        <v>8.6999999999999993</v>
      </c>
      <c r="P28">
        <v>22.2</v>
      </c>
      <c r="Q28" s="4"/>
      <c r="R28" s="4">
        <v>1</v>
      </c>
      <c r="S28" s="4">
        <v>1</v>
      </c>
      <c r="T28" s="4"/>
      <c r="U28" s="4">
        <v>24.1</v>
      </c>
      <c r="V28" s="4">
        <v>24.1</v>
      </c>
      <c r="W28" s="4">
        <v>24.1</v>
      </c>
      <c r="X28" s="4"/>
      <c r="Y28" s="4"/>
      <c r="Z28" s="4"/>
      <c r="AA28" s="4"/>
      <c r="AB28" s="4"/>
      <c r="AC28" s="4"/>
      <c r="AD28" s="4">
        <v>2</v>
      </c>
      <c r="AE28" s="4" t="s">
        <v>100</v>
      </c>
      <c r="AF28" s="4">
        <v>293.52609899999993</v>
      </c>
      <c r="AG28" s="4">
        <v>293.52609899999993</v>
      </c>
      <c r="AH28" s="4">
        <v>254.98932883751976</v>
      </c>
      <c r="AM28" s="16"/>
      <c r="AO28" s="2"/>
      <c r="AP28" s="2">
        <v>11</v>
      </c>
      <c r="AQ28" s="15"/>
    </row>
    <row r="29" spans="1:43" customFormat="1" ht="14.4" x14ac:dyDescent="0.3">
      <c r="A29" s="1">
        <v>44133</v>
      </c>
      <c r="B29" t="s">
        <v>76</v>
      </c>
      <c r="C29" t="s">
        <v>79</v>
      </c>
      <c r="D29">
        <v>30</v>
      </c>
      <c r="E29">
        <v>1</v>
      </c>
      <c r="F29">
        <v>1</v>
      </c>
      <c r="G29" t="s">
        <v>51</v>
      </c>
      <c r="H29" t="s">
        <v>52</v>
      </c>
      <c r="I29">
        <v>4.8399999999999999E-2</v>
      </c>
      <c r="J29">
        <v>1.1599999999999999</v>
      </c>
      <c r="K29">
        <v>22.4</v>
      </c>
      <c r="L29" t="s">
        <v>53</v>
      </c>
      <c r="M29" t="s">
        <v>54</v>
      </c>
      <c r="N29">
        <v>0.309</v>
      </c>
      <c r="O29">
        <v>5.28</v>
      </c>
      <c r="P29">
        <v>230</v>
      </c>
      <c r="R29">
        <v>1</v>
      </c>
      <c r="S29">
        <v>1</v>
      </c>
      <c r="U29">
        <v>22.4</v>
      </c>
      <c r="V29">
        <v>22.4</v>
      </c>
      <c r="W29" s="2">
        <v>22.4</v>
      </c>
      <c r="Y29" s="2"/>
      <c r="Z29" s="2"/>
      <c r="AA29" s="2"/>
      <c r="AD29">
        <v>1</v>
      </c>
      <c r="AF29">
        <v>230</v>
      </c>
      <c r="AG29">
        <v>230</v>
      </c>
      <c r="AH29">
        <v>230</v>
      </c>
      <c r="AM29" s="16"/>
      <c r="AO29" s="2"/>
      <c r="AP29" s="2">
        <v>12</v>
      </c>
      <c r="AQ29" s="18"/>
    </row>
    <row r="30" spans="1:43" customFormat="1" ht="14.4" x14ac:dyDescent="0.3">
      <c r="A30" s="1">
        <v>44133</v>
      </c>
      <c r="B30" t="s">
        <v>76</v>
      </c>
      <c r="C30" t="s">
        <v>80</v>
      </c>
      <c r="D30">
        <v>31</v>
      </c>
      <c r="E30">
        <v>1</v>
      </c>
      <c r="F30">
        <v>1</v>
      </c>
      <c r="G30" t="s">
        <v>51</v>
      </c>
      <c r="H30" t="s">
        <v>52</v>
      </c>
      <c r="I30">
        <v>5.1200000000000002E-2</v>
      </c>
      <c r="J30">
        <v>1.21</v>
      </c>
      <c r="K30">
        <v>24.1</v>
      </c>
      <c r="L30" t="s">
        <v>53</v>
      </c>
      <c r="M30" t="s">
        <v>54</v>
      </c>
      <c r="N30">
        <v>0.33100000000000002</v>
      </c>
      <c r="O30">
        <v>5.72</v>
      </c>
      <c r="P30">
        <v>262</v>
      </c>
      <c r="R30">
        <v>1</v>
      </c>
      <c r="S30">
        <v>1</v>
      </c>
      <c r="U30">
        <v>24.1</v>
      </c>
      <c r="V30" s="2">
        <v>24.1</v>
      </c>
      <c r="W30" s="2">
        <v>24.1</v>
      </c>
      <c r="Y30" s="2"/>
      <c r="Z30" s="2"/>
      <c r="AA30" s="2"/>
      <c r="AD30">
        <v>1</v>
      </c>
      <c r="AF30">
        <v>262</v>
      </c>
      <c r="AG30">
        <v>262</v>
      </c>
      <c r="AH30">
        <v>262</v>
      </c>
      <c r="AM30" s="16"/>
      <c r="AO30" s="2"/>
      <c r="AP30" s="2">
        <v>13</v>
      </c>
      <c r="AQ30" s="18"/>
    </row>
    <row r="31" spans="1:43" customFormat="1" ht="14.4" x14ac:dyDescent="0.3">
      <c r="A31" s="1">
        <v>44133</v>
      </c>
      <c r="B31" t="s">
        <v>76</v>
      </c>
      <c r="C31" t="s">
        <v>81</v>
      </c>
      <c r="D31">
        <v>32</v>
      </c>
      <c r="E31">
        <v>1</v>
      </c>
      <c r="F31">
        <v>1</v>
      </c>
      <c r="G31" t="s">
        <v>51</v>
      </c>
      <c r="H31" t="s">
        <v>52</v>
      </c>
      <c r="I31">
        <v>4.7E-2</v>
      </c>
      <c r="J31">
        <v>1.05</v>
      </c>
      <c r="K31">
        <v>19.2</v>
      </c>
      <c r="L31" t="s">
        <v>53</v>
      </c>
      <c r="M31" t="s">
        <v>54</v>
      </c>
      <c r="N31">
        <v>0.32400000000000001</v>
      </c>
      <c r="O31">
        <v>5.55</v>
      </c>
      <c r="P31">
        <v>249</v>
      </c>
      <c r="R31">
        <v>1</v>
      </c>
      <c r="S31">
        <v>1</v>
      </c>
      <c r="U31">
        <v>19.2</v>
      </c>
      <c r="V31">
        <v>19.2</v>
      </c>
      <c r="W31" s="2">
        <v>19.2</v>
      </c>
      <c r="Y31" s="2"/>
      <c r="Z31" s="2"/>
      <c r="AA31" s="2"/>
      <c r="AD31">
        <v>1</v>
      </c>
      <c r="AF31">
        <v>249</v>
      </c>
      <c r="AG31">
        <v>249</v>
      </c>
      <c r="AH31">
        <v>249</v>
      </c>
      <c r="AM31" s="16"/>
      <c r="AO31" s="2"/>
      <c r="AP31" s="2">
        <v>14</v>
      </c>
      <c r="AQ31" s="18"/>
    </row>
    <row r="32" spans="1:43" customFormat="1" ht="14.4" x14ac:dyDescent="0.3">
      <c r="A32" s="1">
        <v>44133</v>
      </c>
      <c r="B32" t="s">
        <v>76</v>
      </c>
      <c r="C32" t="s">
        <v>74</v>
      </c>
      <c r="D32">
        <v>33</v>
      </c>
      <c r="E32">
        <v>1</v>
      </c>
      <c r="F32">
        <v>1</v>
      </c>
      <c r="G32" t="s">
        <v>51</v>
      </c>
      <c r="H32" t="s">
        <v>52</v>
      </c>
      <c r="I32">
        <v>5.1400000000000001E-2</v>
      </c>
      <c r="J32">
        <v>1.21</v>
      </c>
      <c r="K32">
        <v>24.1</v>
      </c>
      <c r="L32" t="s">
        <v>53</v>
      </c>
      <c r="M32" t="s">
        <v>54</v>
      </c>
      <c r="N32">
        <v>0.29499999999999998</v>
      </c>
      <c r="O32">
        <v>5.05</v>
      </c>
      <c r="P32">
        <v>212</v>
      </c>
      <c r="R32">
        <v>1</v>
      </c>
      <c r="S32">
        <v>1</v>
      </c>
      <c r="U32">
        <v>24.1</v>
      </c>
      <c r="V32">
        <v>24.1</v>
      </c>
      <c r="W32" s="2">
        <v>24.1</v>
      </c>
      <c r="Y32" s="2"/>
      <c r="Z32" s="2"/>
      <c r="AA32" s="2"/>
      <c r="AD32">
        <v>1</v>
      </c>
      <c r="AF32">
        <v>212</v>
      </c>
      <c r="AG32">
        <v>212</v>
      </c>
      <c r="AH32">
        <v>212</v>
      </c>
      <c r="AM32" s="16"/>
      <c r="AO32" s="2"/>
      <c r="AP32" s="2">
        <v>15</v>
      </c>
      <c r="AQ32" s="18"/>
    </row>
    <row r="33" spans="1:70" customFormat="1" ht="14.4" x14ac:dyDescent="0.3">
      <c r="A33" s="1">
        <v>44133</v>
      </c>
      <c r="B33" t="s">
        <v>76</v>
      </c>
      <c r="C33" t="s">
        <v>75</v>
      </c>
      <c r="D33">
        <v>34</v>
      </c>
      <c r="E33">
        <v>1</v>
      </c>
      <c r="F33">
        <v>1</v>
      </c>
      <c r="G33" t="s">
        <v>51</v>
      </c>
      <c r="H33" t="s">
        <v>52</v>
      </c>
      <c r="I33">
        <v>5.67E-2</v>
      </c>
      <c r="J33">
        <v>1.34</v>
      </c>
      <c r="K33">
        <v>27.7</v>
      </c>
      <c r="L33" t="s">
        <v>53</v>
      </c>
      <c r="M33" t="s">
        <v>54</v>
      </c>
      <c r="N33">
        <v>0.32</v>
      </c>
      <c r="O33">
        <v>5.51</v>
      </c>
      <c r="P33">
        <v>246</v>
      </c>
      <c r="R33">
        <v>1</v>
      </c>
      <c r="S33">
        <v>1</v>
      </c>
      <c r="U33">
        <v>27.7</v>
      </c>
      <c r="V33">
        <v>27.7</v>
      </c>
      <c r="W33" s="2">
        <v>27.7</v>
      </c>
      <c r="Y33" s="2"/>
      <c r="Z33" s="2"/>
      <c r="AA33" s="2"/>
      <c r="AD33">
        <v>1</v>
      </c>
      <c r="AF33">
        <v>246</v>
      </c>
      <c r="AG33">
        <v>246</v>
      </c>
      <c r="AH33">
        <v>246</v>
      </c>
      <c r="AM33" s="16"/>
      <c r="AO33" s="2"/>
      <c r="AP33" s="2">
        <v>16</v>
      </c>
      <c r="AQ33" s="18"/>
    </row>
    <row r="34" spans="1:70" customFormat="1" ht="14.4" x14ac:dyDescent="0.3">
      <c r="A34" s="1">
        <v>44166</v>
      </c>
      <c r="B34" t="s">
        <v>82</v>
      </c>
      <c r="C34" t="s">
        <v>67</v>
      </c>
      <c r="D34">
        <v>30</v>
      </c>
      <c r="E34">
        <v>1</v>
      </c>
      <c r="F34">
        <v>1</v>
      </c>
      <c r="G34" t="s">
        <v>51</v>
      </c>
      <c r="H34" t="s">
        <v>52</v>
      </c>
      <c r="I34">
        <v>5.7799999999999997E-2</v>
      </c>
      <c r="J34">
        <v>1.29</v>
      </c>
      <c r="K34">
        <v>18.7</v>
      </c>
      <c r="L34" t="s">
        <v>53</v>
      </c>
      <c r="M34" t="s">
        <v>54</v>
      </c>
      <c r="N34">
        <v>0.16400000000000001</v>
      </c>
      <c r="O34">
        <v>2.98</v>
      </c>
      <c r="P34">
        <v>171</v>
      </c>
      <c r="R34">
        <v>1</v>
      </c>
      <c r="S34">
        <v>2</v>
      </c>
      <c r="T34" t="s">
        <v>83</v>
      </c>
      <c r="U34">
        <v>25.496759050000001</v>
      </c>
      <c r="V34">
        <v>25.496759050000001</v>
      </c>
      <c r="W34" s="2">
        <v>25.496759050000001</v>
      </c>
      <c r="Y34" s="2"/>
      <c r="Z34" s="2"/>
      <c r="AA34" s="2"/>
      <c r="AD34">
        <v>1</v>
      </c>
      <c r="AF34">
        <v>181.08211395999999</v>
      </c>
      <c r="AG34">
        <v>181.08211395999999</v>
      </c>
      <c r="AH34">
        <v>181.08211395999999</v>
      </c>
      <c r="AM34" s="16"/>
      <c r="AO34" s="2"/>
      <c r="AP34" s="2">
        <v>17</v>
      </c>
      <c r="AQ34" s="18"/>
    </row>
    <row r="35" spans="1:70" customFormat="1" ht="14.4" x14ac:dyDescent="0.3">
      <c r="A35" s="1">
        <v>44166</v>
      </c>
      <c r="B35" t="s">
        <v>82</v>
      </c>
      <c r="C35" t="s">
        <v>68</v>
      </c>
      <c r="D35">
        <v>31</v>
      </c>
      <c r="E35">
        <v>1</v>
      </c>
      <c r="F35">
        <v>1</v>
      </c>
      <c r="G35" t="s">
        <v>51</v>
      </c>
      <c r="H35" t="s">
        <v>52</v>
      </c>
      <c r="I35">
        <v>5.8799999999999998E-2</v>
      </c>
      <c r="J35">
        <v>1.33</v>
      </c>
      <c r="K35">
        <v>19.600000000000001</v>
      </c>
      <c r="L35" t="s">
        <v>53</v>
      </c>
      <c r="M35" t="s">
        <v>54</v>
      </c>
      <c r="N35">
        <v>0.19700000000000001</v>
      </c>
      <c r="O35">
        <v>3.6</v>
      </c>
      <c r="P35">
        <v>226</v>
      </c>
      <c r="R35">
        <v>1</v>
      </c>
      <c r="S35">
        <v>2</v>
      </c>
      <c r="T35" t="s">
        <v>83</v>
      </c>
      <c r="U35">
        <v>26.692747449999999</v>
      </c>
      <c r="V35">
        <v>26.692747449999999</v>
      </c>
      <c r="W35" s="2">
        <v>26.692747449999999</v>
      </c>
      <c r="Y35" s="2"/>
      <c r="Z35" s="2"/>
      <c r="AA35" s="2"/>
      <c r="AD35">
        <v>1</v>
      </c>
      <c r="AF35">
        <v>239.41496399999997</v>
      </c>
      <c r="AG35">
        <v>239.41496399999997</v>
      </c>
      <c r="AH35">
        <v>239.41496399999997</v>
      </c>
      <c r="AM35" s="16"/>
      <c r="AO35" s="2"/>
      <c r="AP35" s="2">
        <v>18</v>
      </c>
      <c r="AQ35" s="18"/>
    </row>
    <row r="36" spans="1:70" customFormat="1" ht="14.4" x14ac:dyDescent="0.3">
      <c r="A36" s="1">
        <v>44166</v>
      </c>
      <c r="B36" t="s">
        <v>82</v>
      </c>
      <c r="C36" t="s">
        <v>69</v>
      </c>
      <c r="D36">
        <v>32</v>
      </c>
      <c r="E36">
        <v>1</v>
      </c>
      <c r="F36">
        <v>1</v>
      </c>
      <c r="G36" t="s">
        <v>51</v>
      </c>
      <c r="H36" t="s">
        <v>52</v>
      </c>
      <c r="I36">
        <v>6.0900000000000003E-2</v>
      </c>
      <c r="J36">
        <v>1.34</v>
      </c>
      <c r="K36">
        <v>19.899999999999999</v>
      </c>
      <c r="L36" t="s">
        <v>53</v>
      </c>
      <c r="M36" t="s">
        <v>54</v>
      </c>
      <c r="N36">
        <v>0.22500000000000001</v>
      </c>
      <c r="O36">
        <v>4.04</v>
      </c>
      <c r="P36">
        <v>266</v>
      </c>
      <c r="R36">
        <v>1</v>
      </c>
      <c r="S36">
        <v>2</v>
      </c>
      <c r="T36" t="s">
        <v>83</v>
      </c>
      <c r="U36">
        <v>26.991929799999994</v>
      </c>
      <c r="V36">
        <v>26.991929799999994</v>
      </c>
      <c r="W36" s="2">
        <v>26.991929799999994</v>
      </c>
      <c r="Y36" s="2"/>
      <c r="Z36" s="2"/>
      <c r="AA36" s="2"/>
      <c r="AD36">
        <v>1</v>
      </c>
      <c r="AF36">
        <v>281.12024783999993</v>
      </c>
      <c r="AG36">
        <v>281.12024783999993</v>
      </c>
      <c r="AH36">
        <v>281.12024783999993</v>
      </c>
      <c r="AM36" s="16"/>
      <c r="AO36" s="2"/>
      <c r="AP36" s="2">
        <v>19</v>
      </c>
      <c r="AQ36" s="18"/>
    </row>
    <row r="37" spans="1:70" customFormat="1" ht="14.4" x14ac:dyDescent="0.3">
      <c r="A37" s="1">
        <v>44166</v>
      </c>
      <c r="B37" t="s">
        <v>82</v>
      </c>
      <c r="C37" t="s">
        <v>70</v>
      </c>
      <c r="D37">
        <v>33</v>
      </c>
      <c r="E37">
        <v>1</v>
      </c>
      <c r="F37">
        <v>1</v>
      </c>
      <c r="G37" t="s">
        <v>51</v>
      </c>
      <c r="H37" t="s">
        <v>52</v>
      </c>
      <c r="I37">
        <v>5.91E-2</v>
      </c>
      <c r="J37">
        <v>1.34</v>
      </c>
      <c r="K37">
        <v>19.8</v>
      </c>
      <c r="L37" t="s">
        <v>53</v>
      </c>
      <c r="M37" t="s">
        <v>54</v>
      </c>
      <c r="N37">
        <v>0.218</v>
      </c>
      <c r="O37">
        <v>3.9</v>
      </c>
      <c r="P37">
        <v>253</v>
      </c>
      <c r="R37">
        <v>1</v>
      </c>
      <c r="S37">
        <v>2</v>
      </c>
      <c r="T37" t="s">
        <v>83</v>
      </c>
      <c r="U37">
        <v>26.991929799999994</v>
      </c>
      <c r="V37">
        <v>26.991929799999994</v>
      </c>
      <c r="W37" s="2">
        <v>26.991929799999994</v>
      </c>
      <c r="Y37" s="2"/>
      <c r="Z37" s="2"/>
      <c r="AA37" s="2"/>
      <c r="AD37">
        <v>1</v>
      </c>
      <c r="AF37">
        <v>267.82266900000002</v>
      </c>
      <c r="AG37">
        <v>267.82266900000002</v>
      </c>
      <c r="AH37">
        <v>267.82266900000002</v>
      </c>
      <c r="AM37" s="16"/>
      <c r="AO37" s="2"/>
      <c r="AP37" s="2">
        <v>20</v>
      </c>
      <c r="AQ37" s="18"/>
    </row>
    <row r="38" spans="1:70" customFormat="1" ht="14.4" x14ac:dyDescent="0.3">
      <c r="A38" s="1">
        <v>44166</v>
      </c>
      <c r="B38" t="s">
        <v>82</v>
      </c>
      <c r="C38" t="s">
        <v>71</v>
      </c>
      <c r="D38">
        <v>34</v>
      </c>
      <c r="E38">
        <v>1</v>
      </c>
      <c r="F38">
        <v>1</v>
      </c>
      <c r="G38" t="s">
        <v>51</v>
      </c>
      <c r="H38" t="s">
        <v>52</v>
      </c>
      <c r="I38">
        <v>5.62E-2</v>
      </c>
      <c r="J38">
        <v>1.29</v>
      </c>
      <c r="K38">
        <v>18.7</v>
      </c>
      <c r="L38" t="s">
        <v>53</v>
      </c>
      <c r="M38" t="s">
        <v>54</v>
      </c>
      <c r="N38">
        <v>0.188</v>
      </c>
      <c r="O38">
        <v>3.43</v>
      </c>
      <c r="P38">
        <v>212</v>
      </c>
      <c r="R38">
        <v>1</v>
      </c>
      <c r="S38">
        <v>2</v>
      </c>
      <c r="T38" t="s">
        <v>83</v>
      </c>
      <c r="U38">
        <v>25.496759050000001</v>
      </c>
      <c r="V38">
        <v>25.496759050000001</v>
      </c>
      <c r="W38" s="2">
        <v>25.496759050000001</v>
      </c>
      <c r="Y38" s="2"/>
      <c r="Z38" s="2"/>
      <c r="AA38" s="2"/>
      <c r="AD38">
        <v>1</v>
      </c>
      <c r="AF38">
        <v>223.36999050999995</v>
      </c>
      <c r="AG38">
        <v>223.36999050999995</v>
      </c>
      <c r="AH38">
        <v>223.36999050999995</v>
      </c>
      <c r="AM38" s="16"/>
      <c r="AO38" s="2"/>
      <c r="AP38" s="2">
        <v>21</v>
      </c>
      <c r="AQ38" s="18"/>
    </row>
    <row r="39" spans="1:70" customFormat="1" ht="14.4" x14ac:dyDescent="0.3">
      <c r="A39" s="1">
        <v>44210</v>
      </c>
      <c r="B39" t="s">
        <v>72</v>
      </c>
      <c r="C39" t="s">
        <v>73</v>
      </c>
      <c r="D39">
        <v>30</v>
      </c>
      <c r="E39">
        <v>1</v>
      </c>
      <c r="F39">
        <v>1</v>
      </c>
      <c r="G39" t="s">
        <v>51</v>
      </c>
      <c r="H39" t="s">
        <v>52</v>
      </c>
      <c r="I39">
        <v>4.48E-2</v>
      </c>
      <c r="J39">
        <v>1.04</v>
      </c>
      <c r="K39">
        <v>23.5</v>
      </c>
      <c r="L39" t="s">
        <v>53</v>
      </c>
      <c r="M39" t="s">
        <v>54</v>
      </c>
      <c r="N39">
        <v>0.314</v>
      </c>
      <c r="O39">
        <v>4.62</v>
      </c>
      <c r="P39">
        <v>237</v>
      </c>
      <c r="Q39" s="4"/>
      <c r="R39" s="4">
        <v>1</v>
      </c>
      <c r="S39" s="4">
        <v>1</v>
      </c>
      <c r="T39" s="4"/>
      <c r="U39" s="4">
        <f t="shared" ref="U39:U53" si="19">K39</f>
        <v>23.5</v>
      </c>
      <c r="V39" s="4">
        <f t="shared" ref="V39:V53" si="20">IF(R39=1,U39,(U39-6.8))</f>
        <v>23.5</v>
      </c>
      <c r="W39" s="4">
        <f t="shared" ref="W39:W58" si="21">IF(R39=1,U39,(V39*R39))</f>
        <v>23.5</v>
      </c>
      <c r="X39" s="4"/>
      <c r="Y39" s="4"/>
      <c r="Z39" s="4"/>
      <c r="AA39" s="4"/>
      <c r="AB39" s="4"/>
      <c r="AC39" s="4"/>
      <c r="AD39" s="4">
        <v>1</v>
      </c>
      <c r="AE39" s="4"/>
      <c r="AF39" s="4">
        <f t="shared" ref="AF39:AF53" si="22">P39</f>
        <v>237</v>
      </c>
      <c r="AG39" s="4">
        <f t="shared" ref="AG39:AG53" si="23">IF(R39=1,AF39,(AF39-379))</f>
        <v>237</v>
      </c>
      <c r="AH39" s="4">
        <f t="shared" ref="AH39:AH58" si="24">IF(R39=1,AF39,(AG39*R39))</f>
        <v>237</v>
      </c>
      <c r="AI39" s="4"/>
      <c r="AJ39" s="4"/>
      <c r="AK39" s="4"/>
      <c r="AL39" s="4"/>
      <c r="AM39" s="4"/>
      <c r="AN39" s="4"/>
      <c r="AO39" s="4"/>
      <c r="AP39" s="2">
        <v>22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1:70" customFormat="1" ht="14.4" x14ac:dyDescent="0.3">
      <c r="A40" s="1">
        <v>44210</v>
      </c>
      <c r="B40" t="s">
        <v>72</v>
      </c>
      <c r="C40" t="s">
        <v>73</v>
      </c>
      <c r="D40">
        <v>31</v>
      </c>
      <c r="E40">
        <v>1</v>
      </c>
      <c r="F40">
        <v>1</v>
      </c>
      <c r="G40" t="s">
        <v>51</v>
      </c>
      <c r="H40" t="s">
        <v>52</v>
      </c>
      <c r="I40">
        <v>4.6800000000000001E-2</v>
      </c>
      <c r="J40">
        <v>1.0900000000000001</v>
      </c>
      <c r="K40">
        <v>25.1</v>
      </c>
      <c r="L40" t="s">
        <v>53</v>
      </c>
      <c r="M40" t="s">
        <v>54</v>
      </c>
      <c r="N40">
        <v>0.32</v>
      </c>
      <c r="O40">
        <v>4.67</v>
      </c>
      <c r="P40">
        <v>241</v>
      </c>
      <c r="Q40" s="4"/>
      <c r="R40" s="4">
        <v>1</v>
      </c>
      <c r="S40" s="4">
        <v>1</v>
      </c>
      <c r="T40" s="4"/>
      <c r="U40" s="4">
        <f t="shared" si="19"/>
        <v>25.1</v>
      </c>
      <c r="V40" s="4">
        <f t="shared" si="20"/>
        <v>25.1</v>
      </c>
      <c r="W40" s="4">
        <f t="shared" si="21"/>
        <v>25.1</v>
      </c>
      <c r="X40" s="4"/>
      <c r="Y40" s="4"/>
      <c r="Z40" s="4"/>
      <c r="AA40" s="4"/>
      <c r="AB40" s="4"/>
      <c r="AC40" s="4"/>
      <c r="AD40" s="4">
        <v>1</v>
      </c>
      <c r="AE40" s="4"/>
      <c r="AF40" s="4">
        <f t="shared" si="22"/>
        <v>241</v>
      </c>
      <c r="AG40" s="4">
        <f t="shared" si="23"/>
        <v>241</v>
      </c>
      <c r="AH40" s="4">
        <f t="shared" si="24"/>
        <v>241</v>
      </c>
      <c r="AI40" s="4"/>
      <c r="AJ40" s="4"/>
      <c r="AK40" s="4"/>
      <c r="AL40" s="4"/>
      <c r="AM40" s="4"/>
      <c r="AN40" s="4"/>
      <c r="AO40" s="4"/>
      <c r="AP40" s="2">
        <v>23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1:70" customFormat="1" ht="14.4" x14ac:dyDescent="0.3">
      <c r="A41" s="1">
        <v>44210</v>
      </c>
      <c r="B41" t="s">
        <v>72</v>
      </c>
      <c r="C41" t="s">
        <v>73</v>
      </c>
      <c r="D41">
        <v>32</v>
      </c>
      <c r="E41">
        <v>1</v>
      </c>
      <c r="F41">
        <v>1</v>
      </c>
      <c r="G41" t="s">
        <v>51</v>
      </c>
      <c r="H41" t="s">
        <v>52</v>
      </c>
      <c r="I41">
        <v>5.4300000000000001E-2</v>
      </c>
      <c r="J41">
        <v>1.33</v>
      </c>
      <c r="K41">
        <v>32.700000000000003</v>
      </c>
      <c r="L41" t="s">
        <v>53</v>
      </c>
      <c r="M41" t="s">
        <v>54</v>
      </c>
      <c r="N41">
        <v>0.32</v>
      </c>
      <c r="O41">
        <v>4.67</v>
      </c>
      <c r="P41">
        <v>240</v>
      </c>
      <c r="Q41" s="4"/>
      <c r="R41" s="4">
        <v>1</v>
      </c>
      <c r="S41" s="4">
        <v>1</v>
      </c>
      <c r="T41" s="4"/>
      <c r="U41" s="4">
        <f t="shared" si="19"/>
        <v>32.700000000000003</v>
      </c>
      <c r="V41" s="4">
        <f t="shared" si="20"/>
        <v>32.700000000000003</v>
      </c>
      <c r="W41" s="4">
        <f t="shared" si="21"/>
        <v>32.700000000000003</v>
      </c>
      <c r="X41" s="4"/>
      <c r="Y41" s="4"/>
      <c r="Z41" s="4"/>
      <c r="AA41" s="4"/>
      <c r="AB41" s="4"/>
      <c r="AC41" s="4"/>
      <c r="AD41" s="4">
        <v>1</v>
      </c>
      <c r="AE41" s="4"/>
      <c r="AF41" s="4">
        <f t="shared" si="22"/>
        <v>240</v>
      </c>
      <c r="AG41" s="4">
        <f t="shared" si="23"/>
        <v>240</v>
      </c>
      <c r="AH41" s="4">
        <f t="shared" si="24"/>
        <v>240</v>
      </c>
      <c r="AI41" s="4"/>
      <c r="AJ41" s="4"/>
      <c r="AK41" s="4"/>
      <c r="AL41" s="4"/>
      <c r="AM41" s="4"/>
      <c r="AN41" s="4"/>
      <c r="AO41" s="4"/>
      <c r="AP41" s="2">
        <v>24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:70" customFormat="1" ht="14.4" x14ac:dyDescent="0.3">
      <c r="A42" s="1">
        <v>44210</v>
      </c>
      <c r="B42" t="s">
        <v>72</v>
      </c>
      <c r="C42" t="s">
        <v>73</v>
      </c>
      <c r="D42">
        <v>33</v>
      </c>
      <c r="E42">
        <v>1</v>
      </c>
      <c r="F42">
        <v>1</v>
      </c>
      <c r="G42" t="s">
        <v>51</v>
      </c>
      <c r="H42" t="s">
        <v>52</v>
      </c>
      <c r="I42">
        <v>4.9799999999999997E-2</v>
      </c>
      <c r="J42">
        <v>1.1200000000000001</v>
      </c>
      <c r="K42">
        <v>26.2</v>
      </c>
      <c r="L42" t="s">
        <v>53</v>
      </c>
      <c r="M42" t="s">
        <v>54</v>
      </c>
      <c r="N42">
        <v>0.38800000000000001</v>
      </c>
      <c r="O42">
        <v>5.61</v>
      </c>
      <c r="P42">
        <v>306</v>
      </c>
      <c r="Q42" s="4"/>
      <c r="R42" s="4">
        <v>1</v>
      </c>
      <c r="S42" s="4">
        <v>1</v>
      </c>
      <c r="T42" s="4"/>
      <c r="U42" s="4">
        <f t="shared" si="19"/>
        <v>26.2</v>
      </c>
      <c r="V42" s="4">
        <f t="shared" si="20"/>
        <v>26.2</v>
      </c>
      <c r="W42" s="4">
        <f t="shared" si="21"/>
        <v>26.2</v>
      </c>
      <c r="X42" s="4"/>
      <c r="Y42" s="4"/>
      <c r="Z42" s="4"/>
      <c r="AA42" s="4"/>
      <c r="AB42" s="4"/>
      <c r="AC42" s="4"/>
      <c r="AD42" s="4">
        <v>1</v>
      </c>
      <c r="AE42" s="4"/>
      <c r="AF42" s="4">
        <f t="shared" si="22"/>
        <v>306</v>
      </c>
      <c r="AG42" s="4">
        <f t="shared" si="23"/>
        <v>306</v>
      </c>
      <c r="AH42" s="4">
        <f t="shared" si="24"/>
        <v>306</v>
      </c>
      <c r="AI42" s="4"/>
      <c r="AJ42" s="4"/>
      <c r="AK42" s="4"/>
      <c r="AL42" s="4"/>
      <c r="AM42" s="4"/>
      <c r="AN42" s="4"/>
      <c r="AO42" s="4"/>
      <c r="AP42" s="2">
        <v>25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:70" customFormat="1" ht="14.4" x14ac:dyDescent="0.3">
      <c r="A43" s="1">
        <v>44210</v>
      </c>
      <c r="B43" t="s">
        <v>72</v>
      </c>
      <c r="C43" t="s">
        <v>73</v>
      </c>
      <c r="D43">
        <v>34</v>
      </c>
      <c r="E43">
        <v>1</v>
      </c>
      <c r="F43">
        <v>1</v>
      </c>
      <c r="G43" t="s">
        <v>51</v>
      </c>
      <c r="H43" t="s">
        <v>52</v>
      </c>
      <c r="I43">
        <v>4.4600000000000001E-2</v>
      </c>
      <c r="J43">
        <v>1.05</v>
      </c>
      <c r="K43">
        <v>23.8</v>
      </c>
      <c r="L43" t="s">
        <v>53</v>
      </c>
      <c r="M43" t="s">
        <v>54</v>
      </c>
      <c r="N43">
        <v>0.35</v>
      </c>
      <c r="O43">
        <v>5.12</v>
      </c>
      <c r="P43">
        <v>272</v>
      </c>
      <c r="Q43" s="4"/>
      <c r="R43" s="4">
        <v>1</v>
      </c>
      <c r="S43" s="4">
        <v>1</v>
      </c>
      <c r="T43" s="4"/>
      <c r="U43" s="4">
        <f t="shared" si="19"/>
        <v>23.8</v>
      </c>
      <c r="V43" s="4">
        <f t="shared" si="20"/>
        <v>23.8</v>
      </c>
      <c r="W43" s="4">
        <f t="shared" si="21"/>
        <v>23.8</v>
      </c>
      <c r="X43" s="4"/>
      <c r="Y43" s="4"/>
      <c r="Z43" s="4"/>
      <c r="AA43" s="4"/>
      <c r="AB43" s="4"/>
      <c r="AC43" s="4"/>
      <c r="AD43" s="4">
        <v>1</v>
      </c>
      <c r="AE43" s="4"/>
      <c r="AF43" s="4">
        <f t="shared" si="22"/>
        <v>272</v>
      </c>
      <c r="AG43" s="4">
        <f t="shared" si="23"/>
        <v>272</v>
      </c>
      <c r="AH43" s="4">
        <f t="shared" si="24"/>
        <v>272</v>
      </c>
      <c r="AI43" s="4"/>
      <c r="AJ43" s="4"/>
      <c r="AK43" s="4"/>
      <c r="AL43" s="4"/>
      <c r="AM43" s="4"/>
      <c r="AN43" s="4"/>
      <c r="AO43" s="4"/>
      <c r="AP43" s="2">
        <v>26</v>
      </c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1:70" customFormat="1" ht="14.4" x14ac:dyDescent="0.3">
      <c r="A44" s="1">
        <v>44357</v>
      </c>
      <c r="B44" t="s">
        <v>122</v>
      </c>
      <c r="C44" t="s">
        <v>73</v>
      </c>
      <c r="D44">
        <v>30</v>
      </c>
      <c r="E44">
        <v>1</v>
      </c>
      <c r="F44">
        <v>1</v>
      </c>
      <c r="G44" t="s">
        <v>51</v>
      </c>
      <c r="H44" t="s">
        <v>52</v>
      </c>
      <c r="I44">
        <v>5.9200000000000003E-2</v>
      </c>
      <c r="J44">
        <v>1.17</v>
      </c>
      <c r="K44">
        <v>23.3</v>
      </c>
      <c r="L44" t="s">
        <v>53</v>
      </c>
      <c r="M44" t="s">
        <v>54</v>
      </c>
      <c r="N44">
        <v>0.252</v>
      </c>
      <c r="O44">
        <v>3.83</v>
      </c>
      <c r="P44">
        <v>178</v>
      </c>
      <c r="Q44" s="4"/>
      <c r="R44" s="4">
        <v>1</v>
      </c>
      <c r="S44" s="4">
        <v>1</v>
      </c>
      <c r="T44" s="4"/>
      <c r="U44" s="4">
        <f t="shared" si="19"/>
        <v>23.3</v>
      </c>
      <c r="V44" s="4">
        <f t="shared" si="20"/>
        <v>23.3</v>
      </c>
      <c r="W44" s="4">
        <f t="shared" si="21"/>
        <v>23.3</v>
      </c>
      <c r="X44" s="4"/>
      <c r="Y44" s="4"/>
      <c r="Z44" s="4"/>
      <c r="AA44" s="4"/>
      <c r="AB44" s="4"/>
      <c r="AC44" s="4"/>
      <c r="AD44" s="4">
        <v>1</v>
      </c>
      <c r="AE44" s="4"/>
      <c r="AF44" s="4">
        <f t="shared" si="22"/>
        <v>178</v>
      </c>
      <c r="AG44" s="4">
        <f t="shared" si="23"/>
        <v>178</v>
      </c>
      <c r="AH44" s="4">
        <f t="shared" si="24"/>
        <v>178</v>
      </c>
      <c r="AI44" s="4"/>
      <c r="AJ44" s="4"/>
      <c r="AK44" s="4"/>
      <c r="AL44" s="4"/>
      <c r="AM44" s="4"/>
      <c r="AN44" s="4"/>
      <c r="AO44" s="4"/>
      <c r="AP44" s="2">
        <v>27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:70" customFormat="1" ht="14.4" x14ac:dyDescent="0.3">
      <c r="A45" s="1">
        <v>44357</v>
      </c>
      <c r="B45" t="s">
        <v>122</v>
      </c>
      <c r="C45" t="s">
        <v>73</v>
      </c>
      <c r="D45">
        <v>31</v>
      </c>
      <c r="E45">
        <v>1</v>
      </c>
      <c r="F45">
        <v>1</v>
      </c>
      <c r="G45" t="s">
        <v>51</v>
      </c>
      <c r="H45" t="s">
        <v>52</v>
      </c>
      <c r="I45">
        <v>6.08E-2</v>
      </c>
      <c r="J45">
        <v>1.21</v>
      </c>
      <c r="K45">
        <v>24.5</v>
      </c>
      <c r="L45" t="s">
        <v>53</v>
      </c>
      <c r="M45" t="s">
        <v>54</v>
      </c>
      <c r="N45">
        <v>0.26</v>
      </c>
      <c r="O45">
        <v>3.9</v>
      </c>
      <c r="P45">
        <v>183</v>
      </c>
      <c r="Q45" s="4"/>
      <c r="R45" s="4">
        <v>1</v>
      </c>
      <c r="S45" s="4">
        <v>1</v>
      </c>
      <c r="T45" s="4"/>
      <c r="U45" s="4">
        <f t="shared" si="19"/>
        <v>24.5</v>
      </c>
      <c r="V45" s="4">
        <f t="shared" si="20"/>
        <v>24.5</v>
      </c>
      <c r="W45" s="4">
        <f t="shared" si="21"/>
        <v>24.5</v>
      </c>
      <c r="X45" s="4"/>
      <c r="Y45" s="4"/>
      <c r="Z45" s="4"/>
      <c r="AA45" s="4"/>
      <c r="AB45" s="4"/>
      <c r="AC45" s="4"/>
      <c r="AD45" s="4">
        <v>1</v>
      </c>
      <c r="AE45" s="4"/>
      <c r="AF45" s="4">
        <f t="shared" si="22"/>
        <v>183</v>
      </c>
      <c r="AG45" s="4">
        <f t="shared" si="23"/>
        <v>183</v>
      </c>
      <c r="AH45" s="4">
        <f t="shared" si="24"/>
        <v>183</v>
      </c>
      <c r="AI45" s="4"/>
      <c r="AJ45" s="4"/>
      <c r="AK45" s="4"/>
      <c r="AL45" s="4"/>
      <c r="AM45" s="4"/>
      <c r="AN45" s="4"/>
      <c r="AO45" s="4"/>
      <c r="AP45" s="2">
        <v>28</v>
      </c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:70" customFormat="1" ht="14.4" x14ac:dyDescent="0.3">
      <c r="A46" s="1">
        <v>44357</v>
      </c>
      <c r="B46" t="s">
        <v>122</v>
      </c>
      <c r="C46" t="s">
        <v>73</v>
      </c>
      <c r="D46">
        <v>32</v>
      </c>
      <c r="E46">
        <v>1</v>
      </c>
      <c r="F46">
        <v>1</v>
      </c>
      <c r="G46" t="s">
        <v>51</v>
      </c>
      <c r="H46" t="s">
        <v>52</v>
      </c>
      <c r="I46">
        <v>5.9299999999999999E-2</v>
      </c>
      <c r="J46">
        <v>1.19</v>
      </c>
      <c r="K46">
        <v>23.9</v>
      </c>
      <c r="L46" t="s">
        <v>53</v>
      </c>
      <c r="M46" t="s">
        <v>54</v>
      </c>
      <c r="N46">
        <v>0.247</v>
      </c>
      <c r="O46">
        <v>3.72</v>
      </c>
      <c r="P46">
        <v>172</v>
      </c>
      <c r="Q46" s="4"/>
      <c r="R46" s="4">
        <v>1</v>
      </c>
      <c r="S46" s="4">
        <v>1</v>
      </c>
      <c r="T46" s="4"/>
      <c r="U46" s="4">
        <f t="shared" si="19"/>
        <v>23.9</v>
      </c>
      <c r="V46" s="4">
        <f t="shared" si="20"/>
        <v>23.9</v>
      </c>
      <c r="W46" s="4">
        <f t="shared" si="21"/>
        <v>23.9</v>
      </c>
      <c r="X46" s="4"/>
      <c r="Y46" s="4"/>
      <c r="Z46" s="4"/>
      <c r="AA46" s="4"/>
      <c r="AB46" s="4"/>
      <c r="AC46" s="4"/>
      <c r="AD46" s="4">
        <v>1</v>
      </c>
      <c r="AE46" s="4"/>
      <c r="AF46" s="4">
        <f t="shared" si="22"/>
        <v>172</v>
      </c>
      <c r="AG46" s="4">
        <f t="shared" si="23"/>
        <v>172</v>
      </c>
      <c r="AH46" s="4">
        <f t="shared" si="24"/>
        <v>172</v>
      </c>
      <c r="AI46" s="4"/>
      <c r="AJ46" s="4"/>
      <c r="AK46" s="4"/>
      <c r="AL46" s="4"/>
      <c r="AM46" s="4"/>
      <c r="AN46" s="4"/>
      <c r="AO46" s="4"/>
      <c r="AP46" s="2">
        <v>29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:70" customFormat="1" ht="14.4" x14ac:dyDescent="0.3">
      <c r="A47" s="1">
        <v>44357</v>
      </c>
      <c r="B47" t="s">
        <v>122</v>
      </c>
      <c r="C47" t="s">
        <v>73</v>
      </c>
      <c r="D47">
        <v>33</v>
      </c>
      <c r="E47">
        <v>1</v>
      </c>
      <c r="F47">
        <v>1</v>
      </c>
      <c r="G47" t="s">
        <v>51</v>
      </c>
      <c r="H47" t="s">
        <v>52</v>
      </c>
      <c r="I47">
        <v>5.9700000000000003E-2</v>
      </c>
      <c r="J47">
        <v>1.23</v>
      </c>
      <c r="K47">
        <v>25</v>
      </c>
      <c r="L47" t="s">
        <v>53</v>
      </c>
      <c r="M47" t="s">
        <v>54</v>
      </c>
      <c r="N47">
        <v>0.25900000000000001</v>
      </c>
      <c r="O47">
        <v>3.93</v>
      </c>
      <c r="P47">
        <v>185</v>
      </c>
      <c r="Q47" s="4"/>
      <c r="R47" s="4">
        <v>1</v>
      </c>
      <c r="S47" s="4">
        <v>1</v>
      </c>
      <c r="T47" s="4"/>
      <c r="U47" s="4">
        <f t="shared" si="19"/>
        <v>25</v>
      </c>
      <c r="V47" s="4">
        <f t="shared" si="20"/>
        <v>25</v>
      </c>
      <c r="W47" s="4">
        <f t="shared" si="21"/>
        <v>25</v>
      </c>
      <c r="X47" s="4"/>
      <c r="Y47" s="4"/>
      <c r="Z47" s="4"/>
      <c r="AA47" s="4"/>
      <c r="AB47" s="4"/>
      <c r="AC47" s="4"/>
      <c r="AD47" s="4">
        <v>1</v>
      </c>
      <c r="AE47" s="4"/>
      <c r="AF47" s="4">
        <f t="shared" si="22"/>
        <v>185</v>
      </c>
      <c r="AG47" s="4">
        <f t="shared" si="23"/>
        <v>185</v>
      </c>
      <c r="AH47" s="4">
        <f t="shared" si="24"/>
        <v>185</v>
      </c>
      <c r="AI47" s="4"/>
      <c r="AJ47" s="4"/>
      <c r="AK47" s="4"/>
      <c r="AL47" s="4"/>
      <c r="AM47" s="4"/>
      <c r="AN47" s="4"/>
      <c r="AO47" s="4"/>
      <c r="AP47" s="2">
        <v>30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:70" customFormat="1" ht="14.4" x14ac:dyDescent="0.3">
      <c r="A48" s="1">
        <v>44357</v>
      </c>
      <c r="B48" t="s">
        <v>122</v>
      </c>
      <c r="C48" t="s">
        <v>73</v>
      </c>
      <c r="D48">
        <v>34</v>
      </c>
      <c r="E48">
        <v>1</v>
      </c>
      <c r="F48">
        <v>1</v>
      </c>
      <c r="G48" t="s">
        <v>51</v>
      </c>
      <c r="H48" t="s">
        <v>52</v>
      </c>
      <c r="I48">
        <v>5.9900000000000002E-2</v>
      </c>
      <c r="J48">
        <v>1.18</v>
      </c>
      <c r="K48">
        <v>23.6</v>
      </c>
      <c r="L48" t="s">
        <v>53</v>
      </c>
      <c r="M48" t="s">
        <v>54</v>
      </c>
      <c r="N48">
        <v>0.27400000000000002</v>
      </c>
      <c r="O48">
        <v>4.0999999999999996</v>
      </c>
      <c r="P48">
        <v>195</v>
      </c>
      <c r="Q48" s="4"/>
      <c r="R48" s="4">
        <v>1</v>
      </c>
      <c r="S48" s="4">
        <v>1</v>
      </c>
      <c r="T48" s="4"/>
      <c r="U48" s="4">
        <f t="shared" si="19"/>
        <v>23.6</v>
      </c>
      <c r="V48" s="4">
        <f t="shared" si="20"/>
        <v>23.6</v>
      </c>
      <c r="W48" s="4">
        <f t="shared" si="21"/>
        <v>23.6</v>
      </c>
      <c r="X48" s="4"/>
      <c r="Y48" s="4"/>
      <c r="Z48" s="4"/>
      <c r="AA48" s="4"/>
      <c r="AB48" s="4"/>
      <c r="AC48" s="4"/>
      <c r="AD48" s="4">
        <v>1</v>
      </c>
      <c r="AE48" s="4"/>
      <c r="AF48" s="4">
        <f t="shared" si="22"/>
        <v>195</v>
      </c>
      <c r="AG48" s="4">
        <f t="shared" si="23"/>
        <v>195</v>
      </c>
      <c r="AH48" s="4">
        <f t="shared" si="24"/>
        <v>195</v>
      </c>
      <c r="AI48" s="4"/>
      <c r="AJ48" s="4"/>
      <c r="AK48" s="4"/>
      <c r="AL48" s="4"/>
      <c r="AM48" s="4"/>
      <c r="AN48" s="4"/>
      <c r="AO48" s="4"/>
      <c r="AP48" s="2">
        <v>31</v>
      </c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:70" customFormat="1" ht="14.4" x14ac:dyDescent="0.3">
      <c r="A49" s="1">
        <v>44357</v>
      </c>
      <c r="B49" t="s">
        <v>122</v>
      </c>
      <c r="C49" t="s">
        <v>73</v>
      </c>
      <c r="D49">
        <v>156</v>
      </c>
      <c r="E49">
        <v>1</v>
      </c>
      <c r="F49">
        <v>1</v>
      </c>
      <c r="G49" t="s">
        <v>51</v>
      </c>
      <c r="H49" t="s">
        <v>52</v>
      </c>
      <c r="I49">
        <v>6.0900000000000003E-2</v>
      </c>
      <c r="J49">
        <v>1.2</v>
      </c>
      <c r="K49">
        <v>24</v>
      </c>
      <c r="L49" t="s">
        <v>53</v>
      </c>
      <c r="M49" t="s">
        <v>54</v>
      </c>
      <c r="N49">
        <v>0.29299999999999998</v>
      </c>
      <c r="O49">
        <v>4.33</v>
      </c>
      <c r="P49">
        <v>210</v>
      </c>
      <c r="Q49" s="4"/>
      <c r="R49" s="4">
        <v>1</v>
      </c>
      <c r="S49" s="4">
        <v>1</v>
      </c>
      <c r="T49" s="4"/>
      <c r="U49" s="4">
        <f t="shared" si="19"/>
        <v>24</v>
      </c>
      <c r="V49" s="4">
        <f t="shared" si="20"/>
        <v>24</v>
      </c>
      <c r="W49" s="4">
        <f t="shared" si="21"/>
        <v>24</v>
      </c>
      <c r="AD49" s="4">
        <v>1</v>
      </c>
      <c r="AE49" s="4"/>
      <c r="AF49" s="4">
        <f t="shared" si="22"/>
        <v>210</v>
      </c>
      <c r="AG49" s="4">
        <f t="shared" si="23"/>
        <v>210</v>
      </c>
      <c r="AH49" s="4">
        <f t="shared" si="24"/>
        <v>210</v>
      </c>
      <c r="AO49" s="4"/>
      <c r="AP49" s="2">
        <v>32</v>
      </c>
      <c r="AQ49" s="4"/>
    </row>
    <row r="50" spans="1:70" customFormat="1" ht="14.4" x14ac:dyDescent="0.3">
      <c r="A50" s="1">
        <v>44357</v>
      </c>
      <c r="B50" t="s">
        <v>122</v>
      </c>
      <c r="C50" t="s">
        <v>73</v>
      </c>
      <c r="D50">
        <v>157</v>
      </c>
      <c r="E50">
        <v>1</v>
      </c>
      <c r="F50">
        <v>1</v>
      </c>
      <c r="G50" t="s">
        <v>51</v>
      </c>
      <c r="H50" t="s">
        <v>52</v>
      </c>
      <c r="I50">
        <v>6.25E-2</v>
      </c>
      <c r="J50">
        <v>1.25</v>
      </c>
      <c r="K50">
        <v>25.4</v>
      </c>
      <c r="L50" t="s">
        <v>53</v>
      </c>
      <c r="M50" t="s">
        <v>54</v>
      </c>
      <c r="N50">
        <v>0.307</v>
      </c>
      <c r="O50">
        <v>4.54</v>
      </c>
      <c r="P50">
        <v>224</v>
      </c>
      <c r="Q50" s="4"/>
      <c r="R50" s="4">
        <v>1</v>
      </c>
      <c r="S50" s="4">
        <v>1</v>
      </c>
      <c r="T50" s="4"/>
      <c r="U50" s="4">
        <f t="shared" si="19"/>
        <v>25.4</v>
      </c>
      <c r="V50" s="4">
        <f t="shared" si="20"/>
        <v>25.4</v>
      </c>
      <c r="W50" s="4">
        <f t="shared" si="21"/>
        <v>25.4</v>
      </c>
      <c r="AD50" s="4">
        <v>1</v>
      </c>
      <c r="AE50" s="4"/>
      <c r="AF50" s="4">
        <f t="shared" si="22"/>
        <v>224</v>
      </c>
      <c r="AG50" s="4">
        <f t="shared" si="23"/>
        <v>224</v>
      </c>
      <c r="AH50" s="4">
        <f t="shared" si="24"/>
        <v>224</v>
      </c>
      <c r="AI50" s="4"/>
      <c r="AJ50" s="4"/>
      <c r="AM50" s="4"/>
      <c r="AN50" s="4"/>
      <c r="AO50" s="4"/>
      <c r="AP50" s="2">
        <v>33</v>
      </c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:70" customFormat="1" ht="14.4" x14ac:dyDescent="0.3">
      <c r="A51" s="1">
        <v>44357</v>
      </c>
      <c r="B51" t="s">
        <v>122</v>
      </c>
      <c r="C51" t="s">
        <v>73</v>
      </c>
      <c r="D51">
        <v>158</v>
      </c>
      <c r="E51">
        <v>1</v>
      </c>
      <c r="F51">
        <v>1</v>
      </c>
      <c r="G51" t="s">
        <v>51</v>
      </c>
      <c r="H51" t="s">
        <v>52</v>
      </c>
      <c r="I51">
        <v>6.1600000000000002E-2</v>
      </c>
      <c r="J51">
        <v>1.23</v>
      </c>
      <c r="K51">
        <v>25</v>
      </c>
      <c r="L51" t="s">
        <v>53</v>
      </c>
      <c r="M51" t="s">
        <v>54</v>
      </c>
      <c r="N51">
        <v>0.30099999999999999</v>
      </c>
      <c r="O51">
        <v>4.45</v>
      </c>
      <c r="P51">
        <v>218</v>
      </c>
      <c r="Q51" s="4"/>
      <c r="R51" s="4">
        <v>1</v>
      </c>
      <c r="S51" s="4">
        <v>1</v>
      </c>
      <c r="T51" s="4"/>
      <c r="U51" s="4">
        <f t="shared" si="19"/>
        <v>25</v>
      </c>
      <c r="V51" s="4">
        <f t="shared" si="20"/>
        <v>25</v>
      </c>
      <c r="W51" s="4">
        <f t="shared" si="21"/>
        <v>25</v>
      </c>
      <c r="X51" s="4"/>
      <c r="Y51" s="4"/>
      <c r="AD51" s="4">
        <v>1</v>
      </c>
      <c r="AE51" s="4"/>
      <c r="AF51" s="4">
        <f t="shared" si="22"/>
        <v>218</v>
      </c>
      <c r="AG51" s="4">
        <f t="shared" si="23"/>
        <v>218</v>
      </c>
      <c r="AH51" s="4">
        <f t="shared" si="24"/>
        <v>218</v>
      </c>
      <c r="AI51" s="4"/>
      <c r="AJ51" s="4"/>
      <c r="AK51" s="4"/>
      <c r="AL51" s="4"/>
      <c r="AM51" s="4"/>
      <c r="AN51" s="4"/>
      <c r="AO51" s="4"/>
      <c r="AP51" s="2">
        <v>34</v>
      </c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 customFormat="1" ht="14.4" x14ac:dyDescent="0.3">
      <c r="A52" s="1">
        <v>44357</v>
      </c>
      <c r="B52" t="s">
        <v>122</v>
      </c>
      <c r="C52" t="s">
        <v>73</v>
      </c>
      <c r="D52">
        <v>159</v>
      </c>
      <c r="E52">
        <v>1</v>
      </c>
      <c r="F52">
        <v>1</v>
      </c>
      <c r="G52" t="s">
        <v>51</v>
      </c>
      <c r="H52" t="s">
        <v>52</v>
      </c>
      <c r="I52">
        <v>6.2100000000000002E-2</v>
      </c>
      <c r="J52">
        <v>1.28</v>
      </c>
      <c r="K52">
        <v>26.4</v>
      </c>
      <c r="L52" t="s">
        <v>53</v>
      </c>
      <c r="M52" t="s">
        <v>54</v>
      </c>
      <c r="N52">
        <v>0.307</v>
      </c>
      <c r="O52">
        <v>4.53</v>
      </c>
      <c r="P52">
        <v>223</v>
      </c>
      <c r="R52" s="4">
        <v>1</v>
      </c>
      <c r="S52" s="4">
        <v>1</v>
      </c>
      <c r="T52" s="4"/>
      <c r="U52" s="4">
        <f t="shared" si="19"/>
        <v>26.4</v>
      </c>
      <c r="V52" s="4">
        <f t="shared" si="20"/>
        <v>26.4</v>
      </c>
      <c r="W52" s="4">
        <f t="shared" si="21"/>
        <v>26.4</v>
      </c>
      <c r="X52" s="4"/>
      <c r="Y52" s="4"/>
      <c r="AD52" s="4">
        <v>1</v>
      </c>
      <c r="AE52" s="4"/>
      <c r="AF52" s="4">
        <f t="shared" si="22"/>
        <v>223</v>
      </c>
      <c r="AG52" s="4">
        <f t="shared" si="23"/>
        <v>223</v>
      </c>
      <c r="AH52" s="4">
        <f t="shared" si="24"/>
        <v>223</v>
      </c>
      <c r="AI52" s="4"/>
      <c r="AJ52" s="4"/>
      <c r="AO52" s="4"/>
      <c r="AP52" s="2">
        <v>35</v>
      </c>
      <c r="AQ52" s="4"/>
    </row>
    <row r="53" spans="1:70" customFormat="1" ht="14.4" x14ac:dyDescent="0.3">
      <c r="A53" s="1">
        <v>44357</v>
      </c>
      <c r="B53" t="s">
        <v>122</v>
      </c>
      <c r="C53" t="s">
        <v>73</v>
      </c>
      <c r="D53">
        <v>160</v>
      </c>
      <c r="E53">
        <v>1</v>
      </c>
      <c r="F53">
        <v>1</v>
      </c>
      <c r="G53" t="s">
        <v>51</v>
      </c>
      <c r="H53" t="s">
        <v>52</v>
      </c>
      <c r="I53">
        <v>6.1899999999999997E-2</v>
      </c>
      <c r="J53">
        <v>1.24</v>
      </c>
      <c r="K53">
        <v>25.1</v>
      </c>
      <c r="L53" t="s">
        <v>53</v>
      </c>
      <c r="M53" t="s">
        <v>54</v>
      </c>
      <c r="N53">
        <v>0.29899999999999999</v>
      </c>
      <c r="O53">
        <v>4.42</v>
      </c>
      <c r="P53">
        <v>216</v>
      </c>
      <c r="R53" s="4">
        <v>1</v>
      </c>
      <c r="S53" s="4">
        <v>1</v>
      </c>
      <c r="T53" s="4"/>
      <c r="U53" s="4">
        <f t="shared" si="19"/>
        <v>25.1</v>
      </c>
      <c r="V53" s="4">
        <f t="shared" si="20"/>
        <v>25.1</v>
      </c>
      <c r="W53" s="4">
        <f t="shared" si="21"/>
        <v>25.1</v>
      </c>
      <c r="X53" s="4"/>
      <c r="Y53" s="4"/>
      <c r="AB53" s="4"/>
      <c r="AC53" s="4"/>
      <c r="AD53" s="4">
        <v>1</v>
      </c>
      <c r="AE53" s="4"/>
      <c r="AF53" s="4">
        <f t="shared" si="22"/>
        <v>216</v>
      </c>
      <c r="AG53" s="4">
        <f t="shared" si="23"/>
        <v>216</v>
      </c>
      <c r="AH53" s="4">
        <f t="shared" si="24"/>
        <v>216</v>
      </c>
      <c r="AO53" s="4"/>
      <c r="AP53" s="2">
        <v>36</v>
      </c>
      <c r="AQ53" s="4"/>
    </row>
    <row r="54" spans="1:70" customFormat="1" ht="14.4" x14ac:dyDescent="0.3">
      <c r="A54" s="1">
        <v>44615</v>
      </c>
      <c r="B54" t="s">
        <v>123</v>
      </c>
      <c r="C54" t="s">
        <v>124</v>
      </c>
      <c r="D54">
        <v>30</v>
      </c>
      <c r="E54">
        <v>1</v>
      </c>
      <c r="F54">
        <v>1</v>
      </c>
      <c r="G54" t="s">
        <v>51</v>
      </c>
      <c r="H54" t="s">
        <v>52</v>
      </c>
      <c r="I54">
        <v>5.8400000000000001E-2</v>
      </c>
      <c r="J54">
        <v>1.0900000000000001</v>
      </c>
      <c r="K54">
        <v>23.7</v>
      </c>
      <c r="L54" t="s">
        <v>53</v>
      </c>
      <c r="M54" t="s">
        <v>54</v>
      </c>
      <c r="N54">
        <v>0.27400000000000002</v>
      </c>
      <c r="O54">
        <v>3.79</v>
      </c>
      <c r="P54">
        <v>174</v>
      </c>
      <c r="Q54" s="4"/>
      <c r="R54" s="4">
        <v>1</v>
      </c>
      <c r="S54" s="4">
        <v>1</v>
      </c>
      <c r="T54" s="4"/>
      <c r="U54" s="4">
        <f t="shared" ref="U54:U58" si="25">K54*F54</f>
        <v>23.7</v>
      </c>
      <c r="V54" s="4">
        <f t="shared" ref="V54:V58" si="26">IF(R54=1,U54,(U54-0))</f>
        <v>23.7</v>
      </c>
      <c r="W54" s="4">
        <f t="shared" si="21"/>
        <v>23.7</v>
      </c>
      <c r="X54" s="4"/>
      <c r="Y54" s="4"/>
      <c r="Z54" s="4"/>
      <c r="AA54" s="4"/>
      <c r="AB54" s="4"/>
      <c r="AC54" s="4"/>
      <c r="AD54" s="4">
        <v>1</v>
      </c>
      <c r="AE54" s="4"/>
      <c r="AF54" s="4">
        <f t="shared" ref="AF54:AF58" si="27">P54*F54</f>
        <v>174</v>
      </c>
      <c r="AG54" s="4">
        <f t="shared" ref="AG54:AG58" si="28">IF(R54=1,AF54,(AF54-0))</f>
        <v>174</v>
      </c>
      <c r="AH54" s="4">
        <f t="shared" si="24"/>
        <v>174</v>
      </c>
      <c r="AI54" s="4"/>
      <c r="AJ54" s="4"/>
      <c r="AK54" s="4"/>
      <c r="AL54" s="4"/>
      <c r="AM54" s="4"/>
      <c r="AN54" s="4"/>
      <c r="AO54" s="4"/>
      <c r="AP54" s="2">
        <v>37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:70" customFormat="1" ht="14.4" x14ac:dyDescent="0.3">
      <c r="A55" s="1">
        <v>44615</v>
      </c>
      <c r="B55" t="s">
        <v>123</v>
      </c>
      <c r="C55" t="s">
        <v>125</v>
      </c>
      <c r="D55">
        <v>31</v>
      </c>
      <c r="E55">
        <v>1</v>
      </c>
      <c r="F55">
        <v>1</v>
      </c>
      <c r="G55" t="s">
        <v>51</v>
      </c>
      <c r="H55" t="s">
        <v>52</v>
      </c>
      <c r="I55">
        <v>5.8099999999999999E-2</v>
      </c>
      <c r="J55">
        <v>1.05</v>
      </c>
      <c r="K55">
        <v>22.6</v>
      </c>
      <c r="L55" t="s">
        <v>53</v>
      </c>
      <c r="M55" t="s">
        <v>54</v>
      </c>
      <c r="N55">
        <v>0.34200000000000003</v>
      </c>
      <c r="O55">
        <v>4.6500000000000004</v>
      </c>
      <c r="P55">
        <v>230</v>
      </c>
      <c r="Q55" s="4"/>
      <c r="R55" s="4">
        <v>1</v>
      </c>
      <c r="S55" s="4">
        <v>1</v>
      </c>
      <c r="T55" s="4"/>
      <c r="U55" s="4">
        <f t="shared" si="25"/>
        <v>22.6</v>
      </c>
      <c r="V55" s="4">
        <f t="shared" si="26"/>
        <v>22.6</v>
      </c>
      <c r="W55" s="4">
        <f t="shared" si="21"/>
        <v>22.6</v>
      </c>
      <c r="X55" s="4"/>
      <c r="Y55" s="4"/>
      <c r="Z55" s="4"/>
      <c r="AA55" s="4"/>
      <c r="AB55" s="4"/>
      <c r="AC55" s="4"/>
      <c r="AD55" s="4">
        <v>1</v>
      </c>
      <c r="AE55" s="4"/>
      <c r="AF55" s="4">
        <f t="shared" si="27"/>
        <v>230</v>
      </c>
      <c r="AG55" s="4">
        <f t="shared" si="28"/>
        <v>230</v>
      </c>
      <c r="AH55" s="4">
        <f t="shared" si="24"/>
        <v>230</v>
      </c>
      <c r="AI55" s="4"/>
      <c r="AJ55" s="4"/>
      <c r="AK55" s="4"/>
      <c r="AL55" s="4"/>
      <c r="AM55" s="4"/>
      <c r="AN55" s="4"/>
      <c r="AO55" s="4"/>
      <c r="AP55" s="2">
        <v>38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:70" customFormat="1" ht="14.4" x14ac:dyDescent="0.3">
      <c r="A56" s="1">
        <v>44615</v>
      </c>
      <c r="B56" t="s">
        <v>123</v>
      </c>
      <c r="C56" t="s">
        <v>126</v>
      </c>
      <c r="D56">
        <v>32</v>
      </c>
      <c r="E56">
        <v>1</v>
      </c>
      <c r="F56">
        <v>1</v>
      </c>
      <c r="G56" t="s">
        <v>51</v>
      </c>
      <c r="H56" t="s">
        <v>52</v>
      </c>
      <c r="I56">
        <v>5.7099999999999998E-2</v>
      </c>
      <c r="J56">
        <v>1.05</v>
      </c>
      <c r="K56">
        <v>22.5</v>
      </c>
      <c r="L56" t="s">
        <v>53</v>
      </c>
      <c r="M56" t="s">
        <v>54</v>
      </c>
      <c r="N56">
        <v>0.34100000000000003</v>
      </c>
      <c r="O56">
        <v>4.6500000000000004</v>
      </c>
      <c r="P56">
        <v>230</v>
      </c>
      <c r="Q56" s="4"/>
      <c r="R56" s="4">
        <v>1</v>
      </c>
      <c r="S56" s="4">
        <v>1</v>
      </c>
      <c r="T56" s="4"/>
      <c r="U56" s="4">
        <f t="shared" si="25"/>
        <v>22.5</v>
      </c>
      <c r="V56" s="4">
        <f t="shared" si="26"/>
        <v>22.5</v>
      </c>
      <c r="W56" s="4">
        <f t="shared" si="21"/>
        <v>22.5</v>
      </c>
      <c r="X56" s="4"/>
      <c r="Y56" s="4"/>
      <c r="Z56" s="4"/>
      <c r="AA56" s="4"/>
      <c r="AB56" s="4"/>
      <c r="AC56" s="4"/>
      <c r="AD56" s="4">
        <v>1</v>
      </c>
      <c r="AE56" s="4"/>
      <c r="AF56" s="4">
        <f t="shared" si="27"/>
        <v>230</v>
      </c>
      <c r="AG56" s="4">
        <f t="shared" si="28"/>
        <v>230</v>
      </c>
      <c r="AH56" s="4">
        <f t="shared" si="24"/>
        <v>230</v>
      </c>
      <c r="AI56" s="4"/>
      <c r="AJ56" s="4"/>
      <c r="AK56" s="4"/>
      <c r="AL56" s="4"/>
      <c r="AM56" s="4"/>
      <c r="AN56" s="4"/>
      <c r="AO56" s="4"/>
      <c r="AP56" s="2">
        <v>39</v>
      </c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1:70" customFormat="1" ht="14.4" x14ac:dyDescent="0.3">
      <c r="A57" s="1">
        <v>44615</v>
      </c>
      <c r="B57" t="s">
        <v>123</v>
      </c>
      <c r="C57" t="s">
        <v>127</v>
      </c>
      <c r="D57">
        <v>33</v>
      </c>
      <c r="E57">
        <v>1</v>
      </c>
      <c r="F57">
        <v>1</v>
      </c>
      <c r="G57" t="s">
        <v>51</v>
      </c>
      <c r="H57" t="s">
        <v>52</v>
      </c>
      <c r="I57">
        <v>5.8000000000000003E-2</v>
      </c>
      <c r="J57">
        <v>1.1399999999999999</v>
      </c>
      <c r="K57">
        <v>25</v>
      </c>
      <c r="L57" t="s">
        <v>53</v>
      </c>
      <c r="M57" t="s">
        <v>54</v>
      </c>
      <c r="N57">
        <v>0.33900000000000002</v>
      </c>
      <c r="O57">
        <v>4.6399999999999997</v>
      </c>
      <c r="P57">
        <v>229</v>
      </c>
      <c r="Q57" s="4"/>
      <c r="R57" s="4">
        <v>1</v>
      </c>
      <c r="S57" s="4">
        <v>1</v>
      </c>
      <c r="T57" s="4"/>
      <c r="U57" s="4">
        <f t="shared" si="25"/>
        <v>25</v>
      </c>
      <c r="V57" s="4">
        <f t="shared" si="26"/>
        <v>25</v>
      </c>
      <c r="W57" s="4">
        <f t="shared" si="21"/>
        <v>25</v>
      </c>
      <c r="X57" s="4"/>
      <c r="Y57" s="4"/>
      <c r="Z57" s="4"/>
      <c r="AA57" s="4"/>
      <c r="AB57" s="4"/>
      <c r="AC57" s="4"/>
      <c r="AD57" s="4">
        <v>1</v>
      </c>
      <c r="AE57" s="4"/>
      <c r="AF57" s="4">
        <f t="shared" si="27"/>
        <v>229</v>
      </c>
      <c r="AG57" s="4">
        <f t="shared" si="28"/>
        <v>229</v>
      </c>
      <c r="AH57" s="4">
        <f t="shared" si="24"/>
        <v>229</v>
      </c>
      <c r="AI57" s="4"/>
      <c r="AJ57" s="4"/>
      <c r="AK57" s="4"/>
      <c r="AL57" s="4"/>
      <c r="AM57" s="4"/>
      <c r="AN57" s="4"/>
      <c r="AO57" s="4"/>
      <c r="AP57" s="2">
        <v>40</v>
      </c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1:70" customFormat="1" ht="14.4" x14ac:dyDescent="0.3">
      <c r="A58" s="1">
        <v>44615</v>
      </c>
      <c r="B58" t="s">
        <v>123</v>
      </c>
      <c r="C58" t="s">
        <v>128</v>
      </c>
      <c r="D58">
        <v>34</v>
      </c>
      <c r="E58">
        <v>1</v>
      </c>
      <c r="F58">
        <v>1</v>
      </c>
      <c r="G58" t="s">
        <v>51</v>
      </c>
      <c r="H58" t="s">
        <v>52</v>
      </c>
      <c r="I58">
        <v>5.8299999999999998E-2</v>
      </c>
      <c r="J58">
        <v>1.1599999999999999</v>
      </c>
      <c r="K58">
        <v>25.8</v>
      </c>
      <c r="L58" t="s">
        <v>53</v>
      </c>
      <c r="M58" t="s">
        <v>54</v>
      </c>
      <c r="N58">
        <v>0.36399999999999999</v>
      </c>
      <c r="O58">
        <v>5.0599999999999996</v>
      </c>
      <c r="P58">
        <v>257</v>
      </c>
      <c r="Q58" s="4"/>
      <c r="R58" s="4">
        <v>1</v>
      </c>
      <c r="S58" s="4">
        <v>1</v>
      </c>
      <c r="T58" s="4"/>
      <c r="U58" s="4">
        <f t="shared" si="25"/>
        <v>25.8</v>
      </c>
      <c r="V58" s="4">
        <f t="shared" si="26"/>
        <v>25.8</v>
      </c>
      <c r="W58" s="4">
        <f t="shared" si="21"/>
        <v>25.8</v>
      </c>
      <c r="X58" s="4"/>
      <c r="Y58" s="4"/>
      <c r="Z58" s="4"/>
      <c r="AA58" s="4"/>
      <c r="AB58" s="4"/>
      <c r="AC58" s="4"/>
      <c r="AD58" s="4">
        <v>1</v>
      </c>
      <c r="AE58" s="4"/>
      <c r="AF58" s="4">
        <f t="shared" si="27"/>
        <v>257</v>
      </c>
      <c r="AG58" s="4">
        <f t="shared" si="28"/>
        <v>257</v>
      </c>
      <c r="AH58" s="4">
        <f t="shared" si="24"/>
        <v>257</v>
      </c>
      <c r="AI58" s="4"/>
      <c r="AJ58" s="4"/>
      <c r="AK58" s="4"/>
      <c r="AL58" s="4"/>
      <c r="AM58" s="4"/>
      <c r="AN58" s="4"/>
      <c r="AO58" s="4"/>
      <c r="AP58" s="2">
        <v>41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1:70" customFormat="1" ht="14.4" x14ac:dyDescent="0.3">
      <c r="A59" s="1">
        <v>44643</v>
      </c>
      <c r="B59" t="s">
        <v>139</v>
      </c>
      <c r="C59" t="s">
        <v>140</v>
      </c>
      <c r="D59">
        <v>30</v>
      </c>
      <c r="E59">
        <v>1</v>
      </c>
      <c r="F59">
        <v>1</v>
      </c>
      <c r="G59" t="s">
        <v>51</v>
      </c>
      <c r="H59" t="s">
        <v>52</v>
      </c>
      <c r="I59">
        <v>6.6500000000000004E-2</v>
      </c>
      <c r="J59">
        <v>1.2</v>
      </c>
      <c r="K59">
        <v>21.4</v>
      </c>
      <c r="L59" t="s">
        <v>53</v>
      </c>
      <c r="M59" t="s">
        <v>54</v>
      </c>
      <c r="N59">
        <v>0.26300000000000001</v>
      </c>
      <c r="O59">
        <v>3.61</v>
      </c>
      <c r="P59">
        <v>155</v>
      </c>
      <c r="Q59" s="4"/>
      <c r="R59" s="4">
        <v>1</v>
      </c>
      <c r="S59" s="4">
        <v>1</v>
      </c>
      <c r="T59" s="4"/>
      <c r="U59" s="4">
        <f t="shared" ref="U59:U68" si="29">K59*F59</f>
        <v>21.4</v>
      </c>
      <c r="V59" s="4">
        <f t="shared" ref="V59:V68" si="30">IF(R59=1,U59,(U59-0))</f>
        <v>21.4</v>
      </c>
      <c r="W59" s="4">
        <f t="shared" ref="W59:W68" si="31">IF(R59=1,U59,(V59*R59))</f>
        <v>21.4</v>
      </c>
      <c r="X59" s="4"/>
      <c r="Y59" s="4"/>
      <c r="Z59" s="4"/>
      <c r="AA59" s="4"/>
      <c r="AB59" s="4"/>
      <c r="AC59" s="4"/>
      <c r="AD59" s="4">
        <v>1</v>
      </c>
      <c r="AE59" s="4"/>
      <c r="AF59" s="4">
        <f t="shared" ref="AF59:AF68" si="32">P59*F59</f>
        <v>155</v>
      </c>
      <c r="AG59" s="4">
        <f t="shared" ref="AG59:AG68" si="33">IF(R59=1,AF59,(AF59-0))</f>
        <v>155</v>
      </c>
      <c r="AH59" s="4">
        <f t="shared" ref="AH59:AH68" si="34">IF(R59=1,AF59,(AG59*R59))</f>
        <v>155</v>
      </c>
      <c r="AI59" s="4"/>
      <c r="AJ59" s="4"/>
      <c r="AK59" s="4"/>
      <c r="AL59" s="4"/>
      <c r="AM59" s="4"/>
      <c r="AN59" s="4"/>
      <c r="AO59" s="4"/>
      <c r="AP59" s="2">
        <v>42</v>
      </c>
      <c r="AQ59" s="4"/>
      <c r="AR59" s="4"/>
      <c r="AS59" s="4"/>
      <c r="AT59" s="4"/>
      <c r="AU59" s="4"/>
    </row>
    <row r="60" spans="1:70" ht="15.6" customHeight="1" x14ac:dyDescent="0.3">
      <c r="A60" s="1">
        <v>44643</v>
      </c>
      <c r="B60" t="s">
        <v>139</v>
      </c>
      <c r="C60" t="s">
        <v>141</v>
      </c>
      <c r="D60">
        <v>31</v>
      </c>
      <c r="E60">
        <v>1</v>
      </c>
      <c r="F60">
        <v>1</v>
      </c>
      <c r="G60" t="s">
        <v>51</v>
      </c>
      <c r="H60" t="s">
        <v>52</v>
      </c>
      <c r="I60">
        <v>5.5899999999999998E-2</v>
      </c>
      <c r="J60">
        <v>1.03</v>
      </c>
      <c r="K60">
        <v>17.399999999999999</v>
      </c>
      <c r="L60" t="s">
        <v>53</v>
      </c>
      <c r="M60" t="s">
        <v>54</v>
      </c>
      <c r="N60">
        <v>0.25600000000000001</v>
      </c>
      <c r="O60">
        <v>3.51</v>
      </c>
      <c r="P60">
        <v>148</v>
      </c>
      <c r="Q60" s="4"/>
      <c r="R60" s="4">
        <v>1</v>
      </c>
      <c r="S60" s="4">
        <v>1</v>
      </c>
      <c r="T60" s="4"/>
      <c r="U60" s="4">
        <f t="shared" si="29"/>
        <v>17.399999999999999</v>
      </c>
      <c r="V60" s="4">
        <f t="shared" si="30"/>
        <v>17.399999999999999</v>
      </c>
      <c r="W60" s="4">
        <f t="shared" si="31"/>
        <v>17.399999999999999</v>
      </c>
      <c r="X60" s="4"/>
      <c r="Y60" s="4"/>
      <c r="Z60" s="4"/>
      <c r="AA60" s="4"/>
      <c r="AB60" s="4"/>
      <c r="AC60" s="4"/>
      <c r="AD60" s="4">
        <v>1</v>
      </c>
      <c r="AE60" s="4"/>
      <c r="AF60" s="4">
        <f t="shared" si="32"/>
        <v>148</v>
      </c>
      <c r="AG60" s="4">
        <f t="shared" si="33"/>
        <v>148</v>
      </c>
      <c r="AH60" s="4">
        <f t="shared" si="34"/>
        <v>148</v>
      </c>
      <c r="AI60" s="4"/>
      <c r="AJ60" s="4"/>
      <c r="AK60" s="4"/>
      <c r="AL60" s="4"/>
      <c r="AM60" s="4"/>
      <c r="AN60" s="4"/>
      <c r="AO60" s="4"/>
      <c r="AP60" s="2">
        <v>43</v>
      </c>
      <c r="AQ60" s="4"/>
      <c r="AR60" s="4"/>
      <c r="AS60" s="4"/>
      <c r="AT60" s="4"/>
      <c r="AU60" s="4"/>
    </row>
    <row r="61" spans="1:70" ht="15.6" customHeight="1" x14ac:dyDescent="0.3">
      <c r="A61" s="1">
        <v>44643</v>
      </c>
      <c r="B61" t="s">
        <v>139</v>
      </c>
      <c r="C61" t="s">
        <v>142</v>
      </c>
      <c r="D61">
        <v>32</v>
      </c>
      <c r="E61">
        <v>1</v>
      </c>
      <c r="F61">
        <v>1</v>
      </c>
      <c r="G61" t="s">
        <v>51</v>
      </c>
      <c r="H61" t="s">
        <v>52</v>
      </c>
      <c r="I61">
        <v>5.5500000000000001E-2</v>
      </c>
      <c r="J61">
        <v>1.03</v>
      </c>
      <c r="K61">
        <v>17.2</v>
      </c>
      <c r="L61" t="s">
        <v>53</v>
      </c>
      <c r="M61" t="s">
        <v>54</v>
      </c>
      <c r="N61">
        <v>0.32500000000000001</v>
      </c>
      <c r="O61">
        <v>4.4400000000000004</v>
      </c>
      <c r="P61">
        <v>210</v>
      </c>
      <c r="Q61" s="4"/>
      <c r="R61" s="4">
        <v>1</v>
      </c>
      <c r="S61" s="4">
        <v>1</v>
      </c>
      <c r="T61" s="4"/>
      <c r="U61" s="4">
        <f t="shared" si="29"/>
        <v>17.2</v>
      </c>
      <c r="V61" s="4">
        <f t="shared" si="30"/>
        <v>17.2</v>
      </c>
      <c r="W61" s="4">
        <f t="shared" si="31"/>
        <v>17.2</v>
      </c>
      <c r="X61" s="4"/>
      <c r="Y61" s="4"/>
      <c r="Z61" s="4"/>
      <c r="AA61" s="4"/>
      <c r="AB61" s="4"/>
      <c r="AC61" s="4"/>
      <c r="AD61" s="4">
        <v>1</v>
      </c>
      <c r="AE61" s="4"/>
      <c r="AF61" s="4">
        <f t="shared" si="32"/>
        <v>210</v>
      </c>
      <c r="AG61" s="4">
        <f t="shared" si="33"/>
        <v>210</v>
      </c>
      <c r="AH61" s="4">
        <f t="shared" si="34"/>
        <v>210</v>
      </c>
      <c r="AI61" s="4"/>
      <c r="AJ61" s="4"/>
      <c r="AK61" s="4"/>
      <c r="AL61" s="4"/>
      <c r="AM61" s="4"/>
      <c r="AN61" s="4"/>
      <c r="AO61" s="4"/>
      <c r="AP61" s="2">
        <v>44</v>
      </c>
      <c r="AQ61" s="4"/>
      <c r="AR61" s="4"/>
      <c r="AS61" s="4"/>
      <c r="AT61" s="4"/>
      <c r="AU61" s="4"/>
    </row>
    <row r="62" spans="1:70" ht="15.6" customHeight="1" x14ac:dyDescent="0.3">
      <c r="A62" s="1">
        <v>44643</v>
      </c>
      <c r="B62" t="s">
        <v>139</v>
      </c>
      <c r="C62" t="s">
        <v>143</v>
      </c>
      <c r="D62">
        <v>33</v>
      </c>
      <c r="E62">
        <v>1</v>
      </c>
      <c r="F62">
        <v>1</v>
      </c>
      <c r="G62" t="s">
        <v>51</v>
      </c>
      <c r="H62" t="s">
        <v>52</v>
      </c>
      <c r="I62">
        <v>5.62E-2</v>
      </c>
      <c r="J62">
        <v>1.06</v>
      </c>
      <c r="K62">
        <v>18</v>
      </c>
      <c r="L62" t="s">
        <v>53</v>
      </c>
      <c r="M62" t="s">
        <v>54</v>
      </c>
      <c r="N62">
        <v>0.33200000000000002</v>
      </c>
      <c r="O62">
        <v>4.53</v>
      </c>
      <c r="P62">
        <v>216</v>
      </c>
      <c r="Q62" s="4"/>
      <c r="R62" s="4">
        <v>1</v>
      </c>
      <c r="S62" s="4">
        <v>1</v>
      </c>
      <c r="T62" s="4"/>
      <c r="U62" s="4">
        <f t="shared" si="29"/>
        <v>18</v>
      </c>
      <c r="V62" s="4">
        <f t="shared" si="30"/>
        <v>18</v>
      </c>
      <c r="W62" s="4">
        <f t="shared" si="31"/>
        <v>18</v>
      </c>
      <c r="X62" s="4"/>
      <c r="Y62" s="4"/>
      <c r="Z62" s="4"/>
      <c r="AA62" s="4"/>
      <c r="AB62" s="4"/>
      <c r="AC62" s="4"/>
      <c r="AD62" s="4">
        <v>1</v>
      </c>
      <c r="AE62" s="4"/>
      <c r="AF62" s="4">
        <f t="shared" si="32"/>
        <v>216</v>
      </c>
      <c r="AG62" s="4">
        <f t="shared" si="33"/>
        <v>216</v>
      </c>
      <c r="AH62" s="4">
        <f t="shared" si="34"/>
        <v>216</v>
      </c>
      <c r="AI62" s="4"/>
      <c r="AJ62" s="4"/>
      <c r="AK62" s="4"/>
      <c r="AL62" s="4"/>
      <c r="AM62" s="4"/>
      <c r="AN62" s="4"/>
      <c r="AO62" s="4"/>
      <c r="AP62" s="2">
        <v>45</v>
      </c>
      <c r="AQ62" s="4"/>
      <c r="AR62" s="4"/>
      <c r="AS62" s="4"/>
      <c r="AT62" s="4"/>
      <c r="AU62" s="4"/>
    </row>
    <row r="63" spans="1:70" ht="15.6" customHeight="1" x14ac:dyDescent="0.3">
      <c r="A63" s="1">
        <v>44643</v>
      </c>
      <c r="B63" t="s">
        <v>139</v>
      </c>
      <c r="C63" t="s">
        <v>144</v>
      </c>
      <c r="D63">
        <v>34</v>
      </c>
      <c r="E63">
        <v>1</v>
      </c>
      <c r="F63">
        <v>1</v>
      </c>
      <c r="G63" t="s">
        <v>51</v>
      </c>
      <c r="H63" t="s">
        <v>52</v>
      </c>
      <c r="I63">
        <v>5.6399999999999999E-2</v>
      </c>
      <c r="J63">
        <v>1.08</v>
      </c>
      <c r="K63">
        <v>18.399999999999999</v>
      </c>
      <c r="L63" t="s">
        <v>53</v>
      </c>
      <c r="M63" t="s">
        <v>54</v>
      </c>
      <c r="N63">
        <v>0.312</v>
      </c>
      <c r="O63">
        <v>4.21</v>
      </c>
      <c r="P63">
        <v>194</v>
      </c>
      <c r="Q63" s="4"/>
      <c r="R63" s="4">
        <v>1</v>
      </c>
      <c r="S63" s="4">
        <v>1</v>
      </c>
      <c r="T63" s="4"/>
      <c r="U63" s="4">
        <f t="shared" si="29"/>
        <v>18.399999999999999</v>
      </c>
      <c r="V63" s="4">
        <f t="shared" si="30"/>
        <v>18.399999999999999</v>
      </c>
      <c r="W63" s="4">
        <f t="shared" si="31"/>
        <v>18.399999999999999</v>
      </c>
      <c r="X63" s="4"/>
      <c r="Y63" s="4"/>
      <c r="Z63" s="4"/>
      <c r="AA63" s="4"/>
      <c r="AB63" s="4"/>
      <c r="AC63" s="4"/>
      <c r="AD63" s="4">
        <v>1</v>
      </c>
      <c r="AE63" s="4"/>
      <c r="AF63" s="4">
        <f t="shared" si="32"/>
        <v>194</v>
      </c>
      <c r="AG63" s="4">
        <f t="shared" si="33"/>
        <v>194</v>
      </c>
      <c r="AH63" s="4">
        <f t="shared" si="34"/>
        <v>194</v>
      </c>
      <c r="AI63" s="4"/>
      <c r="AJ63" s="4"/>
      <c r="AK63" s="4"/>
      <c r="AL63" s="4"/>
      <c r="AM63" s="4"/>
      <c r="AN63" s="4"/>
      <c r="AO63" s="4"/>
      <c r="AP63" s="2">
        <v>46</v>
      </c>
      <c r="AQ63" s="4"/>
      <c r="AR63" s="4"/>
      <c r="AS63" s="4"/>
      <c r="AT63" s="4"/>
      <c r="AU63" s="4"/>
    </row>
    <row r="64" spans="1:70" ht="15.6" customHeight="1" x14ac:dyDescent="0.3">
      <c r="A64" s="1">
        <v>44664</v>
      </c>
      <c r="B64" t="s">
        <v>132</v>
      </c>
      <c r="C64" t="s">
        <v>133</v>
      </c>
      <c r="D64">
        <v>30</v>
      </c>
      <c r="E64">
        <v>1</v>
      </c>
      <c r="F64">
        <v>1</v>
      </c>
      <c r="G64" t="s">
        <v>51</v>
      </c>
      <c r="H64" t="s">
        <v>52</v>
      </c>
      <c r="I64">
        <v>8.2100000000000006E-2</v>
      </c>
      <c r="J64">
        <v>1.39</v>
      </c>
      <c r="K64">
        <v>30</v>
      </c>
      <c r="L64" t="s">
        <v>53</v>
      </c>
      <c r="M64" t="s">
        <v>54</v>
      </c>
      <c r="N64">
        <v>0.32900000000000001</v>
      </c>
      <c r="O64">
        <v>4.6500000000000004</v>
      </c>
      <c r="P64">
        <v>254</v>
      </c>
      <c r="Q64" s="4"/>
      <c r="R64" s="4">
        <v>1</v>
      </c>
      <c r="S64" s="4">
        <v>1</v>
      </c>
      <c r="T64" s="4"/>
      <c r="U64" s="4">
        <f t="shared" si="29"/>
        <v>30</v>
      </c>
      <c r="V64" s="4">
        <f t="shared" si="30"/>
        <v>30</v>
      </c>
      <c r="W64" s="4">
        <f t="shared" si="31"/>
        <v>30</v>
      </c>
      <c r="X64" s="4"/>
      <c r="Y64" s="4"/>
      <c r="Z64" s="4"/>
      <c r="AA64" s="4"/>
      <c r="AB64" s="4"/>
      <c r="AC64" s="4"/>
      <c r="AD64" s="4">
        <v>1</v>
      </c>
      <c r="AE64" s="4"/>
      <c r="AF64" s="4">
        <f t="shared" si="32"/>
        <v>254</v>
      </c>
      <c r="AG64" s="4">
        <f t="shared" si="33"/>
        <v>254</v>
      </c>
      <c r="AH64" s="4">
        <f t="shared" si="34"/>
        <v>254</v>
      </c>
      <c r="AI64" s="4"/>
      <c r="AJ64" s="4"/>
      <c r="AK64" s="4"/>
      <c r="AL64" s="4"/>
      <c r="AM64" s="4"/>
      <c r="AN64" s="4"/>
      <c r="AO64" s="4"/>
      <c r="AP64" s="2">
        <v>47</v>
      </c>
      <c r="AQ64" s="4"/>
      <c r="AR64" s="4"/>
      <c r="AS64" s="4"/>
      <c r="AT64" s="4"/>
      <c r="AU64" s="4"/>
    </row>
    <row r="65" spans="1:47" ht="15.6" customHeight="1" x14ac:dyDescent="0.3">
      <c r="A65" s="1">
        <v>44664</v>
      </c>
      <c r="B65" t="s">
        <v>132</v>
      </c>
      <c r="C65" t="s">
        <v>134</v>
      </c>
      <c r="D65">
        <v>31</v>
      </c>
      <c r="E65">
        <v>1</v>
      </c>
      <c r="F65">
        <v>1</v>
      </c>
      <c r="G65" t="s">
        <v>51</v>
      </c>
      <c r="H65" t="s">
        <v>52</v>
      </c>
      <c r="I65">
        <v>8.4099999999999994E-2</v>
      </c>
      <c r="J65">
        <v>1.48</v>
      </c>
      <c r="K65">
        <v>32.4</v>
      </c>
      <c r="L65" t="s">
        <v>53</v>
      </c>
      <c r="M65" t="s">
        <v>54</v>
      </c>
      <c r="N65">
        <v>0.33500000000000002</v>
      </c>
      <c r="O65">
        <v>4.6900000000000004</v>
      </c>
      <c r="P65">
        <v>256</v>
      </c>
      <c r="Q65" s="4"/>
      <c r="R65" s="4">
        <v>1</v>
      </c>
      <c r="S65" s="4">
        <v>1</v>
      </c>
      <c r="T65" s="4"/>
      <c r="U65" s="4">
        <f t="shared" si="29"/>
        <v>32.4</v>
      </c>
      <c r="V65" s="4">
        <f t="shared" si="30"/>
        <v>32.4</v>
      </c>
      <c r="W65" s="4">
        <f t="shared" si="31"/>
        <v>32.4</v>
      </c>
      <c r="X65" s="4"/>
      <c r="Y65" s="4"/>
      <c r="Z65" s="4"/>
      <c r="AA65" s="4"/>
      <c r="AB65" s="4"/>
      <c r="AC65" s="4"/>
      <c r="AD65" s="4">
        <v>1</v>
      </c>
      <c r="AE65" s="4"/>
      <c r="AF65" s="4">
        <f t="shared" si="32"/>
        <v>256</v>
      </c>
      <c r="AG65" s="4">
        <f t="shared" si="33"/>
        <v>256</v>
      </c>
      <c r="AH65" s="4">
        <f t="shared" si="34"/>
        <v>256</v>
      </c>
      <c r="AI65" s="4"/>
      <c r="AJ65" s="4"/>
      <c r="AK65" s="4"/>
      <c r="AL65" s="4"/>
      <c r="AM65" s="4"/>
      <c r="AN65" s="4"/>
      <c r="AO65" s="4"/>
      <c r="AP65" s="2">
        <v>48</v>
      </c>
      <c r="AQ65" s="4"/>
      <c r="AR65" s="4"/>
      <c r="AS65" s="4"/>
      <c r="AT65" s="4"/>
      <c r="AU65" s="4"/>
    </row>
    <row r="66" spans="1:47" ht="15.6" customHeight="1" x14ac:dyDescent="0.3">
      <c r="A66" s="1">
        <v>44664</v>
      </c>
      <c r="B66" t="s">
        <v>132</v>
      </c>
      <c r="C66" t="s">
        <v>135</v>
      </c>
      <c r="D66">
        <v>32</v>
      </c>
      <c r="E66">
        <v>1</v>
      </c>
      <c r="F66">
        <v>1</v>
      </c>
      <c r="G66" t="s">
        <v>51</v>
      </c>
      <c r="H66" t="s">
        <v>52</v>
      </c>
      <c r="I66">
        <v>8.2699999999999996E-2</v>
      </c>
      <c r="J66">
        <v>1.49</v>
      </c>
      <c r="K66">
        <v>32.700000000000003</v>
      </c>
      <c r="L66" t="s">
        <v>53</v>
      </c>
      <c r="M66" t="s">
        <v>54</v>
      </c>
      <c r="N66">
        <v>0.32800000000000001</v>
      </c>
      <c r="O66">
        <v>4.5999999999999996</v>
      </c>
      <c r="P66">
        <v>250</v>
      </c>
      <c r="Q66" s="4"/>
      <c r="R66" s="4">
        <v>1</v>
      </c>
      <c r="S66" s="4">
        <v>1</v>
      </c>
      <c r="T66" s="4"/>
      <c r="U66" s="4">
        <f t="shared" si="29"/>
        <v>32.700000000000003</v>
      </c>
      <c r="V66" s="4">
        <f t="shared" si="30"/>
        <v>32.700000000000003</v>
      </c>
      <c r="W66" s="4">
        <f t="shared" si="31"/>
        <v>32.700000000000003</v>
      </c>
      <c r="X66" s="4"/>
      <c r="Y66" s="4"/>
      <c r="Z66" s="4"/>
      <c r="AA66" s="4"/>
      <c r="AB66" s="4"/>
      <c r="AC66" s="4"/>
      <c r="AD66" s="4">
        <v>1</v>
      </c>
      <c r="AE66" s="4"/>
      <c r="AF66" s="4">
        <f t="shared" si="32"/>
        <v>250</v>
      </c>
      <c r="AG66" s="4">
        <f t="shared" si="33"/>
        <v>250</v>
      </c>
      <c r="AH66" s="4">
        <f t="shared" si="34"/>
        <v>250</v>
      </c>
      <c r="AI66" s="4"/>
      <c r="AJ66" s="4"/>
      <c r="AK66" s="4"/>
      <c r="AL66" s="4"/>
      <c r="AM66" s="4"/>
      <c r="AN66" s="4"/>
      <c r="AO66" s="4"/>
      <c r="AP66" s="2">
        <v>49</v>
      </c>
      <c r="AQ66" s="4"/>
      <c r="AR66" s="4"/>
      <c r="AS66" s="4"/>
      <c r="AT66" s="4"/>
      <c r="AU66" s="4"/>
    </row>
    <row r="67" spans="1:47" ht="15.6" customHeight="1" x14ac:dyDescent="0.3">
      <c r="A67" s="1">
        <v>44664</v>
      </c>
      <c r="B67" t="s">
        <v>132</v>
      </c>
      <c r="C67" t="s">
        <v>136</v>
      </c>
      <c r="D67">
        <v>33</v>
      </c>
      <c r="E67">
        <v>1</v>
      </c>
      <c r="F67">
        <v>1</v>
      </c>
      <c r="G67" t="s">
        <v>51</v>
      </c>
      <c r="H67" t="s">
        <v>52</v>
      </c>
      <c r="I67">
        <v>8.4599999999999995E-2</v>
      </c>
      <c r="J67">
        <v>1.45</v>
      </c>
      <c r="K67">
        <v>31.6</v>
      </c>
      <c r="L67" t="s">
        <v>53</v>
      </c>
      <c r="M67" t="s">
        <v>54</v>
      </c>
      <c r="N67">
        <v>0.32800000000000001</v>
      </c>
      <c r="O67">
        <v>4.5999999999999996</v>
      </c>
      <c r="P67">
        <v>250</v>
      </c>
      <c r="Q67" s="4"/>
      <c r="R67" s="4">
        <v>1</v>
      </c>
      <c r="S67" s="4">
        <v>1</v>
      </c>
      <c r="T67" s="4"/>
      <c r="U67" s="4">
        <f t="shared" si="29"/>
        <v>31.6</v>
      </c>
      <c r="V67" s="4">
        <f t="shared" si="30"/>
        <v>31.6</v>
      </c>
      <c r="W67" s="4">
        <f t="shared" si="31"/>
        <v>31.6</v>
      </c>
      <c r="X67" s="4"/>
      <c r="Y67" s="4"/>
      <c r="Z67" s="4"/>
      <c r="AA67" s="4"/>
      <c r="AB67" s="4"/>
      <c r="AC67" s="4"/>
      <c r="AD67" s="4">
        <v>1</v>
      </c>
      <c r="AE67" s="4"/>
      <c r="AF67" s="4">
        <f t="shared" si="32"/>
        <v>250</v>
      </c>
      <c r="AG67" s="4">
        <f t="shared" si="33"/>
        <v>250</v>
      </c>
      <c r="AH67" s="4">
        <f t="shared" si="34"/>
        <v>250</v>
      </c>
      <c r="AI67" s="4"/>
      <c r="AJ67" s="4"/>
      <c r="AK67" s="4"/>
      <c r="AL67" s="4"/>
      <c r="AM67" s="4"/>
      <c r="AN67" s="4"/>
      <c r="AO67" s="4"/>
      <c r="AP67" s="2">
        <v>50</v>
      </c>
      <c r="AQ67" s="4"/>
      <c r="AR67" s="4"/>
      <c r="AS67" s="4"/>
      <c r="AT67" s="4"/>
      <c r="AU67" s="4"/>
    </row>
    <row r="68" spans="1:47" ht="15.6" customHeight="1" x14ac:dyDescent="0.3">
      <c r="A68" s="1">
        <v>44664</v>
      </c>
      <c r="B68" t="s">
        <v>132</v>
      </c>
      <c r="C68" t="s">
        <v>137</v>
      </c>
      <c r="D68">
        <v>34</v>
      </c>
      <c r="E68">
        <v>1</v>
      </c>
      <c r="F68">
        <v>1</v>
      </c>
      <c r="G68" t="s">
        <v>51</v>
      </c>
      <c r="H68" t="s">
        <v>52</v>
      </c>
      <c r="I68">
        <v>8.2500000000000004E-2</v>
      </c>
      <c r="J68">
        <v>1.42</v>
      </c>
      <c r="K68">
        <v>30.8</v>
      </c>
      <c r="L68" t="s">
        <v>53</v>
      </c>
      <c r="M68" t="s">
        <v>54</v>
      </c>
      <c r="N68">
        <v>0.33100000000000002</v>
      </c>
      <c r="O68">
        <v>4.6500000000000004</v>
      </c>
      <c r="P68">
        <v>254</v>
      </c>
      <c r="Q68" s="4"/>
      <c r="R68" s="4">
        <v>1</v>
      </c>
      <c r="S68" s="4">
        <v>1</v>
      </c>
      <c r="T68" s="4"/>
      <c r="U68" s="4">
        <f t="shared" si="29"/>
        <v>30.8</v>
      </c>
      <c r="V68" s="4">
        <f t="shared" si="30"/>
        <v>30.8</v>
      </c>
      <c r="W68" s="4">
        <f t="shared" si="31"/>
        <v>30.8</v>
      </c>
      <c r="X68" s="4"/>
      <c r="Y68" s="4"/>
      <c r="Z68" s="4"/>
      <c r="AA68" s="4"/>
      <c r="AB68" s="4"/>
      <c r="AC68" s="4"/>
      <c r="AD68" s="4">
        <v>1</v>
      </c>
      <c r="AE68" s="4"/>
      <c r="AF68" s="4">
        <f t="shared" si="32"/>
        <v>254</v>
      </c>
      <c r="AG68" s="4">
        <f t="shared" si="33"/>
        <v>254</v>
      </c>
      <c r="AH68" s="4">
        <f t="shared" si="34"/>
        <v>254</v>
      </c>
      <c r="AI68" s="4"/>
      <c r="AJ68" s="4"/>
      <c r="AK68" s="4"/>
      <c r="AL68" s="4"/>
      <c r="AM68" s="4"/>
      <c r="AN68" s="4"/>
      <c r="AO68" s="4"/>
      <c r="AP68" s="2">
        <v>51</v>
      </c>
      <c r="AQ68" s="4"/>
      <c r="AR68" s="4"/>
      <c r="AS68" s="4"/>
      <c r="AT68" s="4"/>
      <c r="AU68" s="4"/>
    </row>
    <row r="69" spans="1:47" ht="15.6" customHeight="1" x14ac:dyDescent="0.3">
      <c r="A69" s="1">
        <v>44685</v>
      </c>
      <c r="B69" t="s">
        <v>145</v>
      </c>
      <c r="C69" t="s">
        <v>146</v>
      </c>
      <c r="D69">
        <v>30</v>
      </c>
      <c r="E69">
        <v>1</v>
      </c>
      <c r="F69">
        <v>1</v>
      </c>
      <c r="G69" t="s">
        <v>51</v>
      </c>
      <c r="H69" t="s">
        <v>52</v>
      </c>
      <c r="I69">
        <v>7.9100000000000004E-2</v>
      </c>
      <c r="J69">
        <v>1.31</v>
      </c>
      <c r="K69">
        <v>26.5</v>
      </c>
      <c r="L69" t="s">
        <v>53</v>
      </c>
      <c r="M69" t="s">
        <v>54</v>
      </c>
      <c r="N69">
        <v>0.373</v>
      </c>
      <c r="O69">
        <v>4.6399999999999997</v>
      </c>
      <c r="P69">
        <v>245</v>
      </c>
      <c r="Q69" s="4"/>
      <c r="R69" s="4">
        <v>1</v>
      </c>
      <c r="S69" s="4">
        <v>1</v>
      </c>
      <c r="T69" s="4"/>
      <c r="U69" s="4">
        <f t="shared" ref="U69:U73" si="35">K69*F69</f>
        <v>26.5</v>
      </c>
      <c r="V69" s="4">
        <f t="shared" ref="V69:V73" si="36">IF(R69=1,U69,(U69-0))</f>
        <v>26.5</v>
      </c>
      <c r="W69" s="4">
        <f t="shared" ref="W69:W73" si="37">IF(R69=1,U69,(V69*R69))</f>
        <v>26.5</v>
      </c>
      <c r="X69" s="4"/>
      <c r="Y69" s="4"/>
      <c r="Z69" s="4"/>
      <c r="AA69" s="4"/>
      <c r="AB69" s="4"/>
      <c r="AC69" s="4"/>
      <c r="AD69" s="4">
        <v>1</v>
      </c>
      <c r="AE69" s="4"/>
      <c r="AF69" s="4">
        <f t="shared" ref="AF69:AF73" si="38">P69*F69</f>
        <v>245</v>
      </c>
      <c r="AG69" s="4">
        <f t="shared" ref="AG69:AG73" si="39">IF(R69=1,AF69,(AF69-0))</f>
        <v>245</v>
      </c>
      <c r="AH69" s="4">
        <f t="shared" ref="AH69:AH73" si="40">IF(R69=1,AF69,(AG69*R69))</f>
        <v>245</v>
      </c>
      <c r="AI69" s="4"/>
      <c r="AJ69" s="4"/>
      <c r="AK69" s="4"/>
      <c r="AL69" s="4"/>
      <c r="AM69" s="4"/>
      <c r="AN69" s="4"/>
      <c r="AO69" s="4"/>
      <c r="AP69" s="2">
        <v>52</v>
      </c>
    </row>
    <row r="70" spans="1:47" ht="15.6" customHeight="1" x14ac:dyDescent="0.3">
      <c r="A70" s="1">
        <v>44685</v>
      </c>
      <c r="B70" t="s">
        <v>145</v>
      </c>
      <c r="C70" t="s">
        <v>147</v>
      </c>
      <c r="D70">
        <v>31</v>
      </c>
      <c r="E70">
        <v>1</v>
      </c>
      <c r="F70">
        <v>1</v>
      </c>
      <c r="G70" t="s">
        <v>51</v>
      </c>
      <c r="H70" t="s">
        <v>52</v>
      </c>
      <c r="I70">
        <v>7.8799999999999995E-2</v>
      </c>
      <c r="J70">
        <v>1.29</v>
      </c>
      <c r="K70">
        <v>26.2</v>
      </c>
      <c r="L70" t="s">
        <v>53</v>
      </c>
      <c r="M70" t="s">
        <v>54</v>
      </c>
      <c r="N70">
        <v>0.36</v>
      </c>
      <c r="O70">
        <v>4.47</v>
      </c>
      <c r="P70">
        <v>234</v>
      </c>
      <c r="Q70" s="4"/>
      <c r="R70" s="4">
        <v>1</v>
      </c>
      <c r="S70" s="4">
        <v>1</v>
      </c>
      <c r="T70" s="4"/>
      <c r="U70" s="4">
        <f t="shared" si="35"/>
        <v>26.2</v>
      </c>
      <c r="V70" s="4">
        <f t="shared" si="36"/>
        <v>26.2</v>
      </c>
      <c r="W70" s="4">
        <f t="shared" si="37"/>
        <v>26.2</v>
      </c>
      <c r="X70" s="4"/>
      <c r="Y70" s="4"/>
      <c r="Z70" s="4"/>
      <c r="AA70" s="4"/>
      <c r="AB70" s="4"/>
      <c r="AC70" s="4"/>
      <c r="AD70" s="4">
        <v>1</v>
      </c>
      <c r="AE70" s="4"/>
      <c r="AF70" s="4">
        <f t="shared" si="38"/>
        <v>234</v>
      </c>
      <c r="AG70" s="4">
        <f t="shared" si="39"/>
        <v>234</v>
      </c>
      <c r="AH70" s="4">
        <f t="shared" si="40"/>
        <v>234</v>
      </c>
      <c r="AI70" s="4"/>
      <c r="AJ70" s="4"/>
      <c r="AK70" s="4"/>
      <c r="AL70" s="4"/>
      <c r="AM70" s="4"/>
      <c r="AN70" s="4"/>
      <c r="AO70" s="4"/>
      <c r="AP70" s="2">
        <v>53</v>
      </c>
    </row>
    <row r="71" spans="1:47" ht="15.6" customHeight="1" x14ac:dyDescent="0.3">
      <c r="A71" s="1">
        <v>44685</v>
      </c>
      <c r="B71" t="s">
        <v>145</v>
      </c>
      <c r="C71" t="s">
        <v>148</v>
      </c>
      <c r="D71">
        <v>32</v>
      </c>
      <c r="E71">
        <v>1</v>
      </c>
      <c r="F71">
        <v>1</v>
      </c>
      <c r="G71" t="s">
        <v>51</v>
      </c>
      <c r="H71" t="s">
        <v>52</v>
      </c>
      <c r="I71">
        <v>7.9899999999999999E-2</v>
      </c>
      <c r="J71">
        <v>1.35</v>
      </c>
      <c r="K71">
        <v>27.7</v>
      </c>
      <c r="L71" t="s">
        <v>53</v>
      </c>
      <c r="M71" t="s">
        <v>54</v>
      </c>
      <c r="N71">
        <v>0.38500000000000001</v>
      </c>
      <c r="O71">
        <v>4.72</v>
      </c>
      <c r="P71">
        <v>251</v>
      </c>
      <c r="Q71" s="4"/>
      <c r="R71" s="4">
        <v>1</v>
      </c>
      <c r="S71" s="4">
        <v>1</v>
      </c>
      <c r="T71" s="4"/>
      <c r="U71" s="4">
        <f t="shared" si="35"/>
        <v>27.7</v>
      </c>
      <c r="V71" s="4">
        <f t="shared" si="36"/>
        <v>27.7</v>
      </c>
      <c r="W71" s="4">
        <f t="shared" si="37"/>
        <v>27.7</v>
      </c>
      <c r="X71" s="4"/>
      <c r="Y71" s="4"/>
      <c r="Z71" s="4"/>
      <c r="AA71" s="4"/>
      <c r="AB71" s="4"/>
      <c r="AC71" s="4"/>
      <c r="AD71" s="4">
        <v>1</v>
      </c>
      <c r="AE71" s="4"/>
      <c r="AF71" s="4">
        <f t="shared" si="38"/>
        <v>251</v>
      </c>
      <c r="AG71" s="4">
        <f t="shared" si="39"/>
        <v>251</v>
      </c>
      <c r="AH71" s="4">
        <f t="shared" si="40"/>
        <v>251</v>
      </c>
      <c r="AI71" s="4"/>
      <c r="AJ71" s="4"/>
      <c r="AK71" s="4"/>
      <c r="AL71" s="4"/>
      <c r="AM71" s="4"/>
      <c r="AN71" s="4"/>
      <c r="AO71" s="4"/>
      <c r="AP71" s="2">
        <v>54</v>
      </c>
    </row>
    <row r="72" spans="1:47" ht="15.6" customHeight="1" x14ac:dyDescent="0.3">
      <c r="A72" s="1">
        <v>44685</v>
      </c>
      <c r="B72" t="s">
        <v>145</v>
      </c>
      <c r="C72" t="s">
        <v>149</v>
      </c>
      <c r="D72">
        <v>33</v>
      </c>
      <c r="E72">
        <v>1</v>
      </c>
      <c r="F72">
        <v>1</v>
      </c>
      <c r="G72" t="s">
        <v>51</v>
      </c>
      <c r="H72" t="s">
        <v>52</v>
      </c>
      <c r="I72">
        <v>7.8399999999999997E-2</v>
      </c>
      <c r="J72">
        <v>1.3</v>
      </c>
      <c r="K72">
        <v>26.4</v>
      </c>
      <c r="L72" t="s">
        <v>53</v>
      </c>
      <c r="M72" t="s">
        <v>54</v>
      </c>
      <c r="N72">
        <v>0.373</v>
      </c>
      <c r="O72">
        <v>4.51</v>
      </c>
      <c r="P72">
        <v>237</v>
      </c>
      <c r="Q72" s="4"/>
      <c r="R72" s="4">
        <v>1</v>
      </c>
      <c r="S72" s="4">
        <v>1</v>
      </c>
      <c r="T72" s="4"/>
      <c r="U72" s="4">
        <f t="shared" si="35"/>
        <v>26.4</v>
      </c>
      <c r="V72" s="4">
        <f t="shared" si="36"/>
        <v>26.4</v>
      </c>
      <c r="W72" s="4">
        <f t="shared" si="37"/>
        <v>26.4</v>
      </c>
      <c r="X72" s="4"/>
      <c r="Y72" s="4"/>
      <c r="Z72" s="4"/>
      <c r="AA72" s="4"/>
      <c r="AB72" s="4"/>
      <c r="AC72" s="4"/>
      <c r="AD72" s="4">
        <v>1</v>
      </c>
      <c r="AE72" s="4"/>
      <c r="AF72" s="4">
        <f t="shared" si="38"/>
        <v>237</v>
      </c>
      <c r="AG72" s="4">
        <f t="shared" si="39"/>
        <v>237</v>
      </c>
      <c r="AH72" s="4">
        <f t="shared" si="40"/>
        <v>237</v>
      </c>
      <c r="AI72" s="4"/>
      <c r="AJ72" s="4"/>
      <c r="AK72" s="4"/>
      <c r="AL72" s="4"/>
      <c r="AM72" s="4"/>
      <c r="AN72" s="4"/>
      <c r="AO72" s="4"/>
      <c r="AP72" s="2">
        <v>55</v>
      </c>
    </row>
    <row r="73" spans="1:47" ht="15.6" customHeight="1" thickBot="1" x14ac:dyDescent="0.35">
      <c r="A73" s="1">
        <v>44685</v>
      </c>
      <c r="B73" t="s">
        <v>145</v>
      </c>
      <c r="C73" t="s">
        <v>150</v>
      </c>
      <c r="D73">
        <v>34</v>
      </c>
      <c r="E73">
        <v>1</v>
      </c>
      <c r="F73">
        <v>1</v>
      </c>
      <c r="G73" t="s">
        <v>51</v>
      </c>
      <c r="H73" t="s">
        <v>52</v>
      </c>
      <c r="I73">
        <v>7.6899999999999996E-2</v>
      </c>
      <c r="J73">
        <v>1.27</v>
      </c>
      <c r="K73">
        <v>25.4</v>
      </c>
      <c r="L73" t="s">
        <v>53</v>
      </c>
      <c r="M73" t="s">
        <v>54</v>
      </c>
      <c r="N73">
        <v>0.38500000000000001</v>
      </c>
      <c r="O73">
        <v>4.74</v>
      </c>
      <c r="P73">
        <v>253</v>
      </c>
      <c r="Q73" s="4"/>
      <c r="R73" s="4">
        <v>1</v>
      </c>
      <c r="S73" s="4">
        <v>1</v>
      </c>
      <c r="T73" s="4"/>
      <c r="U73" s="4">
        <f t="shared" si="35"/>
        <v>25.4</v>
      </c>
      <c r="V73" s="4">
        <f t="shared" si="36"/>
        <v>25.4</v>
      </c>
      <c r="W73" s="4">
        <f t="shared" si="37"/>
        <v>25.4</v>
      </c>
      <c r="X73" s="4"/>
      <c r="Y73" s="4"/>
      <c r="Z73" s="4"/>
      <c r="AA73" s="4"/>
      <c r="AB73" s="4"/>
      <c r="AC73" s="4"/>
      <c r="AD73" s="4">
        <v>1</v>
      </c>
      <c r="AE73" s="4"/>
      <c r="AF73" s="4">
        <f t="shared" si="38"/>
        <v>253</v>
      </c>
      <c r="AG73" s="4">
        <f t="shared" si="39"/>
        <v>253</v>
      </c>
      <c r="AH73" s="4">
        <f t="shared" si="40"/>
        <v>253</v>
      </c>
      <c r="AI73" s="4"/>
      <c r="AJ73" s="4"/>
      <c r="AK73" s="4"/>
      <c r="AL73" s="4"/>
      <c r="AM73" s="4"/>
      <c r="AN73" s="4"/>
      <c r="AO73" s="4"/>
      <c r="AP73" s="2">
        <v>56</v>
      </c>
    </row>
    <row r="74" spans="1:47" ht="15.6" customHeight="1" thickBot="1" x14ac:dyDescent="0.35">
      <c r="A74" s="31">
        <v>44979</v>
      </c>
      <c r="B74" s="32" t="s">
        <v>166</v>
      </c>
      <c r="C74" s="32" t="s">
        <v>167</v>
      </c>
      <c r="D74" s="33">
        <v>30</v>
      </c>
      <c r="E74" s="33">
        <v>1</v>
      </c>
      <c r="F74" s="33">
        <v>1</v>
      </c>
      <c r="G74" s="32" t="s">
        <v>51</v>
      </c>
      <c r="H74" s="32" t="s">
        <v>52</v>
      </c>
      <c r="I74" s="33">
        <v>0.13900000000000001</v>
      </c>
      <c r="J74" s="33">
        <v>2.38</v>
      </c>
      <c r="K74" s="33">
        <v>25.7</v>
      </c>
      <c r="L74" s="32" t="s">
        <v>53</v>
      </c>
      <c r="M74" s="32" t="s">
        <v>54</v>
      </c>
      <c r="N74" s="33">
        <v>0.52200000000000002</v>
      </c>
      <c r="O74" s="33">
        <v>7.34</v>
      </c>
      <c r="P74" s="33">
        <v>265</v>
      </c>
      <c r="Q74" s="4"/>
      <c r="R74" s="4">
        <v>1</v>
      </c>
      <c r="S74" s="4">
        <v>1</v>
      </c>
      <c r="T74" s="4"/>
      <c r="U74" s="4">
        <f t="shared" ref="U74:U109" si="41">K74*F74</f>
        <v>25.7</v>
      </c>
      <c r="V74" s="4">
        <f t="shared" ref="V74:V109" si="42">IF(R74=1,U74,(U74-0))</f>
        <v>25.7</v>
      </c>
      <c r="W74" s="4">
        <f t="shared" ref="W74:W109" si="43">IF(R74=1,U74,(V74*R74))</f>
        <v>25.7</v>
      </c>
      <c r="X74" s="4"/>
      <c r="Y74" s="4"/>
      <c r="Z74" s="4"/>
      <c r="AA74" s="4"/>
      <c r="AB74" s="4"/>
      <c r="AC74" s="4"/>
      <c r="AD74" s="4">
        <v>1</v>
      </c>
      <c r="AE74" s="4"/>
      <c r="AF74" s="4">
        <f t="shared" ref="AF74:AF109" si="44">P74*F74</f>
        <v>265</v>
      </c>
      <c r="AG74" s="4">
        <f t="shared" ref="AG74:AG109" si="45">IF(R74=1,AF74,(AF74-0))</f>
        <v>265</v>
      </c>
      <c r="AH74" s="4">
        <f t="shared" ref="AH74:AH109" si="46">IF(R74=1,AF74,(AG74*R74))</f>
        <v>265</v>
      </c>
      <c r="AI74" s="4"/>
      <c r="AJ74" s="4"/>
      <c r="AK74" s="4"/>
      <c r="AL74" s="4"/>
      <c r="AM74" s="4"/>
      <c r="AN74" s="4"/>
      <c r="AO74" s="4"/>
      <c r="AP74" s="2">
        <v>57</v>
      </c>
    </row>
    <row r="75" spans="1:47" ht="15.6" customHeight="1" thickBot="1" x14ac:dyDescent="0.35">
      <c r="A75" s="31">
        <v>44979</v>
      </c>
      <c r="B75" s="32" t="s">
        <v>166</v>
      </c>
      <c r="C75" s="32" t="s">
        <v>167</v>
      </c>
      <c r="D75" s="33">
        <v>31</v>
      </c>
      <c r="E75" s="33">
        <v>1</v>
      </c>
      <c r="F75" s="33">
        <v>1</v>
      </c>
      <c r="G75" s="32" t="s">
        <v>51</v>
      </c>
      <c r="H75" s="32" t="s">
        <v>52</v>
      </c>
      <c r="I75" s="33">
        <v>0.13500000000000001</v>
      </c>
      <c r="J75" s="33">
        <v>2.25</v>
      </c>
      <c r="K75" s="33">
        <v>21.7</v>
      </c>
      <c r="L75" s="32" t="s">
        <v>53</v>
      </c>
      <c r="M75" s="32" t="s">
        <v>54</v>
      </c>
      <c r="N75" s="33">
        <v>0.49199999999999999</v>
      </c>
      <c r="O75" s="33">
        <v>7.08</v>
      </c>
      <c r="P75" s="33">
        <v>252</v>
      </c>
      <c r="Q75" s="4"/>
      <c r="R75" s="4">
        <v>1</v>
      </c>
      <c r="S75" s="4">
        <v>1</v>
      </c>
      <c r="T75" s="4"/>
      <c r="U75" s="4">
        <f t="shared" si="41"/>
        <v>21.7</v>
      </c>
      <c r="V75" s="4">
        <f t="shared" si="42"/>
        <v>21.7</v>
      </c>
      <c r="W75" s="4">
        <f t="shared" si="43"/>
        <v>21.7</v>
      </c>
      <c r="X75" s="4"/>
      <c r="Y75" s="4"/>
      <c r="Z75" s="4"/>
      <c r="AA75" s="4"/>
      <c r="AB75" s="4"/>
      <c r="AC75" s="4"/>
      <c r="AD75" s="4">
        <v>1</v>
      </c>
      <c r="AE75" s="4"/>
      <c r="AF75" s="4">
        <f t="shared" si="44"/>
        <v>252</v>
      </c>
      <c r="AG75" s="4">
        <f t="shared" si="45"/>
        <v>252</v>
      </c>
      <c r="AH75" s="4">
        <f t="shared" si="46"/>
        <v>252</v>
      </c>
      <c r="AI75" s="4"/>
      <c r="AJ75" s="4"/>
      <c r="AK75" s="4"/>
      <c r="AL75" s="4"/>
      <c r="AM75" s="4"/>
      <c r="AN75" s="4"/>
      <c r="AO75" s="4"/>
      <c r="AP75" s="2">
        <v>58</v>
      </c>
    </row>
    <row r="76" spans="1:47" ht="15.6" customHeight="1" thickBot="1" x14ac:dyDescent="0.35">
      <c r="A76" s="31">
        <v>44979</v>
      </c>
      <c r="B76" s="32" t="s">
        <v>166</v>
      </c>
      <c r="C76" s="32" t="s">
        <v>167</v>
      </c>
      <c r="D76" s="33">
        <v>32</v>
      </c>
      <c r="E76" s="33">
        <v>1</v>
      </c>
      <c r="F76" s="33">
        <v>1</v>
      </c>
      <c r="G76" s="32" t="s">
        <v>51</v>
      </c>
      <c r="H76" s="32" t="s">
        <v>52</v>
      </c>
      <c r="I76" s="33">
        <v>0.13600000000000001</v>
      </c>
      <c r="J76" s="33">
        <v>2.2799999999999998</v>
      </c>
      <c r="K76" s="33">
        <v>22.4</v>
      </c>
      <c r="L76" s="32" t="s">
        <v>53</v>
      </c>
      <c r="M76" s="32" t="s">
        <v>54</v>
      </c>
      <c r="N76" s="33">
        <v>0.52</v>
      </c>
      <c r="O76" s="33">
        <v>7.14</v>
      </c>
      <c r="P76" s="33">
        <v>255</v>
      </c>
      <c r="Q76" s="4"/>
      <c r="R76" s="4">
        <v>1</v>
      </c>
      <c r="S76" s="4">
        <v>1</v>
      </c>
      <c r="T76" s="4"/>
      <c r="U76" s="4">
        <f t="shared" si="41"/>
        <v>22.4</v>
      </c>
      <c r="V76" s="4">
        <f t="shared" si="42"/>
        <v>22.4</v>
      </c>
      <c r="W76" s="4">
        <f t="shared" si="43"/>
        <v>22.4</v>
      </c>
      <c r="X76" s="4"/>
      <c r="Y76" s="4"/>
      <c r="Z76" s="4"/>
      <c r="AA76" s="4"/>
      <c r="AB76" s="4"/>
      <c r="AC76" s="4"/>
      <c r="AD76" s="4">
        <v>1</v>
      </c>
      <c r="AE76" s="4"/>
      <c r="AF76" s="4">
        <f t="shared" si="44"/>
        <v>255</v>
      </c>
      <c r="AG76" s="4">
        <f t="shared" si="45"/>
        <v>255</v>
      </c>
      <c r="AH76" s="4">
        <f t="shared" si="46"/>
        <v>255</v>
      </c>
      <c r="AI76" s="4"/>
      <c r="AJ76" s="4"/>
      <c r="AK76" s="4"/>
      <c r="AL76" s="4"/>
      <c r="AM76" s="4"/>
      <c r="AN76" s="4"/>
      <c r="AO76" s="4"/>
      <c r="AP76" s="2">
        <v>59</v>
      </c>
    </row>
    <row r="77" spans="1:47" ht="15.6" customHeight="1" thickBot="1" x14ac:dyDescent="0.35">
      <c r="A77" s="31">
        <v>44979</v>
      </c>
      <c r="B77" s="32" t="s">
        <v>166</v>
      </c>
      <c r="C77" s="32" t="s">
        <v>167</v>
      </c>
      <c r="D77" s="33">
        <v>33</v>
      </c>
      <c r="E77" s="33">
        <v>1</v>
      </c>
      <c r="F77" s="33">
        <v>1</v>
      </c>
      <c r="G77" s="32" t="s">
        <v>51</v>
      </c>
      <c r="H77" s="32" t="s">
        <v>52</v>
      </c>
      <c r="I77" s="33">
        <v>0.13400000000000001</v>
      </c>
      <c r="J77" s="33">
        <v>2.2400000000000002</v>
      </c>
      <c r="K77" s="33">
        <v>21.2</v>
      </c>
      <c r="L77" s="32" t="s">
        <v>53</v>
      </c>
      <c r="M77" s="32" t="s">
        <v>54</v>
      </c>
      <c r="N77" s="33">
        <v>0.48799999999999999</v>
      </c>
      <c r="O77" s="33">
        <v>6.62</v>
      </c>
      <c r="P77" s="33">
        <v>230</v>
      </c>
      <c r="Q77" s="4"/>
      <c r="R77" s="4">
        <v>1</v>
      </c>
      <c r="S77" s="4">
        <v>1</v>
      </c>
      <c r="T77" s="4"/>
      <c r="U77" s="4">
        <f t="shared" si="41"/>
        <v>21.2</v>
      </c>
      <c r="V77" s="4">
        <f t="shared" si="42"/>
        <v>21.2</v>
      </c>
      <c r="W77" s="4">
        <f t="shared" si="43"/>
        <v>21.2</v>
      </c>
      <c r="X77" s="4"/>
      <c r="Y77" s="4"/>
      <c r="Z77" s="4"/>
      <c r="AA77" s="4"/>
      <c r="AB77" s="4"/>
      <c r="AC77" s="4"/>
      <c r="AD77" s="4">
        <v>1</v>
      </c>
      <c r="AE77" s="4"/>
      <c r="AF77" s="4">
        <f t="shared" si="44"/>
        <v>230</v>
      </c>
      <c r="AG77" s="4">
        <f t="shared" si="45"/>
        <v>230</v>
      </c>
      <c r="AH77" s="4">
        <f t="shared" si="46"/>
        <v>230</v>
      </c>
      <c r="AI77" s="4"/>
      <c r="AJ77" s="4"/>
      <c r="AK77" s="4"/>
      <c r="AL77" s="4"/>
      <c r="AM77" s="4"/>
      <c r="AN77" s="4"/>
      <c r="AO77" s="4"/>
      <c r="AP77" s="2">
        <v>60</v>
      </c>
    </row>
    <row r="78" spans="1:47" ht="15.6" customHeight="1" thickBot="1" x14ac:dyDescent="0.35">
      <c r="A78" s="31">
        <v>44979</v>
      </c>
      <c r="B78" s="32" t="s">
        <v>166</v>
      </c>
      <c r="C78" s="32" t="s">
        <v>167</v>
      </c>
      <c r="D78" s="33">
        <v>34</v>
      </c>
      <c r="E78" s="33">
        <v>1</v>
      </c>
      <c r="F78" s="33">
        <v>1</v>
      </c>
      <c r="G78" s="32" t="s">
        <v>51</v>
      </c>
      <c r="H78" s="32" t="s">
        <v>52</v>
      </c>
      <c r="I78" s="33">
        <v>0.13500000000000001</v>
      </c>
      <c r="J78" s="33">
        <v>2.31</v>
      </c>
      <c r="K78" s="33">
        <v>23.5</v>
      </c>
      <c r="L78" s="32" t="s">
        <v>53</v>
      </c>
      <c r="M78" s="32" t="s">
        <v>54</v>
      </c>
      <c r="N78" s="33">
        <v>0.48599999999999999</v>
      </c>
      <c r="O78" s="33">
        <v>6.71</v>
      </c>
      <c r="P78" s="33">
        <v>234</v>
      </c>
      <c r="Q78" s="4"/>
      <c r="R78" s="4">
        <v>1</v>
      </c>
      <c r="S78" s="4">
        <v>1</v>
      </c>
      <c r="T78" s="4"/>
      <c r="U78" s="4">
        <f t="shared" si="41"/>
        <v>23.5</v>
      </c>
      <c r="V78" s="4">
        <f t="shared" si="42"/>
        <v>23.5</v>
      </c>
      <c r="W78" s="4">
        <f t="shared" si="43"/>
        <v>23.5</v>
      </c>
      <c r="X78" s="4"/>
      <c r="Y78" s="4"/>
      <c r="Z78" s="4"/>
      <c r="AA78" s="4"/>
      <c r="AB78" s="4"/>
      <c r="AC78" s="4"/>
      <c r="AD78" s="4">
        <v>1</v>
      </c>
      <c r="AE78" s="4"/>
      <c r="AF78" s="4">
        <f t="shared" si="44"/>
        <v>234</v>
      </c>
      <c r="AG78" s="4">
        <f t="shared" si="45"/>
        <v>234</v>
      </c>
      <c r="AH78" s="4">
        <f t="shared" si="46"/>
        <v>234</v>
      </c>
      <c r="AI78" s="4"/>
      <c r="AJ78" s="4"/>
      <c r="AK78" s="4"/>
      <c r="AL78" s="4"/>
      <c r="AM78" s="4"/>
      <c r="AN78" s="4"/>
      <c r="AO78" s="4"/>
      <c r="AP78" s="2">
        <v>61</v>
      </c>
    </row>
    <row r="79" spans="1:47" ht="15.6" customHeight="1" thickBot="1" x14ac:dyDescent="0.35">
      <c r="A79" s="31">
        <v>44979</v>
      </c>
      <c r="B79" s="32" t="s">
        <v>168</v>
      </c>
      <c r="C79" s="32" t="s">
        <v>167</v>
      </c>
      <c r="D79" s="33">
        <v>30</v>
      </c>
      <c r="E79" s="33">
        <v>1</v>
      </c>
      <c r="F79" s="33">
        <v>1</v>
      </c>
      <c r="G79" s="32" t="s">
        <v>51</v>
      </c>
      <c r="H79" s="32" t="s">
        <v>52</v>
      </c>
      <c r="I79" s="33">
        <v>0.13700000000000001</v>
      </c>
      <c r="J79" s="33">
        <v>2.33</v>
      </c>
      <c r="K79" s="33">
        <v>24.1</v>
      </c>
      <c r="L79" s="32" t="s">
        <v>53</v>
      </c>
      <c r="M79" s="32" t="s">
        <v>54</v>
      </c>
      <c r="N79" s="33">
        <v>0.48</v>
      </c>
      <c r="O79" s="33">
        <v>6.51</v>
      </c>
      <c r="P79" s="33">
        <v>225</v>
      </c>
      <c r="Q79" s="4"/>
      <c r="R79" s="4">
        <v>1</v>
      </c>
      <c r="S79" s="4">
        <v>1</v>
      </c>
      <c r="T79" s="4"/>
      <c r="U79" s="4">
        <f t="shared" si="41"/>
        <v>24.1</v>
      </c>
      <c r="V79" s="4">
        <f t="shared" si="42"/>
        <v>24.1</v>
      </c>
      <c r="W79" s="4">
        <f t="shared" si="43"/>
        <v>24.1</v>
      </c>
      <c r="X79" s="4"/>
      <c r="Y79" s="4"/>
      <c r="Z79" s="4"/>
      <c r="AA79" s="4"/>
      <c r="AB79" s="4"/>
      <c r="AC79" s="4"/>
      <c r="AD79" s="4">
        <v>1</v>
      </c>
      <c r="AE79" s="4"/>
      <c r="AF79" s="4">
        <f t="shared" si="44"/>
        <v>225</v>
      </c>
      <c r="AG79" s="4">
        <f t="shared" si="45"/>
        <v>225</v>
      </c>
      <c r="AH79" s="4">
        <f t="shared" si="46"/>
        <v>225</v>
      </c>
      <c r="AI79" s="4"/>
      <c r="AJ79" s="4"/>
      <c r="AK79" s="4"/>
      <c r="AL79" s="4"/>
      <c r="AM79" s="4"/>
      <c r="AN79" s="4"/>
      <c r="AO79" s="4"/>
      <c r="AP79" s="2">
        <v>62</v>
      </c>
    </row>
    <row r="80" spans="1:47" ht="15.6" customHeight="1" thickBot="1" x14ac:dyDescent="0.35">
      <c r="A80" s="31">
        <v>45000</v>
      </c>
      <c r="B80" s="32" t="s">
        <v>169</v>
      </c>
      <c r="C80" s="32" t="s">
        <v>152</v>
      </c>
      <c r="D80" s="33">
        <v>30</v>
      </c>
      <c r="E80" s="33">
        <v>1</v>
      </c>
      <c r="F80" s="33">
        <v>1</v>
      </c>
      <c r="G80" s="32" t="s">
        <v>51</v>
      </c>
      <c r="H80" s="32" t="s">
        <v>52</v>
      </c>
      <c r="I80" s="33">
        <v>6.3E-2</v>
      </c>
      <c r="J80" s="33">
        <v>1.1100000000000001</v>
      </c>
      <c r="K80" s="33">
        <v>22.8</v>
      </c>
      <c r="L80" s="32" t="s">
        <v>53</v>
      </c>
      <c r="M80" s="32" t="s">
        <v>54</v>
      </c>
      <c r="N80" s="33">
        <v>0.15</v>
      </c>
      <c r="O80" s="33">
        <v>2.19</v>
      </c>
      <c r="P80" s="33">
        <v>239</v>
      </c>
      <c r="Q80" s="4"/>
      <c r="R80" s="4">
        <v>1</v>
      </c>
      <c r="S80" s="4">
        <v>1</v>
      </c>
      <c r="T80" s="4"/>
      <c r="U80" s="4">
        <f t="shared" si="41"/>
        <v>22.8</v>
      </c>
      <c r="V80" s="4">
        <f t="shared" si="42"/>
        <v>22.8</v>
      </c>
      <c r="W80" s="4">
        <f t="shared" si="43"/>
        <v>22.8</v>
      </c>
      <c r="X80" s="4"/>
      <c r="Y80" s="4"/>
      <c r="Z80" s="4"/>
      <c r="AA80" s="4"/>
      <c r="AB80" s="4"/>
      <c r="AC80" s="4"/>
      <c r="AD80" s="4">
        <v>1</v>
      </c>
      <c r="AE80" s="4"/>
      <c r="AF80" s="4">
        <f t="shared" si="44"/>
        <v>239</v>
      </c>
      <c r="AG80" s="4">
        <f t="shared" si="45"/>
        <v>239</v>
      </c>
      <c r="AH80" s="4">
        <f t="shared" si="46"/>
        <v>239</v>
      </c>
      <c r="AI80" s="4"/>
      <c r="AJ80" s="4"/>
      <c r="AK80" s="4"/>
      <c r="AL80" s="4"/>
      <c r="AM80" s="4"/>
      <c r="AN80" s="4"/>
      <c r="AO80" s="4"/>
      <c r="AP80" s="2">
        <v>63</v>
      </c>
    </row>
    <row r="81" spans="1:42" ht="15.6" customHeight="1" thickBot="1" x14ac:dyDescent="0.35">
      <c r="A81" s="31">
        <v>45000</v>
      </c>
      <c r="B81" s="32" t="s">
        <v>169</v>
      </c>
      <c r="C81" s="32" t="s">
        <v>153</v>
      </c>
      <c r="D81" s="33">
        <v>31</v>
      </c>
      <c r="E81" s="33">
        <v>1</v>
      </c>
      <c r="F81" s="33">
        <v>1</v>
      </c>
      <c r="G81" s="32" t="s">
        <v>51</v>
      </c>
      <c r="H81" s="32" t="s">
        <v>52</v>
      </c>
      <c r="I81" s="33">
        <v>6.25E-2</v>
      </c>
      <c r="J81" s="33">
        <v>1.1100000000000001</v>
      </c>
      <c r="K81" s="33">
        <v>22.9</v>
      </c>
      <c r="L81" s="32" t="s">
        <v>53</v>
      </c>
      <c r="M81" s="32" t="s">
        <v>54</v>
      </c>
      <c r="N81" s="33">
        <v>0.14599999999999999</v>
      </c>
      <c r="O81" s="33">
        <v>2.08</v>
      </c>
      <c r="P81" s="33">
        <v>222</v>
      </c>
      <c r="Q81" s="4"/>
      <c r="R81" s="4">
        <v>1</v>
      </c>
      <c r="S81" s="4">
        <v>1</v>
      </c>
      <c r="T81" s="4"/>
      <c r="U81" s="4">
        <f t="shared" si="41"/>
        <v>22.9</v>
      </c>
      <c r="V81" s="4">
        <f t="shared" si="42"/>
        <v>22.9</v>
      </c>
      <c r="W81" s="4">
        <f t="shared" si="43"/>
        <v>22.9</v>
      </c>
      <c r="X81" s="4"/>
      <c r="Y81" s="4"/>
      <c r="Z81" s="4"/>
      <c r="AA81" s="4"/>
      <c r="AB81" s="4"/>
      <c r="AC81" s="4"/>
      <c r="AD81" s="4">
        <v>1</v>
      </c>
      <c r="AE81" s="4"/>
      <c r="AF81" s="4">
        <f t="shared" si="44"/>
        <v>222</v>
      </c>
      <c r="AG81" s="4">
        <f t="shared" si="45"/>
        <v>222</v>
      </c>
      <c r="AH81" s="4">
        <f t="shared" si="46"/>
        <v>222</v>
      </c>
      <c r="AI81" s="4"/>
      <c r="AJ81" s="4"/>
      <c r="AK81" s="4"/>
      <c r="AL81" s="4"/>
      <c r="AM81" s="4"/>
      <c r="AN81" s="4"/>
      <c r="AO81" s="4"/>
      <c r="AP81" s="2">
        <v>64</v>
      </c>
    </row>
    <row r="82" spans="1:42" ht="15.6" customHeight="1" thickBot="1" x14ac:dyDescent="0.35">
      <c r="A82" s="31">
        <v>45000</v>
      </c>
      <c r="B82" s="32" t="s">
        <v>169</v>
      </c>
      <c r="C82" s="32" t="s">
        <v>154</v>
      </c>
      <c r="D82" s="33">
        <v>32</v>
      </c>
      <c r="E82" s="33">
        <v>1</v>
      </c>
      <c r="F82" s="33">
        <v>1</v>
      </c>
      <c r="G82" s="32" t="s">
        <v>51</v>
      </c>
      <c r="H82" s="32" t="s">
        <v>52</v>
      </c>
      <c r="I82" s="33">
        <v>6.4399999999999999E-2</v>
      </c>
      <c r="J82" s="33">
        <v>1.1000000000000001</v>
      </c>
      <c r="K82" s="33">
        <v>22.7</v>
      </c>
      <c r="L82" s="32" t="s">
        <v>53</v>
      </c>
      <c r="M82" s="32" t="s">
        <v>54</v>
      </c>
      <c r="N82" s="33">
        <v>0.14000000000000001</v>
      </c>
      <c r="O82" s="33">
        <v>2.09</v>
      </c>
      <c r="P82" s="33">
        <v>223</v>
      </c>
      <c r="Q82" s="4"/>
      <c r="R82" s="4">
        <v>1</v>
      </c>
      <c r="S82" s="4">
        <v>1</v>
      </c>
      <c r="T82" s="4"/>
      <c r="U82" s="4">
        <f t="shared" si="41"/>
        <v>22.7</v>
      </c>
      <c r="V82" s="4">
        <f t="shared" si="42"/>
        <v>22.7</v>
      </c>
      <c r="W82" s="4">
        <f t="shared" si="43"/>
        <v>22.7</v>
      </c>
      <c r="X82" s="4"/>
      <c r="Y82" s="4"/>
      <c r="Z82" s="4"/>
      <c r="AA82" s="4"/>
      <c r="AB82" s="4"/>
      <c r="AC82" s="4"/>
      <c r="AD82" s="4">
        <v>1</v>
      </c>
      <c r="AE82" s="4"/>
      <c r="AF82" s="4">
        <f t="shared" si="44"/>
        <v>223</v>
      </c>
      <c r="AG82" s="4">
        <f t="shared" si="45"/>
        <v>223</v>
      </c>
      <c r="AH82" s="4">
        <f t="shared" si="46"/>
        <v>223</v>
      </c>
      <c r="AI82" s="4"/>
      <c r="AJ82" s="4"/>
      <c r="AK82" s="4"/>
      <c r="AL82" s="4"/>
      <c r="AM82" s="4"/>
      <c r="AN82" s="4"/>
      <c r="AO82" s="4"/>
      <c r="AP82" s="2">
        <v>65</v>
      </c>
    </row>
    <row r="83" spans="1:42" ht="15.6" customHeight="1" thickBot="1" x14ac:dyDescent="0.35">
      <c r="A83" s="31">
        <v>45000</v>
      </c>
      <c r="B83" s="32" t="s">
        <v>169</v>
      </c>
      <c r="C83" s="32" t="s">
        <v>155</v>
      </c>
      <c r="D83" s="33">
        <v>33</v>
      </c>
      <c r="E83" s="33">
        <v>1</v>
      </c>
      <c r="F83" s="33">
        <v>1</v>
      </c>
      <c r="G83" s="32" t="s">
        <v>51</v>
      </c>
      <c r="H83" s="32" t="s">
        <v>52</v>
      </c>
      <c r="I83" s="33">
        <v>6.2E-2</v>
      </c>
      <c r="J83" s="33">
        <v>1.1000000000000001</v>
      </c>
      <c r="K83" s="33">
        <v>22.5</v>
      </c>
      <c r="L83" s="32" t="s">
        <v>53</v>
      </c>
      <c r="M83" s="32" t="s">
        <v>54</v>
      </c>
      <c r="N83" s="33">
        <v>0.14000000000000001</v>
      </c>
      <c r="O83" s="33">
        <v>2.0299999999999998</v>
      </c>
      <c r="P83" s="33">
        <v>215</v>
      </c>
      <c r="Q83" s="4"/>
      <c r="R83" s="4">
        <v>1</v>
      </c>
      <c r="S83" s="4">
        <v>1</v>
      </c>
      <c r="T83" s="4"/>
      <c r="U83" s="4">
        <f t="shared" si="41"/>
        <v>22.5</v>
      </c>
      <c r="V83" s="4">
        <f t="shared" si="42"/>
        <v>22.5</v>
      </c>
      <c r="W83" s="4">
        <f t="shared" si="43"/>
        <v>22.5</v>
      </c>
      <c r="X83" s="4"/>
      <c r="Y83" s="4"/>
      <c r="Z83" s="4"/>
      <c r="AA83" s="4"/>
      <c r="AB83" s="4"/>
      <c r="AC83" s="4"/>
      <c r="AD83" s="4">
        <v>1</v>
      </c>
      <c r="AE83" s="4"/>
      <c r="AF83" s="4">
        <f t="shared" si="44"/>
        <v>215</v>
      </c>
      <c r="AG83" s="4">
        <f t="shared" si="45"/>
        <v>215</v>
      </c>
      <c r="AH83" s="4">
        <f t="shared" si="46"/>
        <v>215</v>
      </c>
      <c r="AI83" s="4"/>
      <c r="AJ83" s="4"/>
      <c r="AK83" s="4"/>
      <c r="AL83" s="4"/>
      <c r="AM83" s="4"/>
      <c r="AN83" s="4"/>
      <c r="AO83" s="4"/>
      <c r="AP83" s="2">
        <v>66</v>
      </c>
    </row>
    <row r="84" spans="1:42" ht="15.6" customHeight="1" thickBot="1" x14ac:dyDescent="0.35">
      <c r="A84" s="31">
        <v>45000</v>
      </c>
      <c r="B84" s="32" t="s">
        <v>169</v>
      </c>
      <c r="C84" s="32" t="s">
        <v>156</v>
      </c>
      <c r="D84" s="33">
        <v>34</v>
      </c>
      <c r="E84" s="33">
        <v>1</v>
      </c>
      <c r="F84" s="33">
        <v>1</v>
      </c>
      <c r="G84" s="32" t="s">
        <v>51</v>
      </c>
      <c r="H84" s="32" t="s">
        <v>52</v>
      </c>
      <c r="I84" s="33">
        <v>6.4399999999999999E-2</v>
      </c>
      <c r="J84" s="33">
        <v>1.17</v>
      </c>
      <c r="K84" s="33">
        <v>24.7</v>
      </c>
      <c r="L84" s="32" t="s">
        <v>53</v>
      </c>
      <c r="M84" s="32" t="s">
        <v>54</v>
      </c>
      <c r="N84" s="33">
        <v>0.14699999999999999</v>
      </c>
      <c r="O84" s="33">
        <v>2.14</v>
      </c>
      <c r="P84" s="33">
        <v>231</v>
      </c>
      <c r="Q84" s="4"/>
      <c r="R84" s="4">
        <v>1</v>
      </c>
      <c r="S84" s="4">
        <v>1</v>
      </c>
      <c r="T84" s="4"/>
      <c r="U84" s="4">
        <f t="shared" si="41"/>
        <v>24.7</v>
      </c>
      <c r="V84" s="4">
        <f t="shared" si="42"/>
        <v>24.7</v>
      </c>
      <c r="W84" s="4">
        <f t="shared" si="43"/>
        <v>24.7</v>
      </c>
      <c r="X84" s="4"/>
      <c r="Y84" s="4"/>
      <c r="Z84" s="4"/>
      <c r="AA84" s="4"/>
      <c r="AB84" s="4"/>
      <c r="AC84" s="4"/>
      <c r="AD84" s="4">
        <v>1</v>
      </c>
      <c r="AE84" s="4"/>
      <c r="AF84" s="4">
        <f t="shared" si="44"/>
        <v>231</v>
      </c>
      <c r="AG84" s="4">
        <f t="shared" si="45"/>
        <v>231</v>
      </c>
      <c r="AH84" s="4">
        <f t="shared" si="46"/>
        <v>231</v>
      </c>
      <c r="AI84" s="4"/>
      <c r="AJ84" s="4"/>
      <c r="AK84" s="4"/>
      <c r="AL84" s="4"/>
      <c r="AM84" s="4"/>
      <c r="AN84" s="4"/>
      <c r="AO84" s="4"/>
      <c r="AP84" s="2">
        <v>67</v>
      </c>
    </row>
    <row r="85" spans="1:42" ht="15.6" customHeight="1" thickBot="1" x14ac:dyDescent="0.35">
      <c r="A85" s="31">
        <v>45005</v>
      </c>
      <c r="B85" s="32" t="s">
        <v>170</v>
      </c>
      <c r="C85" s="32" t="s">
        <v>171</v>
      </c>
      <c r="D85" s="33">
        <v>30</v>
      </c>
      <c r="E85" s="33">
        <v>1</v>
      </c>
      <c r="F85" s="33">
        <v>1</v>
      </c>
      <c r="G85" s="32" t="s">
        <v>51</v>
      </c>
      <c r="H85" s="32" t="s">
        <v>52</v>
      </c>
      <c r="I85" s="33">
        <v>6.7500000000000004E-2</v>
      </c>
      <c r="J85" s="33">
        <v>1.1599999999999999</v>
      </c>
      <c r="K85" s="33">
        <v>24.7</v>
      </c>
      <c r="L85" s="32" t="s">
        <v>53</v>
      </c>
      <c r="M85" s="32" t="s">
        <v>54</v>
      </c>
      <c r="N85" s="33">
        <v>0.13200000000000001</v>
      </c>
      <c r="O85" s="33">
        <v>1.89</v>
      </c>
      <c r="P85" s="33">
        <v>193</v>
      </c>
      <c r="Q85" s="4"/>
      <c r="R85" s="4">
        <v>1</v>
      </c>
      <c r="S85" s="4">
        <v>1</v>
      </c>
      <c r="T85" s="4"/>
      <c r="U85" s="4">
        <f t="shared" si="41"/>
        <v>24.7</v>
      </c>
      <c r="V85" s="4">
        <f t="shared" si="42"/>
        <v>24.7</v>
      </c>
      <c r="W85" s="4">
        <f t="shared" si="43"/>
        <v>24.7</v>
      </c>
      <c r="X85" s="4"/>
      <c r="Y85" s="4"/>
      <c r="Z85" s="4"/>
      <c r="AA85" s="4"/>
      <c r="AB85" s="4"/>
      <c r="AC85" s="4"/>
      <c r="AD85" s="4">
        <v>1</v>
      </c>
      <c r="AE85" s="4"/>
      <c r="AF85" s="4">
        <f t="shared" si="44"/>
        <v>193</v>
      </c>
      <c r="AG85" s="4">
        <f t="shared" si="45"/>
        <v>193</v>
      </c>
      <c r="AH85" s="4">
        <f t="shared" si="46"/>
        <v>193</v>
      </c>
      <c r="AI85" s="4"/>
      <c r="AJ85" s="4"/>
      <c r="AK85" s="4"/>
      <c r="AL85" s="4"/>
      <c r="AM85" s="4"/>
      <c r="AN85" s="4"/>
      <c r="AO85" s="4"/>
      <c r="AP85" s="2">
        <v>68</v>
      </c>
    </row>
    <row r="86" spans="1:42" ht="15.6" customHeight="1" thickBot="1" x14ac:dyDescent="0.35">
      <c r="A86" s="31">
        <v>45005</v>
      </c>
      <c r="B86" s="32" t="s">
        <v>170</v>
      </c>
      <c r="C86" s="32" t="s">
        <v>172</v>
      </c>
      <c r="D86" s="33">
        <v>31</v>
      </c>
      <c r="E86" s="33">
        <v>1</v>
      </c>
      <c r="F86" s="33">
        <v>1</v>
      </c>
      <c r="G86" s="32" t="s">
        <v>51</v>
      </c>
      <c r="H86" s="32" t="s">
        <v>52</v>
      </c>
      <c r="I86" s="33">
        <v>6.8400000000000002E-2</v>
      </c>
      <c r="J86" s="33">
        <v>1.18</v>
      </c>
      <c r="K86" s="33">
        <v>25.5</v>
      </c>
      <c r="L86" s="32" t="s">
        <v>53</v>
      </c>
      <c r="M86" s="32" t="s">
        <v>54</v>
      </c>
      <c r="N86" s="33">
        <v>0.14000000000000001</v>
      </c>
      <c r="O86" s="33">
        <v>1.86</v>
      </c>
      <c r="P86" s="33">
        <v>189</v>
      </c>
      <c r="Q86" s="4"/>
      <c r="R86" s="4">
        <v>1</v>
      </c>
      <c r="S86" s="4">
        <v>1</v>
      </c>
      <c r="T86" s="4"/>
      <c r="U86" s="4">
        <f t="shared" si="41"/>
        <v>25.5</v>
      </c>
      <c r="V86" s="4">
        <f t="shared" si="42"/>
        <v>25.5</v>
      </c>
      <c r="W86" s="4">
        <f t="shared" si="43"/>
        <v>25.5</v>
      </c>
      <c r="X86" s="4"/>
      <c r="Y86" s="4"/>
      <c r="Z86" s="4"/>
      <c r="AA86" s="4"/>
      <c r="AB86" s="4"/>
      <c r="AC86" s="4"/>
      <c r="AD86" s="4">
        <v>1</v>
      </c>
      <c r="AE86" s="4"/>
      <c r="AF86" s="4">
        <f t="shared" si="44"/>
        <v>189</v>
      </c>
      <c r="AG86" s="4">
        <f t="shared" si="45"/>
        <v>189</v>
      </c>
      <c r="AH86" s="4">
        <f t="shared" si="46"/>
        <v>189</v>
      </c>
      <c r="AI86" s="4"/>
      <c r="AJ86" s="4"/>
      <c r="AK86" s="4"/>
      <c r="AL86" s="4"/>
      <c r="AM86" s="4"/>
      <c r="AN86" s="4"/>
      <c r="AO86" s="4"/>
      <c r="AP86" s="2">
        <v>69</v>
      </c>
    </row>
    <row r="87" spans="1:42" ht="15.6" customHeight="1" thickBot="1" x14ac:dyDescent="0.35">
      <c r="A87" s="31">
        <v>45005</v>
      </c>
      <c r="B87" s="32" t="s">
        <v>170</v>
      </c>
      <c r="C87" s="32" t="s">
        <v>173</v>
      </c>
      <c r="D87" s="33">
        <v>32</v>
      </c>
      <c r="E87" s="33">
        <v>1</v>
      </c>
      <c r="F87" s="33">
        <v>1</v>
      </c>
      <c r="G87" s="32" t="s">
        <v>51</v>
      </c>
      <c r="H87" s="32" t="s">
        <v>52</v>
      </c>
      <c r="I87" s="33">
        <v>6.7699999999999996E-2</v>
      </c>
      <c r="J87" s="33">
        <v>1.19</v>
      </c>
      <c r="K87" s="33">
        <v>25.6</v>
      </c>
      <c r="L87" s="32" t="s">
        <v>53</v>
      </c>
      <c r="M87" s="32" t="s">
        <v>54</v>
      </c>
      <c r="N87" s="33">
        <v>0.13900000000000001</v>
      </c>
      <c r="O87" s="33">
        <v>1.87</v>
      </c>
      <c r="P87" s="33">
        <v>191</v>
      </c>
      <c r="Q87" s="4"/>
      <c r="R87" s="4">
        <v>1</v>
      </c>
      <c r="S87" s="4">
        <v>1</v>
      </c>
      <c r="T87" s="4"/>
      <c r="U87" s="4">
        <f t="shared" si="41"/>
        <v>25.6</v>
      </c>
      <c r="V87" s="4">
        <f t="shared" si="42"/>
        <v>25.6</v>
      </c>
      <c r="W87" s="4">
        <f t="shared" si="43"/>
        <v>25.6</v>
      </c>
      <c r="X87" s="4"/>
      <c r="Y87" s="4"/>
      <c r="Z87" s="4"/>
      <c r="AA87" s="4"/>
      <c r="AB87" s="4"/>
      <c r="AC87" s="4"/>
      <c r="AD87" s="4">
        <v>1</v>
      </c>
      <c r="AE87" s="4"/>
      <c r="AF87" s="4">
        <f t="shared" si="44"/>
        <v>191</v>
      </c>
      <c r="AG87" s="4">
        <f t="shared" si="45"/>
        <v>191</v>
      </c>
      <c r="AH87" s="4">
        <f t="shared" si="46"/>
        <v>191</v>
      </c>
      <c r="AI87" s="4"/>
      <c r="AJ87" s="4"/>
      <c r="AK87" s="4"/>
      <c r="AL87" s="4"/>
      <c r="AM87" s="4"/>
      <c r="AN87" s="4"/>
      <c r="AO87" s="4"/>
      <c r="AP87" s="2">
        <v>70</v>
      </c>
    </row>
    <row r="88" spans="1:42" ht="15.6" customHeight="1" thickBot="1" x14ac:dyDescent="0.35">
      <c r="A88" s="31">
        <v>45005</v>
      </c>
      <c r="B88" s="32" t="s">
        <v>170</v>
      </c>
      <c r="C88" s="32" t="s">
        <v>174</v>
      </c>
      <c r="D88" s="33">
        <v>33</v>
      </c>
      <c r="E88" s="33">
        <v>1</v>
      </c>
      <c r="F88" s="33">
        <v>1</v>
      </c>
      <c r="G88" s="32" t="s">
        <v>51</v>
      </c>
      <c r="H88" s="32" t="s">
        <v>52</v>
      </c>
      <c r="I88" s="33">
        <v>6.7199999999999996E-2</v>
      </c>
      <c r="J88" s="33">
        <v>1.1599999999999999</v>
      </c>
      <c r="K88" s="33">
        <v>24.8</v>
      </c>
      <c r="L88" s="32" t="s">
        <v>53</v>
      </c>
      <c r="M88" s="32" t="s">
        <v>54</v>
      </c>
      <c r="N88" s="33">
        <v>0.128</v>
      </c>
      <c r="O88" s="33">
        <v>1.82</v>
      </c>
      <c r="P88" s="33">
        <v>183</v>
      </c>
      <c r="Q88" s="4"/>
      <c r="R88" s="4">
        <v>1</v>
      </c>
      <c r="S88" s="4">
        <v>1</v>
      </c>
      <c r="T88" s="4"/>
      <c r="U88" s="4">
        <f t="shared" si="41"/>
        <v>24.8</v>
      </c>
      <c r="V88" s="4">
        <f t="shared" si="42"/>
        <v>24.8</v>
      </c>
      <c r="W88" s="4">
        <f t="shared" si="43"/>
        <v>24.8</v>
      </c>
      <c r="X88" s="4"/>
      <c r="Y88" s="4"/>
      <c r="Z88" s="4"/>
      <c r="AA88" s="4"/>
      <c r="AB88" s="4"/>
      <c r="AC88" s="4"/>
      <c r="AD88" s="4">
        <v>1</v>
      </c>
      <c r="AE88" s="4"/>
      <c r="AF88" s="4">
        <f t="shared" si="44"/>
        <v>183</v>
      </c>
      <c r="AG88" s="4">
        <f t="shared" si="45"/>
        <v>183</v>
      </c>
      <c r="AH88" s="4">
        <f t="shared" si="46"/>
        <v>183</v>
      </c>
      <c r="AI88" s="4"/>
      <c r="AJ88" s="4"/>
      <c r="AK88" s="4"/>
      <c r="AL88" s="4"/>
      <c r="AM88" s="4"/>
      <c r="AN88" s="4"/>
      <c r="AO88" s="4"/>
      <c r="AP88" s="2">
        <v>71</v>
      </c>
    </row>
    <row r="89" spans="1:42" ht="15.6" customHeight="1" thickBot="1" x14ac:dyDescent="0.35">
      <c r="A89" s="31">
        <v>45005</v>
      </c>
      <c r="B89" s="32" t="s">
        <v>170</v>
      </c>
      <c r="C89" s="32" t="s">
        <v>175</v>
      </c>
      <c r="D89" s="33">
        <v>34</v>
      </c>
      <c r="E89" s="33">
        <v>1</v>
      </c>
      <c r="F89" s="33">
        <v>1</v>
      </c>
      <c r="G89" s="32" t="s">
        <v>51</v>
      </c>
      <c r="H89" s="32" t="s">
        <v>52</v>
      </c>
      <c r="I89" s="33">
        <v>6.8000000000000005E-2</v>
      </c>
      <c r="J89" s="33">
        <v>1.2</v>
      </c>
      <c r="K89" s="33">
        <v>25.9</v>
      </c>
      <c r="L89" s="32" t="s">
        <v>53</v>
      </c>
      <c r="M89" s="32" t="s">
        <v>54</v>
      </c>
      <c r="N89" s="33">
        <v>0.13300000000000001</v>
      </c>
      <c r="O89" s="33">
        <v>1.92</v>
      </c>
      <c r="P89" s="33">
        <v>197</v>
      </c>
      <c r="Q89" s="4"/>
      <c r="R89" s="4">
        <v>1</v>
      </c>
      <c r="S89" s="4">
        <v>1</v>
      </c>
      <c r="T89" s="4"/>
      <c r="U89" s="4">
        <f t="shared" si="41"/>
        <v>25.9</v>
      </c>
      <c r="V89" s="4">
        <f t="shared" si="42"/>
        <v>25.9</v>
      </c>
      <c r="W89" s="4">
        <f t="shared" si="43"/>
        <v>25.9</v>
      </c>
      <c r="X89" s="4"/>
      <c r="Y89" s="4"/>
      <c r="Z89" s="4"/>
      <c r="AA89" s="4"/>
      <c r="AB89" s="4"/>
      <c r="AC89" s="4"/>
      <c r="AD89" s="4">
        <v>1</v>
      </c>
      <c r="AE89" s="4"/>
      <c r="AF89" s="4">
        <f t="shared" si="44"/>
        <v>197</v>
      </c>
      <c r="AG89" s="4">
        <f t="shared" si="45"/>
        <v>197</v>
      </c>
      <c r="AH89" s="4">
        <f t="shared" si="46"/>
        <v>197</v>
      </c>
      <c r="AI89" s="4"/>
      <c r="AJ89" s="4"/>
      <c r="AK89" s="4"/>
      <c r="AL89" s="4"/>
      <c r="AM89" s="4"/>
      <c r="AN89" s="4"/>
      <c r="AO89" s="4"/>
      <c r="AP89" s="2">
        <v>72</v>
      </c>
    </row>
    <row r="90" spans="1:42" ht="15.6" customHeight="1" thickBot="1" x14ac:dyDescent="0.35">
      <c r="A90" s="31">
        <v>45007</v>
      </c>
      <c r="B90" s="32" t="s">
        <v>176</v>
      </c>
      <c r="C90" s="32" t="s">
        <v>152</v>
      </c>
      <c r="D90" s="33">
        <v>30</v>
      </c>
      <c r="E90" s="33">
        <v>1</v>
      </c>
      <c r="F90" s="33">
        <v>1</v>
      </c>
      <c r="G90" s="32" t="s">
        <v>51</v>
      </c>
      <c r="H90" s="32" t="s">
        <v>52</v>
      </c>
      <c r="I90" s="33">
        <v>6.0600000000000001E-2</v>
      </c>
      <c r="J90" s="33">
        <v>1.05</v>
      </c>
      <c r="K90" s="33">
        <v>25.2</v>
      </c>
      <c r="L90" s="32" t="s">
        <v>53</v>
      </c>
      <c r="M90" s="32" t="s">
        <v>54</v>
      </c>
      <c r="N90" s="33">
        <v>0.127</v>
      </c>
      <c r="O90" s="33">
        <v>1.83</v>
      </c>
      <c r="P90" s="33">
        <v>206</v>
      </c>
      <c r="Q90" s="4"/>
      <c r="R90" s="4">
        <v>1</v>
      </c>
      <c r="S90" s="4">
        <v>1</v>
      </c>
      <c r="T90" s="4"/>
      <c r="U90" s="4">
        <f t="shared" si="41"/>
        <v>25.2</v>
      </c>
      <c r="V90" s="4">
        <f t="shared" si="42"/>
        <v>25.2</v>
      </c>
      <c r="W90" s="4">
        <f t="shared" si="43"/>
        <v>25.2</v>
      </c>
      <c r="X90" s="4"/>
      <c r="Y90" s="4"/>
      <c r="Z90" s="4"/>
      <c r="AA90" s="4"/>
      <c r="AB90" s="4"/>
      <c r="AC90" s="4"/>
      <c r="AD90" s="4">
        <v>1</v>
      </c>
      <c r="AE90" s="4"/>
      <c r="AF90" s="4">
        <f t="shared" si="44"/>
        <v>206</v>
      </c>
      <c r="AG90" s="4">
        <f t="shared" si="45"/>
        <v>206</v>
      </c>
      <c r="AH90" s="4">
        <f t="shared" si="46"/>
        <v>206</v>
      </c>
      <c r="AI90" s="4"/>
      <c r="AJ90" s="4"/>
      <c r="AK90" s="4"/>
      <c r="AL90" s="4"/>
      <c r="AM90" s="4"/>
      <c r="AN90" s="4"/>
      <c r="AO90" s="4"/>
      <c r="AP90" s="2">
        <v>73</v>
      </c>
    </row>
    <row r="91" spans="1:42" ht="15.6" customHeight="1" thickBot="1" x14ac:dyDescent="0.35">
      <c r="A91" s="31">
        <v>45007</v>
      </c>
      <c r="B91" s="32" t="s">
        <v>176</v>
      </c>
      <c r="C91" s="32" t="s">
        <v>153</v>
      </c>
      <c r="D91" s="33">
        <v>31</v>
      </c>
      <c r="E91" s="33">
        <v>1</v>
      </c>
      <c r="F91" s="33">
        <v>1</v>
      </c>
      <c r="G91" s="32" t="s">
        <v>51</v>
      </c>
      <c r="H91" s="32" t="s">
        <v>52</v>
      </c>
      <c r="I91" s="33">
        <v>5.9400000000000001E-2</v>
      </c>
      <c r="J91" s="33">
        <v>1</v>
      </c>
      <c r="K91" s="33">
        <v>23.7</v>
      </c>
      <c r="L91" s="32" t="s">
        <v>53</v>
      </c>
      <c r="M91" s="32" t="s">
        <v>54</v>
      </c>
      <c r="N91" s="33">
        <v>0.13800000000000001</v>
      </c>
      <c r="O91" s="33">
        <v>1.88</v>
      </c>
      <c r="P91" s="33">
        <v>214</v>
      </c>
      <c r="Q91" s="4"/>
      <c r="R91" s="4">
        <v>1</v>
      </c>
      <c r="S91" s="4">
        <v>1</v>
      </c>
      <c r="T91" s="4"/>
      <c r="U91" s="4">
        <f t="shared" si="41"/>
        <v>23.7</v>
      </c>
      <c r="V91" s="4">
        <f t="shared" si="42"/>
        <v>23.7</v>
      </c>
      <c r="W91" s="4">
        <f t="shared" si="43"/>
        <v>23.7</v>
      </c>
      <c r="X91" s="4"/>
      <c r="Y91" s="4"/>
      <c r="Z91" s="4"/>
      <c r="AA91" s="4"/>
      <c r="AB91" s="4"/>
      <c r="AC91" s="4"/>
      <c r="AD91" s="4">
        <v>1</v>
      </c>
      <c r="AE91" s="4"/>
      <c r="AF91" s="4">
        <f t="shared" si="44"/>
        <v>214</v>
      </c>
      <c r="AG91" s="4">
        <f t="shared" si="45"/>
        <v>214</v>
      </c>
      <c r="AH91" s="4">
        <f t="shared" si="46"/>
        <v>214</v>
      </c>
      <c r="AI91" s="4"/>
      <c r="AJ91" s="4"/>
      <c r="AK91" s="4"/>
      <c r="AL91" s="4"/>
      <c r="AM91" s="4"/>
      <c r="AN91" s="4"/>
      <c r="AO91" s="4"/>
      <c r="AP91" s="2">
        <v>74</v>
      </c>
    </row>
    <row r="92" spans="1:42" ht="15.6" customHeight="1" thickBot="1" x14ac:dyDescent="0.35">
      <c r="A92" s="31">
        <v>45007</v>
      </c>
      <c r="B92" s="32" t="s">
        <v>176</v>
      </c>
      <c r="C92" s="32" t="s">
        <v>154</v>
      </c>
      <c r="D92" s="33">
        <v>32</v>
      </c>
      <c r="E92" s="33">
        <v>1</v>
      </c>
      <c r="F92" s="33">
        <v>1</v>
      </c>
      <c r="G92" s="32" t="s">
        <v>51</v>
      </c>
      <c r="H92" s="32" t="s">
        <v>52</v>
      </c>
      <c r="I92" s="33">
        <v>5.8099999999999999E-2</v>
      </c>
      <c r="J92" s="33">
        <v>0.99299999999999999</v>
      </c>
      <c r="K92" s="33">
        <v>23.4</v>
      </c>
      <c r="L92" s="32" t="s">
        <v>53</v>
      </c>
      <c r="M92" s="32" t="s">
        <v>54</v>
      </c>
      <c r="N92" s="33">
        <v>0.13800000000000001</v>
      </c>
      <c r="O92" s="33">
        <v>1.9</v>
      </c>
      <c r="P92" s="33">
        <v>217</v>
      </c>
      <c r="Q92" s="4"/>
      <c r="R92" s="4">
        <v>1</v>
      </c>
      <c r="S92" s="4">
        <v>1</v>
      </c>
      <c r="T92" s="4"/>
      <c r="U92" s="4">
        <f t="shared" si="41"/>
        <v>23.4</v>
      </c>
      <c r="V92" s="4">
        <f t="shared" si="42"/>
        <v>23.4</v>
      </c>
      <c r="W92" s="4">
        <f t="shared" si="43"/>
        <v>23.4</v>
      </c>
      <c r="X92" s="4"/>
      <c r="Y92" s="4"/>
      <c r="Z92" s="4"/>
      <c r="AA92" s="4"/>
      <c r="AB92" s="4"/>
      <c r="AC92" s="4"/>
      <c r="AD92" s="4">
        <v>1</v>
      </c>
      <c r="AE92" s="4"/>
      <c r="AF92" s="4">
        <f t="shared" si="44"/>
        <v>217</v>
      </c>
      <c r="AG92" s="4">
        <f t="shared" si="45"/>
        <v>217</v>
      </c>
      <c r="AH92" s="4">
        <f t="shared" si="46"/>
        <v>217</v>
      </c>
      <c r="AI92" s="4"/>
      <c r="AJ92" s="4"/>
      <c r="AK92" s="4"/>
      <c r="AL92" s="4"/>
      <c r="AM92" s="4"/>
      <c r="AN92" s="4"/>
      <c r="AO92" s="4"/>
      <c r="AP92" s="2">
        <v>75</v>
      </c>
    </row>
    <row r="93" spans="1:42" ht="15.6" customHeight="1" thickBot="1" x14ac:dyDescent="0.35">
      <c r="A93" s="31">
        <v>45007</v>
      </c>
      <c r="B93" s="32" t="s">
        <v>176</v>
      </c>
      <c r="C93" s="32" t="s">
        <v>155</v>
      </c>
      <c r="D93" s="33">
        <v>33</v>
      </c>
      <c r="E93" s="33">
        <v>1</v>
      </c>
      <c r="F93" s="33">
        <v>1</v>
      </c>
      <c r="G93" s="32" t="s">
        <v>51</v>
      </c>
      <c r="H93" s="32" t="s">
        <v>52</v>
      </c>
      <c r="I93" s="33">
        <v>5.7700000000000001E-2</v>
      </c>
      <c r="J93" s="33">
        <v>0.99</v>
      </c>
      <c r="K93" s="33">
        <v>23.3</v>
      </c>
      <c r="L93" s="32" t="s">
        <v>53</v>
      </c>
      <c r="M93" s="32" t="s">
        <v>54</v>
      </c>
      <c r="N93" s="33">
        <v>0.13100000000000001</v>
      </c>
      <c r="O93" s="33">
        <v>1.92</v>
      </c>
      <c r="P93" s="33">
        <v>220</v>
      </c>
      <c r="Q93" s="4"/>
      <c r="R93" s="4">
        <v>1</v>
      </c>
      <c r="S93" s="4">
        <v>1</v>
      </c>
      <c r="T93" s="4"/>
      <c r="U93" s="4">
        <f t="shared" si="41"/>
        <v>23.3</v>
      </c>
      <c r="V93" s="4">
        <f t="shared" si="42"/>
        <v>23.3</v>
      </c>
      <c r="W93" s="4">
        <f t="shared" si="43"/>
        <v>23.3</v>
      </c>
      <c r="X93" s="4"/>
      <c r="Y93" s="4"/>
      <c r="Z93" s="4"/>
      <c r="AA93" s="4"/>
      <c r="AB93" s="4"/>
      <c r="AC93" s="4"/>
      <c r="AD93" s="4">
        <v>1</v>
      </c>
      <c r="AE93" s="4"/>
      <c r="AF93" s="4">
        <f t="shared" si="44"/>
        <v>220</v>
      </c>
      <c r="AG93" s="4">
        <f t="shared" si="45"/>
        <v>220</v>
      </c>
      <c r="AH93" s="4">
        <f t="shared" si="46"/>
        <v>220</v>
      </c>
      <c r="AI93" s="4"/>
      <c r="AJ93" s="4"/>
      <c r="AK93" s="4"/>
      <c r="AL93" s="4"/>
      <c r="AM93" s="4"/>
      <c r="AN93" s="4"/>
      <c r="AO93" s="4"/>
      <c r="AP93" s="2">
        <v>76</v>
      </c>
    </row>
    <row r="94" spans="1:42" ht="15.6" customHeight="1" thickBot="1" x14ac:dyDescent="0.35">
      <c r="A94" s="31">
        <v>45007</v>
      </c>
      <c r="B94" s="32" t="s">
        <v>176</v>
      </c>
      <c r="C94" s="32" t="s">
        <v>156</v>
      </c>
      <c r="D94" s="33">
        <v>34</v>
      </c>
      <c r="E94" s="33">
        <v>1</v>
      </c>
      <c r="F94" s="33">
        <v>1</v>
      </c>
      <c r="G94" s="32" t="s">
        <v>51</v>
      </c>
      <c r="H94" s="32" t="s">
        <v>52</v>
      </c>
      <c r="I94" s="33">
        <v>5.9499999999999997E-2</v>
      </c>
      <c r="J94" s="33">
        <v>1.02</v>
      </c>
      <c r="K94" s="33">
        <v>24.2</v>
      </c>
      <c r="L94" s="32" t="s">
        <v>53</v>
      </c>
      <c r="M94" s="32" t="s">
        <v>54</v>
      </c>
      <c r="N94" s="33">
        <v>0.13500000000000001</v>
      </c>
      <c r="O94" s="33">
        <v>1.88</v>
      </c>
      <c r="P94" s="33">
        <v>214</v>
      </c>
      <c r="Q94" s="4"/>
      <c r="R94" s="4">
        <v>1</v>
      </c>
      <c r="S94" s="4">
        <v>1</v>
      </c>
      <c r="T94" s="4"/>
      <c r="U94" s="4">
        <f t="shared" si="41"/>
        <v>24.2</v>
      </c>
      <c r="V94" s="4">
        <f t="shared" si="42"/>
        <v>24.2</v>
      </c>
      <c r="W94" s="4">
        <f t="shared" si="43"/>
        <v>24.2</v>
      </c>
      <c r="X94" s="4"/>
      <c r="Y94" s="4"/>
      <c r="Z94" s="4"/>
      <c r="AA94" s="4"/>
      <c r="AB94" s="4"/>
      <c r="AC94" s="4"/>
      <c r="AD94" s="4">
        <v>1</v>
      </c>
      <c r="AE94" s="4"/>
      <c r="AF94" s="4">
        <f t="shared" si="44"/>
        <v>214</v>
      </c>
      <c r="AG94" s="4">
        <f t="shared" si="45"/>
        <v>214</v>
      </c>
      <c r="AH94" s="4">
        <f t="shared" si="46"/>
        <v>214</v>
      </c>
      <c r="AI94" s="4"/>
      <c r="AJ94" s="4"/>
      <c r="AK94" s="4"/>
      <c r="AL94" s="4"/>
      <c r="AM94" s="4"/>
      <c r="AN94" s="4"/>
      <c r="AO94" s="4"/>
      <c r="AP94" s="2">
        <v>77</v>
      </c>
    </row>
    <row r="95" spans="1:42" ht="15.6" customHeight="1" x14ac:dyDescent="0.3">
      <c r="A95" s="1">
        <v>45330</v>
      </c>
      <c r="B95" t="s">
        <v>182</v>
      </c>
      <c r="C95" t="s">
        <v>177</v>
      </c>
      <c r="D95">
        <v>30</v>
      </c>
      <c r="E95">
        <v>1</v>
      </c>
      <c r="F95">
        <v>1</v>
      </c>
      <c r="G95" t="s">
        <v>51</v>
      </c>
      <c r="H95" t="s">
        <v>52</v>
      </c>
      <c r="I95">
        <v>0.13200000000000001</v>
      </c>
      <c r="J95">
        <v>2.2999999999999998</v>
      </c>
      <c r="K95">
        <v>21.6</v>
      </c>
      <c r="L95" t="s">
        <v>53</v>
      </c>
      <c r="M95" t="s">
        <v>54</v>
      </c>
      <c r="N95">
        <v>0.253</v>
      </c>
      <c r="O95">
        <v>4.05</v>
      </c>
      <c r="P95">
        <v>257</v>
      </c>
      <c r="Q95" s="4"/>
      <c r="R95" s="4">
        <v>1</v>
      </c>
      <c r="S95" s="4">
        <v>1</v>
      </c>
      <c r="T95" s="4"/>
      <c r="U95" s="4">
        <f t="shared" si="41"/>
        <v>21.6</v>
      </c>
      <c r="V95" s="4">
        <f t="shared" si="42"/>
        <v>21.6</v>
      </c>
      <c r="W95" s="4">
        <f t="shared" si="43"/>
        <v>21.6</v>
      </c>
      <c r="X95" s="4"/>
      <c r="Y95" s="4"/>
      <c r="Z95" s="4"/>
      <c r="AA95" s="4"/>
      <c r="AB95" s="4"/>
      <c r="AC95" s="4"/>
      <c r="AD95" s="4">
        <v>1</v>
      </c>
      <c r="AE95" s="4"/>
      <c r="AF95" s="4">
        <f t="shared" si="44"/>
        <v>257</v>
      </c>
      <c r="AG95" s="4">
        <f t="shared" si="45"/>
        <v>257</v>
      </c>
      <c r="AH95" s="4">
        <f t="shared" si="46"/>
        <v>257</v>
      </c>
      <c r="AI95" s="4"/>
      <c r="AJ95" s="4"/>
      <c r="AK95" s="4"/>
      <c r="AL95" s="4"/>
      <c r="AM95" s="4"/>
      <c r="AN95" s="4"/>
      <c r="AO95" s="4"/>
      <c r="AP95" s="2">
        <v>78</v>
      </c>
    </row>
    <row r="96" spans="1:42" ht="15.6" customHeight="1" x14ac:dyDescent="0.3">
      <c r="A96" s="1">
        <v>45330</v>
      </c>
      <c r="B96" t="s">
        <v>182</v>
      </c>
      <c r="C96" t="s">
        <v>178</v>
      </c>
      <c r="D96">
        <v>31</v>
      </c>
      <c r="E96">
        <v>1</v>
      </c>
      <c r="F96">
        <v>1</v>
      </c>
      <c r="G96" t="s">
        <v>51</v>
      </c>
      <c r="H96" t="s">
        <v>52</v>
      </c>
      <c r="I96">
        <v>0.13300000000000001</v>
      </c>
      <c r="J96">
        <v>2.3199999999999998</v>
      </c>
      <c r="K96">
        <v>22.2</v>
      </c>
      <c r="L96" t="s">
        <v>53</v>
      </c>
      <c r="M96" t="s">
        <v>54</v>
      </c>
      <c r="N96">
        <v>0.20300000000000001</v>
      </c>
      <c r="O96">
        <v>3.31</v>
      </c>
      <c r="P96">
        <v>196</v>
      </c>
      <c r="Q96" s="4"/>
      <c r="R96" s="4">
        <v>1</v>
      </c>
      <c r="S96" s="4">
        <v>1</v>
      </c>
      <c r="T96" s="4"/>
      <c r="U96" s="4">
        <f t="shared" si="41"/>
        <v>22.2</v>
      </c>
      <c r="V96" s="4">
        <f t="shared" si="42"/>
        <v>22.2</v>
      </c>
      <c r="W96" s="4">
        <f t="shared" si="43"/>
        <v>22.2</v>
      </c>
      <c r="X96" s="4"/>
      <c r="Y96" s="4"/>
      <c r="Z96" s="4"/>
      <c r="AA96" s="4"/>
      <c r="AB96" s="4"/>
      <c r="AC96" s="4"/>
      <c r="AD96" s="4">
        <v>1</v>
      </c>
      <c r="AE96" s="4"/>
      <c r="AF96" s="4">
        <f t="shared" si="44"/>
        <v>196</v>
      </c>
      <c r="AG96" s="4">
        <f t="shared" si="45"/>
        <v>196</v>
      </c>
      <c r="AH96" s="4">
        <f t="shared" si="46"/>
        <v>196</v>
      </c>
      <c r="AI96" s="4"/>
      <c r="AJ96" s="4"/>
      <c r="AK96" s="4"/>
      <c r="AL96" s="4"/>
      <c r="AM96" s="4"/>
      <c r="AN96" s="4"/>
      <c r="AO96" s="4"/>
      <c r="AP96" s="2">
        <v>79</v>
      </c>
    </row>
    <row r="97" spans="1:42" ht="15.6" customHeight="1" x14ac:dyDescent="0.3">
      <c r="A97" s="1">
        <v>45330</v>
      </c>
      <c r="B97" t="s">
        <v>182</v>
      </c>
      <c r="C97" t="s">
        <v>179</v>
      </c>
      <c r="D97">
        <v>32</v>
      </c>
      <c r="E97">
        <v>1</v>
      </c>
      <c r="F97">
        <v>1</v>
      </c>
      <c r="G97" t="s">
        <v>51</v>
      </c>
      <c r="H97" t="s">
        <v>52</v>
      </c>
      <c r="I97">
        <v>0.13</v>
      </c>
      <c r="J97">
        <v>2.21</v>
      </c>
      <c r="K97">
        <v>19.100000000000001</v>
      </c>
      <c r="L97" t="s">
        <v>53</v>
      </c>
      <c r="M97" t="s">
        <v>54</v>
      </c>
      <c r="N97">
        <v>0.20300000000000001</v>
      </c>
      <c r="O97">
        <v>3.27</v>
      </c>
      <c r="P97">
        <v>192</v>
      </c>
      <c r="Q97" s="4"/>
      <c r="R97" s="4">
        <v>1</v>
      </c>
      <c r="S97" s="4">
        <v>1</v>
      </c>
      <c r="T97" s="4"/>
      <c r="U97" s="4">
        <f t="shared" si="41"/>
        <v>19.100000000000001</v>
      </c>
      <c r="V97" s="4">
        <f t="shared" si="42"/>
        <v>19.100000000000001</v>
      </c>
      <c r="W97" s="4">
        <f t="shared" si="43"/>
        <v>19.100000000000001</v>
      </c>
      <c r="X97" s="4"/>
      <c r="Y97" s="4"/>
      <c r="Z97" s="4"/>
      <c r="AA97" s="4"/>
      <c r="AB97" s="4"/>
      <c r="AC97" s="4"/>
      <c r="AD97" s="4">
        <v>1</v>
      </c>
      <c r="AE97" s="4"/>
      <c r="AF97" s="4">
        <f t="shared" si="44"/>
        <v>192</v>
      </c>
      <c r="AG97" s="4">
        <f t="shared" si="45"/>
        <v>192</v>
      </c>
      <c r="AH97" s="4">
        <f t="shared" si="46"/>
        <v>192</v>
      </c>
      <c r="AI97" s="4"/>
      <c r="AJ97" s="4"/>
      <c r="AK97" s="4"/>
      <c r="AL97" s="4"/>
      <c r="AM97" s="4"/>
      <c r="AN97" s="4"/>
      <c r="AO97" s="4"/>
      <c r="AP97" s="2">
        <v>80</v>
      </c>
    </row>
    <row r="98" spans="1:42" ht="15.6" customHeight="1" x14ac:dyDescent="0.3">
      <c r="A98" s="1">
        <v>45330</v>
      </c>
      <c r="B98" t="s">
        <v>182</v>
      </c>
      <c r="C98" t="s">
        <v>180</v>
      </c>
      <c r="D98">
        <v>33</v>
      </c>
      <c r="E98">
        <v>1</v>
      </c>
      <c r="F98">
        <v>1</v>
      </c>
      <c r="G98" t="s">
        <v>51</v>
      </c>
      <c r="H98" t="s">
        <v>52</v>
      </c>
      <c r="I98">
        <v>0.13200000000000001</v>
      </c>
      <c r="J98">
        <v>2.3199999999999998</v>
      </c>
      <c r="K98">
        <v>22.2</v>
      </c>
      <c r="L98" t="s">
        <v>53</v>
      </c>
      <c r="M98" t="s">
        <v>54</v>
      </c>
      <c r="N98">
        <v>0.23699999999999999</v>
      </c>
      <c r="O98">
        <v>3.78</v>
      </c>
      <c r="P98">
        <v>235</v>
      </c>
      <c r="Q98" s="4"/>
      <c r="R98" s="4">
        <v>1</v>
      </c>
      <c r="S98" s="4">
        <v>1</v>
      </c>
      <c r="T98" s="4"/>
      <c r="U98" s="4">
        <f t="shared" si="41"/>
        <v>22.2</v>
      </c>
      <c r="V98" s="4">
        <f t="shared" si="42"/>
        <v>22.2</v>
      </c>
      <c r="W98" s="4">
        <f t="shared" si="43"/>
        <v>22.2</v>
      </c>
      <c r="X98" s="4"/>
      <c r="Y98" s="4"/>
      <c r="Z98" s="4"/>
      <c r="AA98" s="4"/>
      <c r="AB98" s="4"/>
      <c r="AC98" s="4"/>
      <c r="AD98" s="4">
        <v>1</v>
      </c>
      <c r="AE98" s="4"/>
      <c r="AF98" s="4">
        <f t="shared" si="44"/>
        <v>235</v>
      </c>
      <c r="AG98" s="4">
        <f t="shared" si="45"/>
        <v>235</v>
      </c>
      <c r="AH98" s="4">
        <f t="shared" si="46"/>
        <v>235</v>
      </c>
      <c r="AI98" s="4"/>
      <c r="AJ98" s="4"/>
      <c r="AK98" s="4"/>
      <c r="AL98" s="4"/>
      <c r="AM98" s="4"/>
      <c r="AN98" s="4"/>
      <c r="AO98" s="4"/>
      <c r="AP98" s="2">
        <v>81</v>
      </c>
    </row>
    <row r="99" spans="1:42" ht="15.6" customHeight="1" x14ac:dyDescent="0.3">
      <c r="A99" s="1">
        <v>45330</v>
      </c>
      <c r="B99" t="s">
        <v>182</v>
      </c>
      <c r="C99" t="s">
        <v>181</v>
      </c>
      <c r="D99">
        <v>34</v>
      </c>
      <c r="E99">
        <v>1</v>
      </c>
      <c r="F99">
        <v>1</v>
      </c>
      <c r="G99" t="s">
        <v>51</v>
      </c>
      <c r="H99" t="s">
        <v>52</v>
      </c>
      <c r="I99">
        <v>0.13200000000000001</v>
      </c>
      <c r="J99">
        <v>2.29</v>
      </c>
      <c r="K99">
        <v>21.4</v>
      </c>
      <c r="L99" t="s">
        <v>53</v>
      </c>
      <c r="M99" t="s">
        <v>54</v>
      </c>
      <c r="N99">
        <v>0.192</v>
      </c>
      <c r="O99">
        <v>3.11</v>
      </c>
      <c r="P99">
        <v>179</v>
      </c>
      <c r="Q99" s="4"/>
      <c r="R99" s="4">
        <v>1</v>
      </c>
      <c r="S99" s="4">
        <v>1</v>
      </c>
      <c r="T99" s="4"/>
      <c r="U99" s="4">
        <f t="shared" si="41"/>
        <v>21.4</v>
      </c>
      <c r="V99" s="4">
        <f t="shared" si="42"/>
        <v>21.4</v>
      </c>
      <c r="W99" s="4">
        <f t="shared" si="43"/>
        <v>21.4</v>
      </c>
      <c r="X99" s="4"/>
      <c r="Y99" s="4"/>
      <c r="Z99" s="4"/>
      <c r="AA99" s="4"/>
      <c r="AB99" s="4"/>
      <c r="AC99" s="4"/>
      <c r="AD99" s="4">
        <v>1</v>
      </c>
      <c r="AE99" s="4"/>
      <c r="AF99" s="4">
        <f t="shared" si="44"/>
        <v>179</v>
      </c>
      <c r="AG99" s="4">
        <f t="shared" si="45"/>
        <v>179</v>
      </c>
      <c r="AH99" s="4">
        <f t="shared" si="46"/>
        <v>179</v>
      </c>
      <c r="AI99" s="4"/>
      <c r="AJ99" s="4"/>
      <c r="AK99" s="4"/>
      <c r="AL99" s="4"/>
      <c r="AM99" s="4"/>
      <c r="AN99" s="4"/>
      <c r="AO99" s="4"/>
      <c r="AP99" s="2">
        <v>82</v>
      </c>
    </row>
    <row r="100" spans="1:42" ht="15.6" customHeight="1" x14ac:dyDescent="0.3">
      <c r="A100" s="1">
        <v>45337</v>
      </c>
      <c r="B100" t="s">
        <v>151</v>
      </c>
      <c r="C100" t="s">
        <v>152</v>
      </c>
      <c r="D100">
        <v>30</v>
      </c>
      <c r="E100">
        <v>1</v>
      </c>
      <c r="F100">
        <v>1</v>
      </c>
      <c r="G100" t="s">
        <v>51</v>
      </c>
      <c r="H100" t="s">
        <v>52</v>
      </c>
      <c r="I100">
        <v>0.13200000000000001</v>
      </c>
      <c r="J100">
        <v>2.2999999999999998</v>
      </c>
      <c r="K100">
        <v>20.9</v>
      </c>
      <c r="L100" t="s">
        <v>53</v>
      </c>
      <c r="M100" t="s">
        <v>54</v>
      </c>
      <c r="N100">
        <v>0.17399999999999999</v>
      </c>
      <c r="O100">
        <v>2.7</v>
      </c>
      <c r="P100">
        <v>145</v>
      </c>
      <c r="Q100" s="4"/>
      <c r="R100" s="4">
        <v>1</v>
      </c>
      <c r="S100" s="4">
        <v>1</v>
      </c>
      <c r="T100" s="4"/>
      <c r="U100" s="4">
        <f t="shared" si="41"/>
        <v>20.9</v>
      </c>
      <c r="V100" s="4">
        <f t="shared" si="42"/>
        <v>20.9</v>
      </c>
      <c r="W100" s="4">
        <f t="shared" si="43"/>
        <v>20.9</v>
      </c>
      <c r="X100" s="4"/>
      <c r="Y100" s="4"/>
      <c r="Z100" s="4"/>
      <c r="AA100" s="4"/>
      <c r="AB100" s="4"/>
      <c r="AC100" s="4"/>
      <c r="AD100" s="4">
        <v>1</v>
      </c>
      <c r="AE100" s="4"/>
      <c r="AF100" s="4">
        <f t="shared" si="44"/>
        <v>145</v>
      </c>
      <c r="AG100" s="4">
        <f t="shared" si="45"/>
        <v>145</v>
      </c>
      <c r="AH100" s="4">
        <f t="shared" si="46"/>
        <v>145</v>
      </c>
      <c r="AI100" s="4"/>
      <c r="AJ100" s="4"/>
      <c r="AK100" s="4"/>
      <c r="AL100" s="4"/>
      <c r="AM100" s="4"/>
      <c r="AN100" s="4"/>
      <c r="AO100" s="4"/>
      <c r="AP100" s="2">
        <v>83</v>
      </c>
    </row>
    <row r="101" spans="1:42" ht="15.6" customHeight="1" x14ac:dyDescent="0.3">
      <c r="A101" s="1">
        <v>45337</v>
      </c>
      <c r="B101" t="s">
        <v>151</v>
      </c>
      <c r="C101" t="s">
        <v>153</v>
      </c>
      <c r="D101">
        <v>31</v>
      </c>
      <c r="E101">
        <v>1</v>
      </c>
      <c r="F101">
        <v>1</v>
      </c>
      <c r="G101" t="s">
        <v>51</v>
      </c>
      <c r="H101" t="s">
        <v>52</v>
      </c>
      <c r="I101">
        <v>0.13500000000000001</v>
      </c>
      <c r="J101">
        <v>2.3199999999999998</v>
      </c>
      <c r="K101">
        <v>21.7</v>
      </c>
      <c r="L101" t="s">
        <v>53</v>
      </c>
      <c r="M101" t="s">
        <v>54</v>
      </c>
      <c r="N101">
        <v>0.20200000000000001</v>
      </c>
      <c r="O101">
        <v>3.35</v>
      </c>
      <c r="P101">
        <v>197</v>
      </c>
      <c r="Q101" s="4"/>
      <c r="R101" s="4">
        <v>1</v>
      </c>
      <c r="S101" s="4">
        <v>1</v>
      </c>
      <c r="T101" s="4"/>
      <c r="U101" s="4">
        <f t="shared" si="41"/>
        <v>21.7</v>
      </c>
      <c r="V101" s="4">
        <f t="shared" si="42"/>
        <v>21.7</v>
      </c>
      <c r="W101" s="4">
        <f t="shared" si="43"/>
        <v>21.7</v>
      </c>
      <c r="X101" s="4"/>
      <c r="Y101" s="4"/>
      <c r="Z101" s="4"/>
      <c r="AA101" s="4"/>
      <c r="AB101" s="4"/>
      <c r="AC101" s="4"/>
      <c r="AD101" s="4">
        <v>1</v>
      </c>
      <c r="AE101" s="4"/>
      <c r="AF101" s="4">
        <f t="shared" si="44"/>
        <v>197</v>
      </c>
      <c r="AG101" s="4">
        <f t="shared" si="45"/>
        <v>197</v>
      </c>
      <c r="AH101" s="4">
        <f t="shared" si="46"/>
        <v>197</v>
      </c>
      <c r="AI101" s="4"/>
      <c r="AJ101" s="4"/>
      <c r="AK101" s="4"/>
      <c r="AL101" s="4"/>
      <c r="AM101" s="4"/>
      <c r="AN101" s="4"/>
      <c r="AO101" s="4"/>
      <c r="AP101" s="2">
        <v>84</v>
      </c>
    </row>
    <row r="102" spans="1:42" ht="15.6" customHeight="1" x14ac:dyDescent="0.3">
      <c r="A102" s="1">
        <v>45337</v>
      </c>
      <c r="B102" t="s">
        <v>151</v>
      </c>
      <c r="C102" t="s">
        <v>154</v>
      </c>
      <c r="D102">
        <v>32</v>
      </c>
      <c r="E102">
        <v>1</v>
      </c>
      <c r="F102">
        <v>1</v>
      </c>
      <c r="G102" t="s">
        <v>51</v>
      </c>
      <c r="H102" t="s">
        <v>52</v>
      </c>
      <c r="I102">
        <v>0.13400000000000001</v>
      </c>
      <c r="J102">
        <v>2.36</v>
      </c>
      <c r="K102">
        <v>22.7</v>
      </c>
      <c r="L102" t="s">
        <v>53</v>
      </c>
      <c r="M102" t="s">
        <v>54</v>
      </c>
      <c r="N102">
        <v>0.22500000000000001</v>
      </c>
      <c r="O102">
        <v>3.59</v>
      </c>
      <c r="P102">
        <v>216</v>
      </c>
      <c r="Q102" s="4"/>
      <c r="R102" s="4">
        <v>1</v>
      </c>
      <c r="S102" s="4">
        <v>1</v>
      </c>
      <c r="T102" s="4"/>
      <c r="U102" s="4">
        <f t="shared" si="41"/>
        <v>22.7</v>
      </c>
      <c r="V102" s="4">
        <f t="shared" si="42"/>
        <v>22.7</v>
      </c>
      <c r="W102" s="4">
        <f t="shared" si="43"/>
        <v>22.7</v>
      </c>
      <c r="X102" s="4"/>
      <c r="Y102" s="4"/>
      <c r="Z102" s="4"/>
      <c r="AA102" s="4"/>
      <c r="AB102" s="4"/>
      <c r="AC102" s="4"/>
      <c r="AD102" s="4">
        <v>1</v>
      </c>
      <c r="AE102" s="4"/>
      <c r="AF102" s="4">
        <f t="shared" si="44"/>
        <v>216</v>
      </c>
      <c r="AG102" s="4">
        <f t="shared" si="45"/>
        <v>216</v>
      </c>
      <c r="AH102" s="4">
        <f t="shared" si="46"/>
        <v>216</v>
      </c>
      <c r="AI102" s="4"/>
      <c r="AJ102" s="4"/>
      <c r="AK102" s="4"/>
      <c r="AL102" s="4"/>
      <c r="AM102" s="4"/>
      <c r="AN102" s="4"/>
      <c r="AO102" s="4"/>
      <c r="AP102" s="2">
        <v>85</v>
      </c>
    </row>
    <row r="103" spans="1:42" ht="15.6" customHeight="1" x14ac:dyDescent="0.3">
      <c r="A103" s="1">
        <v>45337</v>
      </c>
      <c r="B103" t="s">
        <v>151</v>
      </c>
      <c r="C103" t="s">
        <v>155</v>
      </c>
      <c r="D103">
        <v>33</v>
      </c>
      <c r="E103">
        <v>1</v>
      </c>
      <c r="F103">
        <v>1</v>
      </c>
      <c r="G103" t="s">
        <v>51</v>
      </c>
      <c r="H103" t="s">
        <v>52</v>
      </c>
      <c r="I103">
        <v>0.13200000000000001</v>
      </c>
      <c r="J103">
        <v>2.29</v>
      </c>
      <c r="K103">
        <v>20.8</v>
      </c>
      <c r="L103" t="s">
        <v>53</v>
      </c>
      <c r="M103" t="s">
        <v>54</v>
      </c>
      <c r="N103">
        <v>0.22800000000000001</v>
      </c>
      <c r="O103">
        <v>3.61</v>
      </c>
      <c r="P103">
        <v>218</v>
      </c>
      <c r="Q103" s="4"/>
      <c r="R103" s="4">
        <v>1</v>
      </c>
      <c r="S103" s="4">
        <v>1</v>
      </c>
      <c r="T103" s="4"/>
      <c r="U103" s="4">
        <f t="shared" si="41"/>
        <v>20.8</v>
      </c>
      <c r="V103" s="4">
        <f t="shared" si="42"/>
        <v>20.8</v>
      </c>
      <c r="W103" s="4">
        <f t="shared" si="43"/>
        <v>20.8</v>
      </c>
      <c r="X103" s="4"/>
      <c r="Y103" s="4"/>
      <c r="Z103" s="4"/>
      <c r="AA103" s="4"/>
      <c r="AB103" s="4"/>
      <c r="AC103" s="4"/>
      <c r="AD103" s="4">
        <v>1</v>
      </c>
      <c r="AE103" s="4"/>
      <c r="AF103" s="4">
        <f t="shared" si="44"/>
        <v>218</v>
      </c>
      <c r="AG103" s="4">
        <f t="shared" si="45"/>
        <v>218</v>
      </c>
      <c r="AH103" s="4">
        <f t="shared" si="46"/>
        <v>218</v>
      </c>
      <c r="AI103" s="4"/>
      <c r="AJ103" s="4"/>
      <c r="AK103" s="4"/>
      <c r="AL103" s="4"/>
      <c r="AM103" s="4"/>
      <c r="AN103" s="4"/>
      <c r="AO103" s="4"/>
      <c r="AP103" s="2">
        <v>86</v>
      </c>
    </row>
    <row r="104" spans="1:42" ht="15.6" customHeight="1" x14ac:dyDescent="0.3">
      <c r="A104" s="1">
        <v>45337</v>
      </c>
      <c r="B104" t="s">
        <v>151</v>
      </c>
      <c r="C104" t="s">
        <v>156</v>
      </c>
      <c r="D104">
        <v>34</v>
      </c>
      <c r="E104">
        <v>1</v>
      </c>
      <c r="F104">
        <v>1</v>
      </c>
      <c r="G104" t="s">
        <v>51</v>
      </c>
      <c r="H104" t="s">
        <v>52</v>
      </c>
      <c r="I104">
        <v>0.13400000000000001</v>
      </c>
      <c r="J104">
        <v>2.33</v>
      </c>
      <c r="K104">
        <v>21.7</v>
      </c>
      <c r="L104" t="s">
        <v>53</v>
      </c>
      <c r="M104" t="s">
        <v>54</v>
      </c>
      <c r="N104">
        <v>0.219</v>
      </c>
      <c r="O104">
        <v>3.58</v>
      </c>
      <c r="P104">
        <v>215</v>
      </c>
      <c r="Q104" s="4"/>
      <c r="R104" s="4">
        <v>1</v>
      </c>
      <c r="S104" s="4">
        <v>1</v>
      </c>
      <c r="T104" s="4"/>
      <c r="U104" s="4">
        <f t="shared" si="41"/>
        <v>21.7</v>
      </c>
      <c r="V104" s="4">
        <f t="shared" si="42"/>
        <v>21.7</v>
      </c>
      <c r="W104" s="4">
        <f t="shared" si="43"/>
        <v>21.7</v>
      </c>
      <c r="X104" s="4"/>
      <c r="Y104" s="4"/>
      <c r="Z104" s="4"/>
      <c r="AA104" s="4"/>
      <c r="AB104" s="4"/>
      <c r="AC104" s="4"/>
      <c r="AD104" s="4">
        <v>1</v>
      </c>
      <c r="AE104" s="4"/>
      <c r="AF104" s="4">
        <f t="shared" si="44"/>
        <v>215</v>
      </c>
      <c r="AG104" s="4">
        <f t="shared" si="45"/>
        <v>215</v>
      </c>
      <c r="AH104" s="4">
        <f t="shared" si="46"/>
        <v>215</v>
      </c>
      <c r="AI104" s="4"/>
      <c r="AJ104" s="4"/>
      <c r="AK104" s="4"/>
      <c r="AL104" s="4"/>
      <c r="AM104" s="4"/>
      <c r="AN104" s="4"/>
      <c r="AO104" s="4"/>
      <c r="AP104" s="2">
        <v>87</v>
      </c>
    </row>
    <row r="105" spans="1:42" ht="15.6" customHeight="1" x14ac:dyDescent="0.3">
      <c r="A105" s="1">
        <v>45351</v>
      </c>
      <c r="B105" t="s">
        <v>162</v>
      </c>
      <c r="C105" t="s">
        <v>152</v>
      </c>
      <c r="D105">
        <v>30</v>
      </c>
      <c r="E105">
        <v>1</v>
      </c>
      <c r="F105">
        <v>1</v>
      </c>
      <c r="G105" t="s">
        <v>51</v>
      </c>
      <c r="H105" t="s">
        <v>52</v>
      </c>
      <c r="I105">
        <v>0.10100000000000001</v>
      </c>
      <c r="J105">
        <v>1.73</v>
      </c>
      <c r="K105">
        <v>19.5</v>
      </c>
      <c r="L105" t="s">
        <v>53</v>
      </c>
      <c r="M105" t="s">
        <v>54</v>
      </c>
      <c r="N105">
        <v>0.218</v>
      </c>
      <c r="O105">
        <v>3.04</v>
      </c>
      <c r="P105">
        <v>191</v>
      </c>
      <c r="Q105" s="4"/>
      <c r="R105" s="4">
        <v>1</v>
      </c>
      <c r="S105" s="4">
        <v>1</v>
      </c>
      <c r="T105" s="4"/>
      <c r="U105" s="4">
        <f t="shared" si="41"/>
        <v>19.5</v>
      </c>
      <c r="V105" s="4">
        <f t="shared" si="42"/>
        <v>19.5</v>
      </c>
      <c r="W105" s="4">
        <f t="shared" si="43"/>
        <v>19.5</v>
      </c>
      <c r="X105" s="4"/>
      <c r="Y105" s="4"/>
      <c r="Z105" s="4"/>
      <c r="AA105" s="4"/>
      <c r="AB105" s="4"/>
      <c r="AC105" s="4"/>
      <c r="AD105" s="4">
        <v>1</v>
      </c>
      <c r="AE105" s="4"/>
      <c r="AF105" s="4">
        <f t="shared" si="44"/>
        <v>191</v>
      </c>
      <c r="AG105" s="4">
        <f t="shared" si="45"/>
        <v>191</v>
      </c>
      <c r="AH105" s="4">
        <f t="shared" si="46"/>
        <v>191</v>
      </c>
      <c r="AI105" s="4"/>
      <c r="AJ105" s="4"/>
      <c r="AK105" s="4"/>
      <c r="AL105" s="4"/>
      <c r="AM105" s="4"/>
      <c r="AN105" s="4"/>
      <c r="AO105" s="4"/>
      <c r="AP105" s="2">
        <v>88</v>
      </c>
    </row>
    <row r="106" spans="1:42" ht="15.6" customHeight="1" x14ac:dyDescent="0.3">
      <c r="A106" s="1">
        <v>45351</v>
      </c>
      <c r="B106" t="s">
        <v>162</v>
      </c>
      <c r="C106" t="s">
        <v>153</v>
      </c>
      <c r="D106">
        <v>31</v>
      </c>
      <c r="E106">
        <v>1</v>
      </c>
      <c r="F106">
        <v>1</v>
      </c>
      <c r="G106" t="s">
        <v>51</v>
      </c>
      <c r="H106" t="s">
        <v>52</v>
      </c>
      <c r="I106">
        <v>0.10100000000000001</v>
      </c>
      <c r="J106">
        <v>1.73</v>
      </c>
      <c r="K106">
        <v>19.5</v>
      </c>
      <c r="L106" t="s">
        <v>53</v>
      </c>
      <c r="M106" t="s">
        <v>54</v>
      </c>
      <c r="N106">
        <v>0.23300000000000001</v>
      </c>
      <c r="O106">
        <v>3.31</v>
      </c>
      <c r="P106">
        <v>214</v>
      </c>
      <c r="Q106" s="4"/>
      <c r="R106" s="4">
        <v>1</v>
      </c>
      <c r="S106" s="4">
        <v>1</v>
      </c>
      <c r="T106" s="4"/>
      <c r="U106" s="4">
        <f t="shared" si="41"/>
        <v>19.5</v>
      </c>
      <c r="V106" s="4">
        <f t="shared" si="42"/>
        <v>19.5</v>
      </c>
      <c r="W106" s="4">
        <f t="shared" si="43"/>
        <v>19.5</v>
      </c>
      <c r="X106" s="4"/>
      <c r="Y106" s="4"/>
      <c r="Z106" s="4"/>
      <c r="AA106" s="4"/>
      <c r="AB106" s="4"/>
      <c r="AC106" s="4"/>
      <c r="AD106" s="4">
        <v>1</v>
      </c>
      <c r="AE106" s="4"/>
      <c r="AF106" s="4">
        <f t="shared" si="44"/>
        <v>214</v>
      </c>
      <c r="AG106" s="4">
        <f t="shared" si="45"/>
        <v>214</v>
      </c>
      <c r="AH106" s="4">
        <f t="shared" si="46"/>
        <v>214</v>
      </c>
      <c r="AI106" s="4"/>
      <c r="AJ106" s="4"/>
      <c r="AK106" s="4"/>
      <c r="AL106" s="4"/>
      <c r="AM106" s="4"/>
      <c r="AN106" s="4"/>
      <c r="AO106" s="4"/>
      <c r="AP106" s="2">
        <v>89</v>
      </c>
    </row>
    <row r="107" spans="1:42" ht="15.6" customHeight="1" x14ac:dyDescent="0.3">
      <c r="A107" s="1">
        <v>45351</v>
      </c>
      <c r="B107" t="s">
        <v>162</v>
      </c>
      <c r="C107" t="s">
        <v>154</v>
      </c>
      <c r="D107">
        <v>32</v>
      </c>
      <c r="E107">
        <v>1</v>
      </c>
      <c r="F107">
        <v>1</v>
      </c>
      <c r="G107" t="s">
        <v>51</v>
      </c>
      <c r="H107" t="s">
        <v>52</v>
      </c>
      <c r="I107">
        <v>0.104</v>
      </c>
      <c r="J107">
        <v>1.85</v>
      </c>
      <c r="K107">
        <v>22.9</v>
      </c>
      <c r="L107" t="s">
        <v>53</v>
      </c>
      <c r="M107" t="s">
        <v>54</v>
      </c>
      <c r="N107">
        <v>0.27900000000000003</v>
      </c>
      <c r="O107">
        <v>3.93</v>
      </c>
      <c r="P107">
        <v>266</v>
      </c>
      <c r="Q107" s="4"/>
      <c r="R107" s="4">
        <v>1</v>
      </c>
      <c r="S107" s="4">
        <v>1</v>
      </c>
      <c r="T107" s="4"/>
      <c r="U107" s="4">
        <f t="shared" si="41"/>
        <v>22.9</v>
      </c>
      <c r="V107" s="4">
        <f t="shared" si="42"/>
        <v>22.9</v>
      </c>
      <c r="W107" s="4">
        <f t="shared" si="43"/>
        <v>22.9</v>
      </c>
      <c r="X107" s="4"/>
      <c r="Y107" s="4"/>
      <c r="Z107" s="4"/>
      <c r="AA107" s="4"/>
      <c r="AB107" s="4"/>
      <c r="AC107" s="4"/>
      <c r="AD107" s="4">
        <v>1</v>
      </c>
      <c r="AE107" s="4"/>
      <c r="AF107" s="4">
        <f t="shared" si="44"/>
        <v>266</v>
      </c>
      <c r="AG107" s="4">
        <f t="shared" si="45"/>
        <v>266</v>
      </c>
      <c r="AH107" s="4">
        <f t="shared" si="46"/>
        <v>266</v>
      </c>
      <c r="AI107" s="4"/>
      <c r="AJ107" s="4"/>
      <c r="AK107" s="4"/>
      <c r="AL107" s="4"/>
      <c r="AM107" s="4"/>
      <c r="AN107" s="4"/>
      <c r="AO107" s="4"/>
      <c r="AP107" s="2">
        <v>90</v>
      </c>
    </row>
    <row r="108" spans="1:42" ht="15.6" customHeight="1" x14ac:dyDescent="0.3">
      <c r="A108" s="1">
        <v>45351</v>
      </c>
      <c r="B108" t="s">
        <v>162</v>
      </c>
      <c r="C108" t="s">
        <v>155</v>
      </c>
      <c r="D108">
        <v>33</v>
      </c>
      <c r="E108">
        <v>1</v>
      </c>
      <c r="F108">
        <v>1</v>
      </c>
      <c r="G108" t="s">
        <v>51</v>
      </c>
      <c r="H108" t="s">
        <v>52</v>
      </c>
      <c r="I108">
        <v>0.10100000000000001</v>
      </c>
      <c r="J108">
        <v>1.77</v>
      </c>
      <c r="K108">
        <v>20.6</v>
      </c>
      <c r="L108" t="s">
        <v>53</v>
      </c>
      <c r="M108" t="s">
        <v>54</v>
      </c>
      <c r="N108">
        <v>0.22800000000000001</v>
      </c>
      <c r="O108">
        <v>3.62</v>
      </c>
      <c r="P108">
        <v>240</v>
      </c>
      <c r="Q108" s="4"/>
      <c r="R108" s="4">
        <v>1</v>
      </c>
      <c r="S108" s="4">
        <v>1</v>
      </c>
      <c r="T108" s="4"/>
      <c r="U108" s="4">
        <f t="shared" si="41"/>
        <v>20.6</v>
      </c>
      <c r="V108" s="4">
        <f t="shared" si="42"/>
        <v>20.6</v>
      </c>
      <c r="W108" s="4">
        <f t="shared" si="43"/>
        <v>20.6</v>
      </c>
      <c r="X108" s="4"/>
      <c r="Y108" s="4"/>
      <c r="Z108" s="4"/>
      <c r="AA108" s="4"/>
      <c r="AB108" s="4"/>
      <c r="AC108" s="4"/>
      <c r="AD108" s="4">
        <v>1</v>
      </c>
      <c r="AE108" s="4"/>
      <c r="AF108" s="4">
        <f t="shared" si="44"/>
        <v>240</v>
      </c>
      <c r="AG108" s="4">
        <f t="shared" si="45"/>
        <v>240</v>
      </c>
      <c r="AH108" s="4">
        <f t="shared" si="46"/>
        <v>240</v>
      </c>
      <c r="AI108" s="4"/>
      <c r="AJ108" s="4"/>
      <c r="AK108" s="4"/>
      <c r="AL108" s="4"/>
      <c r="AM108" s="4"/>
      <c r="AN108" s="4"/>
      <c r="AO108" s="4"/>
      <c r="AP108" s="2">
        <v>91</v>
      </c>
    </row>
    <row r="109" spans="1:42" ht="15.6" customHeight="1" x14ac:dyDescent="0.3">
      <c r="A109" s="1">
        <v>45351</v>
      </c>
      <c r="B109" t="s">
        <v>162</v>
      </c>
      <c r="C109" t="s">
        <v>156</v>
      </c>
      <c r="D109">
        <v>34</v>
      </c>
      <c r="E109">
        <v>1</v>
      </c>
      <c r="F109">
        <v>1</v>
      </c>
      <c r="G109" t="s">
        <v>51</v>
      </c>
      <c r="H109" t="s">
        <v>52</v>
      </c>
      <c r="I109">
        <v>0.10199999999999999</v>
      </c>
      <c r="J109">
        <v>1.8</v>
      </c>
      <c r="K109">
        <v>21.5</v>
      </c>
      <c r="L109" t="s">
        <v>53</v>
      </c>
      <c r="M109" t="s">
        <v>54</v>
      </c>
      <c r="N109">
        <v>0.22600000000000001</v>
      </c>
      <c r="O109">
        <v>3.31</v>
      </c>
      <c r="P109">
        <v>213</v>
      </c>
      <c r="Q109" s="4"/>
      <c r="R109" s="4">
        <v>1</v>
      </c>
      <c r="S109" s="4">
        <v>1</v>
      </c>
      <c r="T109" s="4"/>
      <c r="U109" s="4">
        <f t="shared" si="41"/>
        <v>21.5</v>
      </c>
      <c r="V109" s="4">
        <f t="shared" si="42"/>
        <v>21.5</v>
      </c>
      <c r="W109" s="4">
        <f t="shared" si="43"/>
        <v>21.5</v>
      </c>
      <c r="X109" s="4"/>
      <c r="Y109" s="4"/>
      <c r="Z109" s="4"/>
      <c r="AA109" s="4"/>
      <c r="AB109" s="4"/>
      <c r="AC109" s="4"/>
      <c r="AD109" s="4">
        <v>1</v>
      </c>
      <c r="AE109" s="4"/>
      <c r="AF109" s="4">
        <f t="shared" si="44"/>
        <v>213</v>
      </c>
      <c r="AG109" s="4">
        <f t="shared" si="45"/>
        <v>213</v>
      </c>
      <c r="AH109" s="4">
        <f t="shared" si="46"/>
        <v>213</v>
      </c>
      <c r="AI109" s="4"/>
      <c r="AJ109" s="4"/>
      <c r="AK109" s="4"/>
      <c r="AL109" s="4"/>
      <c r="AM109" s="4"/>
      <c r="AN109" s="4"/>
      <c r="AO109" s="4"/>
      <c r="AP109" s="2">
        <v>92</v>
      </c>
    </row>
    <row r="110" spans="1:42" ht="15.6" customHeight="1" x14ac:dyDescent="0.3">
      <c r="A110" s="1">
        <v>45357</v>
      </c>
      <c r="B110" t="s">
        <v>183</v>
      </c>
      <c r="C110" t="s">
        <v>73</v>
      </c>
      <c r="D110">
        <v>30</v>
      </c>
      <c r="E110">
        <v>1</v>
      </c>
      <c r="F110">
        <v>1</v>
      </c>
      <c r="G110" t="s">
        <v>51</v>
      </c>
      <c r="H110" t="s">
        <v>52</v>
      </c>
      <c r="I110">
        <v>0.13400000000000001</v>
      </c>
      <c r="J110">
        <v>2.2400000000000002</v>
      </c>
      <c r="K110">
        <v>22.5</v>
      </c>
      <c r="L110" t="s">
        <v>53</v>
      </c>
      <c r="M110" t="s">
        <v>54</v>
      </c>
      <c r="N110">
        <v>0.223</v>
      </c>
      <c r="O110">
        <v>3.55</v>
      </c>
      <c r="P110">
        <v>179</v>
      </c>
      <c r="Q110" s="4"/>
      <c r="R110" s="4">
        <v>1</v>
      </c>
      <c r="S110" s="4">
        <v>1</v>
      </c>
      <c r="T110" s="4"/>
      <c r="U110" s="4">
        <f t="shared" ref="U110:U114" si="47">K110*F110</f>
        <v>22.5</v>
      </c>
      <c r="V110" s="4">
        <f t="shared" ref="V110:V114" si="48">IF(R110=1,U110,(U110-0))</f>
        <v>22.5</v>
      </c>
      <c r="W110" s="4">
        <f t="shared" ref="W110:W114" si="49">IF(R110=1,U110,(V110*R110))</f>
        <v>22.5</v>
      </c>
      <c r="X110" s="4"/>
      <c r="Y110" s="4"/>
      <c r="Z110" s="4"/>
      <c r="AA110" s="4"/>
      <c r="AB110" s="4"/>
      <c r="AC110" s="4"/>
      <c r="AD110" s="4">
        <v>1</v>
      </c>
      <c r="AE110" s="4"/>
      <c r="AF110" s="4">
        <f t="shared" ref="AF110:AF114" si="50">P110*F110</f>
        <v>179</v>
      </c>
      <c r="AG110" s="4">
        <f t="shared" ref="AG110:AG114" si="51">IF(R110=1,AF110,(AF110-0))</f>
        <v>179</v>
      </c>
      <c r="AH110" s="4">
        <f t="shared" ref="AH110:AH114" si="52">IF(R110=1,AF110,(AG110*R110))</f>
        <v>179</v>
      </c>
      <c r="AI110" s="4"/>
      <c r="AJ110" s="4"/>
      <c r="AK110" s="4"/>
      <c r="AL110" s="4"/>
      <c r="AM110" s="4"/>
      <c r="AN110" s="4"/>
      <c r="AO110" s="4"/>
      <c r="AP110" s="2">
        <v>93</v>
      </c>
    </row>
    <row r="111" spans="1:42" ht="15.6" customHeight="1" x14ac:dyDescent="0.3">
      <c r="A111" s="1">
        <v>45357</v>
      </c>
      <c r="B111" t="s">
        <v>183</v>
      </c>
      <c r="C111" t="s">
        <v>73</v>
      </c>
      <c r="D111">
        <v>31</v>
      </c>
      <c r="E111">
        <v>1</v>
      </c>
      <c r="F111">
        <v>1</v>
      </c>
      <c r="G111" t="s">
        <v>51</v>
      </c>
      <c r="H111" t="s">
        <v>52</v>
      </c>
      <c r="I111">
        <v>0.126</v>
      </c>
      <c r="J111">
        <v>2.2200000000000002</v>
      </c>
      <c r="K111">
        <v>21.9</v>
      </c>
      <c r="L111" t="s">
        <v>53</v>
      </c>
      <c r="M111" t="s">
        <v>54</v>
      </c>
      <c r="N111">
        <v>0.23200000000000001</v>
      </c>
      <c r="O111">
        <v>3.74</v>
      </c>
      <c r="P111">
        <v>191</v>
      </c>
      <c r="Q111" s="4"/>
      <c r="R111" s="4">
        <v>1</v>
      </c>
      <c r="S111" s="4">
        <v>1</v>
      </c>
      <c r="T111" s="4"/>
      <c r="U111" s="4">
        <f t="shared" si="47"/>
        <v>21.9</v>
      </c>
      <c r="V111" s="4">
        <f t="shared" si="48"/>
        <v>21.9</v>
      </c>
      <c r="W111" s="4">
        <f t="shared" si="49"/>
        <v>21.9</v>
      </c>
      <c r="X111" s="4"/>
      <c r="Y111" s="4"/>
      <c r="Z111" s="4"/>
      <c r="AA111" s="4"/>
      <c r="AB111" s="4"/>
      <c r="AC111" s="4"/>
      <c r="AD111" s="4">
        <v>1</v>
      </c>
      <c r="AE111" s="4"/>
      <c r="AF111" s="4">
        <f t="shared" si="50"/>
        <v>191</v>
      </c>
      <c r="AG111" s="4">
        <f t="shared" si="51"/>
        <v>191</v>
      </c>
      <c r="AH111" s="4">
        <f t="shared" si="52"/>
        <v>191</v>
      </c>
      <c r="AI111" s="4"/>
      <c r="AJ111" s="4"/>
      <c r="AK111" s="4"/>
      <c r="AL111" s="4"/>
      <c r="AM111" s="4"/>
      <c r="AN111" s="4"/>
      <c r="AO111" s="4"/>
      <c r="AP111" s="2">
        <v>94</v>
      </c>
    </row>
    <row r="112" spans="1:42" ht="15.6" customHeight="1" x14ac:dyDescent="0.3">
      <c r="A112" s="1">
        <v>45357</v>
      </c>
      <c r="B112" t="s">
        <v>183</v>
      </c>
      <c r="C112" t="s">
        <v>73</v>
      </c>
      <c r="D112">
        <v>32</v>
      </c>
      <c r="E112">
        <v>1</v>
      </c>
      <c r="F112">
        <v>1</v>
      </c>
      <c r="G112" t="s">
        <v>51</v>
      </c>
      <c r="H112" t="s">
        <v>52</v>
      </c>
      <c r="I112">
        <v>0.128</v>
      </c>
      <c r="J112">
        <v>2.2599999999999998</v>
      </c>
      <c r="K112">
        <v>23</v>
      </c>
      <c r="L112" t="s">
        <v>53</v>
      </c>
      <c r="M112" t="s">
        <v>54</v>
      </c>
      <c r="N112">
        <v>0.21299999999999999</v>
      </c>
      <c r="O112">
        <v>3.28</v>
      </c>
      <c r="P112">
        <v>160</v>
      </c>
      <c r="Q112" s="4"/>
      <c r="R112" s="4">
        <v>1</v>
      </c>
      <c r="S112" s="4">
        <v>1</v>
      </c>
      <c r="T112" s="4"/>
      <c r="U112" s="4">
        <f t="shared" si="47"/>
        <v>23</v>
      </c>
      <c r="V112" s="4">
        <f t="shared" si="48"/>
        <v>23</v>
      </c>
      <c r="W112" s="4">
        <f t="shared" si="49"/>
        <v>23</v>
      </c>
      <c r="X112" s="4"/>
      <c r="Y112" s="4"/>
      <c r="Z112" s="4"/>
      <c r="AA112" s="4"/>
      <c r="AB112" s="4"/>
      <c r="AC112" s="4"/>
      <c r="AD112" s="4">
        <v>1</v>
      </c>
      <c r="AE112" s="4"/>
      <c r="AF112" s="4">
        <f t="shared" si="50"/>
        <v>160</v>
      </c>
      <c r="AG112" s="4">
        <f t="shared" si="51"/>
        <v>160</v>
      </c>
      <c r="AH112" s="4">
        <f t="shared" si="52"/>
        <v>160</v>
      </c>
      <c r="AI112" s="4"/>
      <c r="AJ112" s="4"/>
      <c r="AK112" s="4"/>
      <c r="AL112" s="4"/>
      <c r="AM112" s="4"/>
      <c r="AN112" s="4"/>
      <c r="AO112" s="4"/>
      <c r="AP112" s="2">
        <v>95</v>
      </c>
    </row>
    <row r="113" spans="1:45" ht="15.6" customHeight="1" x14ac:dyDescent="0.3">
      <c r="A113" s="1">
        <v>45357</v>
      </c>
      <c r="B113" t="s">
        <v>183</v>
      </c>
      <c r="C113" t="s">
        <v>73</v>
      </c>
      <c r="D113">
        <v>33</v>
      </c>
      <c r="E113">
        <v>1</v>
      </c>
      <c r="F113">
        <v>1</v>
      </c>
      <c r="G113" t="s">
        <v>51</v>
      </c>
      <c r="H113" t="s">
        <v>52</v>
      </c>
      <c r="I113">
        <v>0.126</v>
      </c>
      <c r="J113">
        <v>2.2400000000000002</v>
      </c>
      <c r="K113">
        <v>22.4</v>
      </c>
      <c r="L113" t="s">
        <v>53</v>
      </c>
      <c r="M113" t="s">
        <v>54</v>
      </c>
      <c r="N113">
        <v>0.23100000000000001</v>
      </c>
      <c r="O113">
        <v>3.82</v>
      </c>
      <c r="P113">
        <v>197</v>
      </c>
      <c r="Q113" s="4"/>
      <c r="R113" s="4">
        <v>1</v>
      </c>
      <c r="S113" s="4">
        <v>1</v>
      </c>
      <c r="T113" s="4"/>
      <c r="U113" s="4">
        <f t="shared" si="47"/>
        <v>22.4</v>
      </c>
      <c r="V113" s="4">
        <f t="shared" si="48"/>
        <v>22.4</v>
      </c>
      <c r="W113" s="4">
        <f t="shared" si="49"/>
        <v>22.4</v>
      </c>
      <c r="X113" s="4"/>
      <c r="Y113" s="4"/>
      <c r="Z113" s="4"/>
      <c r="AA113" s="4"/>
      <c r="AB113" s="4"/>
      <c r="AC113" s="4"/>
      <c r="AD113" s="4">
        <v>1</v>
      </c>
      <c r="AE113" s="4"/>
      <c r="AF113" s="4">
        <f t="shared" si="50"/>
        <v>197</v>
      </c>
      <c r="AG113" s="4">
        <f t="shared" si="51"/>
        <v>197</v>
      </c>
      <c r="AH113" s="4">
        <f t="shared" si="52"/>
        <v>197</v>
      </c>
      <c r="AI113" s="4"/>
      <c r="AJ113" s="4"/>
      <c r="AK113" s="4"/>
      <c r="AL113" s="4"/>
      <c r="AM113" s="4"/>
      <c r="AN113" s="4"/>
      <c r="AO113" s="4"/>
      <c r="AP113" s="2">
        <v>96</v>
      </c>
    </row>
    <row r="114" spans="1:45" ht="15.6" customHeight="1" x14ac:dyDescent="0.3">
      <c r="A114" s="1">
        <v>45357</v>
      </c>
      <c r="B114" t="s">
        <v>183</v>
      </c>
      <c r="C114" t="s">
        <v>73</v>
      </c>
      <c r="D114">
        <v>34</v>
      </c>
      <c r="E114">
        <v>1</v>
      </c>
      <c r="F114">
        <v>1</v>
      </c>
      <c r="G114" t="s">
        <v>51</v>
      </c>
      <c r="H114" t="s">
        <v>52</v>
      </c>
      <c r="I114">
        <v>0.128</v>
      </c>
      <c r="J114">
        <v>2.2599999999999998</v>
      </c>
      <c r="K114">
        <v>23</v>
      </c>
      <c r="L114" t="s">
        <v>53</v>
      </c>
      <c r="M114" t="s">
        <v>54</v>
      </c>
      <c r="N114">
        <v>0.22500000000000001</v>
      </c>
      <c r="O114">
        <v>3.66</v>
      </c>
      <c r="P114">
        <v>186</v>
      </c>
      <c r="Q114" s="4"/>
      <c r="R114" s="4">
        <v>1</v>
      </c>
      <c r="S114" s="4">
        <v>1</v>
      </c>
      <c r="T114" s="4"/>
      <c r="U114" s="4">
        <f t="shared" si="47"/>
        <v>23</v>
      </c>
      <c r="V114" s="4">
        <f t="shared" si="48"/>
        <v>23</v>
      </c>
      <c r="W114" s="4">
        <f t="shared" si="49"/>
        <v>23</v>
      </c>
      <c r="X114" s="4"/>
      <c r="Y114" s="4"/>
      <c r="Z114" s="4"/>
      <c r="AA114" s="4"/>
      <c r="AB114" s="4"/>
      <c r="AC114" s="4"/>
      <c r="AD114" s="4">
        <v>1</v>
      </c>
      <c r="AE114" s="4"/>
      <c r="AF114" s="4">
        <f t="shared" si="50"/>
        <v>186</v>
      </c>
      <c r="AG114" s="4">
        <f t="shared" si="51"/>
        <v>186</v>
      </c>
      <c r="AH114" s="4">
        <f t="shared" si="52"/>
        <v>186</v>
      </c>
      <c r="AI114" s="4"/>
      <c r="AJ114" s="4"/>
      <c r="AK114" s="4"/>
      <c r="AL114" s="4"/>
      <c r="AM114" s="4"/>
      <c r="AN114" s="4"/>
      <c r="AO114" s="4"/>
      <c r="AP114" s="2">
        <v>97</v>
      </c>
    </row>
    <row r="115" spans="1:45" ht="15.6" customHeight="1" x14ac:dyDescent="0.3">
      <c r="A115" s="1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P115" s="2"/>
    </row>
    <row r="116" spans="1:45" ht="15.6" customHeight="1" x14ac:dyDescent="0.3">
      <c r="A116" s="1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P116" s="2"/>
    </row>
    <row r="117" spans="1:45" ht="15.6" customHeight="1" x14ac:dyDescent="0.3">
      <c r="A117" s="1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P117" s="2"/>
    </row>
    <row r="118" spans="1:45" ht="15.6" customHeigh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s="1"/>
      <c r="AP118" s="2"/>
    </row>
    <row r="119" spans="1:45" s="19" customFormat="1" ht="71.25" customHeight="1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  <c r="K119" s="2" t="s">
        <v>10</v>
      </c>
      <c r="L119" s="2" t="s">
        <v>6</v>
      </c>
      <c r="M119" s="2" t="s">
        <v>7</v>
      </c>
      <c r="N119" s="2" t="s">
        <v>8</v>
      </c>
      <c r="O119" s="2" t="s">
        <v>9</v>
      </c>
      <c r="P119" s="2" t="s">
        <v>10</v>
      </c>
      <c r="Q119" s="3" t="s">
        <v>15</v>
      </c>
      <c r="R119" s="3" t="s">
        <v>33</v>
      </c>
      <c r="S119" s="3" t="s">
        <v>16</v>
      </c>
      <c r="T119" s="3" t="s">
        <v>17</v>
      </c>
      <c r="U119" s="3"/>
      <c r="V119" s="3" t="s">
        <v>35</v>
      </c>
      <c r="W119" s="3" t="s">
        <v>85</v>
      </c>
      <c r="X119" s="2" t="s">
        <v>18</v>
      </c>
      <c r="Y119" s="2" t="s">
        <v>19</v>
      </c>
      <c r="Z119" s="2" t="s">
        <v>20</v>
      </c>
      <c r="AA119" s="2" t="s">
        <v>21</v>
      </c>
      <c r="AB119" s="2" t="s">
        <v>22</v>
      </c>
      <c r="AC119" s="2" t="s">
        <v>23</v>
      </c>
      <c r="AD119" s="3" t="s">
        <v>16</v>
      </c>
      <c r="AE119" s="3" t="s">
        <v>17</v>
      </c>
      <c r="AF119" s="3" t="s">
        <v>37</v>
      </c>
      <c r="AG119" s="3" t="s">
        <v>38</v>
      </c>
      <c r="AH119" s="3" t="s">
        <v>86</v>
      </c>
      <c r="AO119" s="19" t="s">
        <v>101</v>
      </c>
    </row>
    <row r="120" spans="1:45" ht="15.6" customHeight="1" x14ac:dyDescent="0.3">
      <c r="A120" s="20"/>
      <c r="B120" s="21" t="s">
        <v>40</v>
      </c>
      <c r="C120"/>
      <c r="D120"/>
      <c r="E120"/>
      <c r="F120"/>
      <c r="G120" s="20"/>
      <c r="H120" s="21" t="s">
        <v>40</v>
      </c>
      <c r="I120" s="16"/>
      <c r="J120" s="16"/>
      <c r="K120" s="22">
        <f>AVERAGE(K18:K118)</f>
        <v>23.393814432989704</v>
      </c>
      <c r="L120"/>
      <c r="M120"/>
      <c r="N120"/>
      <c r="O120"/>
      <c r="P120" s="22">
        <f>AVERAGE(P18:P118)</f>
        <v>226.07896907216494</v>
      </c>
      <c r="Q120"/>
      <c r="R120"/>
      <c r="S120" s="20"/>
      <c r="T120" s="21" t="s">
        <v>40</v>
      </c>
      <c r="U120" s="22"/>
      <c r="V120" s="22"/>
      <c r="W120" s="22">
        <f>AVERAGE(W18:W118)</f>
        <v>23.945587337628876</v>
      </c>
      <c r="X120"/>
      <c r="Y120" s="1"/>
      <c r="AD120" s="20"/>
      <c r="AE120" s="21" t="s">
        <v>40</v>
      </c>
      <c r="AF120" s="22"/>
      <c r="AG120" s="22"/>
      <c r="AH120" s="22">
        <f>AVERAGE(AH18:AH118)</f>
        <v>222.17368407204231</v>
      </c>
      <c r="AO120" s="23" t="s">
        <v>102</v>
      </c>
      <c r="AP120" s="24">
        <f>MIN(AP18:AP118)</f>
        <v>1</v>
      </c>
      <c r="AQ120" s="24"/>
      <c r="AR120" s="24"/>
      <c r="AS120" s="24"/>
    </row>
    <row r="121" spans="1:45" ht="15.6" customHeight="1" x14ac:dyDescent="0.3">
      <c r="A121" s="20"/>
      <c r="B121" s="21" t="s">
        <v>103</v>
      </c>
      <c r="C121"/>
      <c r="D121"/>
      <c r="E121"/>
      <c r="F121"/>
      <c r="G121" s="20"/>
      <c r="H121" s="21" t="s">
        <v>103</v>
      </c>
      <c r="I121" s="16"/>
      <c r="J121" s="16"/>
      <c r="K121" s="22">
        <f>STDEV(K18:K118)</f>
        <v>3.2762979118010693</v>
      </c>
      <c r="L121"/>
      <c r="M121"/>
      <c r="N121"/>
      <c r="O121"/>
      <c r="P121" s="22">
        <f>STDEV(P18:P118)</f>
        <v>88.66999038434281</v>
      </c>
      <c r="Q121"/>
      <c r="R121"/>
      <c r="S121" s="20"/>
      <c r="T121" s="21" t="s">
        <v>103</v>
      </c>
      <c r="U121" s="22"/>
      <c r="V121" s="22"/>
      <c r="W121" s="22">
        <f>STDEV(W18:W118)</f>
        <v>3.0396718436478363</v>
      </c>
      <c r="X121"/>
      <c r="Y121" s="1"/>
      <c r="AD121" s="20"/>
      <c r="AE121" s="21" t="s">
        <v>103</v>
      </c>
      <c r="AF121" s="22"/>
      <c r="AG121" s="22"/>
      <c r="AH121" s="22">
        <f>STDEV(AH18:AH118)</f>
        <v>30.868639937154459</v>
      </c>
      <c r="AO121" s="23" t="s">
        <v>104</v>
      </c>
      <c r="AP121" s="24">
        <f>MAX(AP18:AP118)</f>
        <v>97</v>
      </c>
      <c r="AQ121" s="24"/>
      <c r="AR121" s="24"/>
      <c r="AS121" s="24"/>
    </row>
    <row r="122" spans="1:45" ht="15.6" customHeight="1" x14ac:dyDescent="0.3">
      <c r="A122" s="20"/>
      <c r="B122" s="21" t="s">
        <v>105</v>
      </c>
      <c r="C122"/>
      <c r="D122"/>
      <c r="E122"/>
      <c r="F122"/>
      <c r="G122" s="20"/>
      <c r="H122" s="21" t="s">
        <v>105</v>
      </c>
      <c r="I122" s="16"/>
      <c r="J122"/>
      <c r="K122" s="22">
        <f>100*K121/K120</f>
        <v>14.004975209091466</v>
      </c>
      <c r="L122"/>
      <c r="M122"/>
      <c r="N122"/>
      <c r="O122"/>
      <c r="P122" s="22">
        <f>100*P121/P120</f>
        <v>39.220804459719183</v>
      </c>
      <c r="Q122"/>
      <c r="R122"/>
      <c r="S122" s="20"/>
      <c r="T122" s="21" t="s">
        <v>105</v>
      </c>
      <c r="U122" s="22"/>
      <c r="V122" s="22"/>
      <c r="W122" s="22">
        <f>100*W121/W120</f>
        <v>12.694079292309514</v>
      </c>
      <c r="X122"/>
      <c r="Y122" s="1"/>
      <c r="AD122" s="20"/>
      <c r="AE122" s="21" t="s">
        <v>105</v>
      </c>
      <c r="AF122" s="22"/>
      <c r="AG122" s="22"/>
      <c r="AH122" s="22">
        <f>100*AH121/AH120</f>
        <v>13.893922705600433</v>
      </c>
    </row>
    <row r="123" spans="1:45" ht="15.6" customHeight="1" x14ac:dyDescent="0.3">
      <c r="A123" s="20"/>
      <c r="B123" s="21"/>
      <c r="C123"/>
      <c r="D123"/>
      <c r="E123"/>
      <c r="F123"/>
      <c r="G123" s="20"/>
      <c r="H123" s="21" t="s">
        <v>49</v>
      </c>
      <c r="I123" s="16"/>
      <c r="J123"/>
      <c r="K123" s="22">
        <f>K120/K121</f>
        <v>7.1403196726177729</v>
      </c>
      <c r="L123"/>
      <c r="M123"/>
      <c r="N123"/>
      <c r="O123"/>
      <c r="P123" s="22">
        <f>P120/P121</f>
        <v>2.5496672334373631</v>
      </c>
      <c r="Q123"/>
      <c r="R123"/>
      <c r="S123" s="20"/>
      <c r="T123" s="21" t="s">
        <v>49</v>
      </c>
      <c r="U123" s="22"/>
      <c r="V123" s="22"/>
      <c r="W123" s="22">
        <f>W120/W121</f>
        <v>7.8776883062786007</v>
      </c>
      <c r="X123"/>
      <c r="Y123" s="1"/>
      <c r="AD123" s="20"/>
      <c r="AE123" s="21" t="s">
        <v>49</v>
      </c>
      <c r="AF123" s="22"/>
      <c r="AG123" s="22"/>
      <c r="AH123" s="22">
        <f>AH120/AH121</f>
        <v>7.1973914148587781</v>
      </c>
      <c r="AR123"/>
      <c r="AS123"/>
    </row>
    <row r="124" spans="1:45" ht="15.6" customHeight="1" x14ac:dyDescent="0.3">
      <c r="A124" s="20" t="s">
        <v>106</v>
      </c>
      <c r="B124" s="21" t="s">
        <v>107</v>
      </c>
      <c r="C124"/>
      <c r="D124"/>
      <c r="E124"/>
      <c r="F124"/>
      <c r="G124" s="20" t="s">
        <v>106</v>
      </c>
      <c r="H124" s="21" t="s">
        <v>107</v>
      </c>
      <c r="I124" s="16"/>
      <c r="J124"/>
      <c r="K124" s="22">
        <f>K120+(2*K121)</f>
        <v>29.946410256591843</v>
      </c>
      <c r="L124"/>
      <c r="M124"/>
      <c r="N124"/>
      <c r="O124"/>
      <c r="P124" s="22">
        <f>P120+(2*P121)</f>
        <v>403.41894984085059</v>
      </c>
      <c r="Q124"/>
      <c r="R124"/>
      <c r="S124" s="20" t="s">
        <v>106</v>
      </c>
      <c r="T124" s="21" t="s">
        <v>107</v>
      </c>
      <c r="U124" s="22"/>
      <c r="V124" s="22"/>
      <c r="W124" s="22">
        <f>W120+(2*W121)</f>
        <v>30.024931024924548</v>
      </c>
      <c r="X124"/>
      <c r="Y124" s="1"/>
      <c r="AD124" s="20" t="s">
        <v>106</v>
      </c>
      <c r="AE124" s="21" t="s">
        <v>107</v>
      </c>
      <c r="AF124" s="22"/>
      <c r="AG124" s="22"/>
      <c r="AH124" s="22">
        <f>AH120+(2*AH121)</f>
        <v>283.91096394635122</v>
      </c>
    </row>
    <row r="125" spans="1:45" ht="15.6" customHeight="1" x14ac:dyDescent="0.3">
      <c r="A125" s="20"/>
      <c r="B125" s="21" t="s">
        <v>108</v>
      </c>
      <c r="C125"/>
      <c r="D125"/>
      <c r="E125"/>
      <c r="F125"/>
      <c r="G125" s="20"/>
      <c r="H125" s="21" t="s">
        <v>108</v>
      </c>
      <c r="I125" s="16"/>
      <c r="J125"/>
      <c r="K125" s="22">
        <f>K120-(2*K121)</f>
        <v>16.841218609387564</v>
      </c>
      <c r="L125"/>
      <c r="M125"/>
      <c r="N125"/>
      <c r="O125"/>
      <c r="P125" s="22">
        <f>P120-(2*P121)</f>
        <v>48.738988303479317</v>
      </c>
      <c r="Q125"/>
      <c r="R125"/>
      <c r="S125" s="20"/>
      <c r="T125" s="21" t="s">
        <v>108</v>
      </c>
      <c r="U125" s="22"/>
      <c r="V125" s="22"/>
      <c r="W125" s="22">
        <f>W120-(2*W121)</f>
        <v>17.866243650333203</v>
      </c>
      <c r="X125"/>
      <c r="Y125" s="1"/>
      <c r="AD125" s="20"/>
      <c r="AE125" s="21" t="s">
        <v>108</v>
      </c>
      <c r="AF125" s="22"/>
      <c r="AG125" s="22"/>
      <c r="AH125" s="22">
        <f>AH120-(2*AH121)</f>
        <v>160.4364041977334</v>
      </c>
    </row>
    <row r="126" spans="1:45" ht="15.6" customHeight="1" x14ac:dyDescent="0.3">
      <c r="A126" s="20" t="s">
        <v>109</v>
      </c>
      <c r="B126" s="21" t="s">
        <v>110</v>
      </c>
      <c r="C126"/>
      <c r="D126"/>
      <c r="E126"/>
      <c r="F126"/>
      <c r="G126" s="20" t="s">
        <v>109</v>
      </c>
      <c r="H126" s="21" t="s">
        <v>110</v>
      </c>
      <c r="I126" s="16"/>
      <c r="J126"/>
      <c r="K126" s="22">
        <f>K120+(3*K121)</f>
        <v>33.222708168392913</v>
      </c>
      <c r="L126"/>
      <c r="M126"/>
      <c r="N126"/>
      <c r="O126"/>
      <c r="P126" s="22">
        <f>P120+(3*P121)</f>
        <v>492.08894022519337</v>
      </c>
      <c r="Q126"/>
      <c r="R126"/>
      <c r="S126" s="20" t="s">
        <v>109</v>
      </c>
      <c r="T126" s="21" t="s">
        <v>110</v>
      </c>
      <c r="U126" s="22"/>
      <c r="V126" s="22"/>
      <c r="W126" s="22">
        <f>W120+(3*W121)</f>
        <v>33.064602868572386</v>
      </c>
      <c r="X126"/>
      <c r="Y126" s="1"/>
      <c r="AD126" s="20" t="s">
        <v>109</v>
      </c>
      <c r="AE126" s="21" t="s">
        <v>110</v>
      </c>
      <c r="AF126" s="22"/>
      <c r="AG126" s="22"/>
      <c r="AH126" s="22">
        <f>AH120+(3*AH121)</f>
        <v>314.77960388350567</v>
      </c>
    </row>
    <row r="127" spans="1:45" ht="15.6" customHeight="1" x14ac:dyDescent="0.3">
      <c r="A127" s="25"/>
      <c r="B127" s="21" t="s">
        <v>111</v>
      </c>
      <c r="C127"/>
      <c r="D127"/>
      <c r="E127"/>
      <c r="F127"/>
      <c r="G127" s="25"/>
      <c r="H127" s="21" t="s">
        <v>111</v>
      </c>
      <c r="I127" s="16"/>
      <c r="J127"/>
      <c r="K127" s="22">
        <f>K120-(3*K121)</f>
        <v>13.564920697586496</v>
      </c>
      <c r="L127"/>
      <c r="M127"/>
      <c r="N127"/>
      <c r="O127"/>
      <c r="P127" s="22">
        <f>P120-(3*P121)</f>
        <v>-39.931002080863522</v>
      </c>
      <c r="Q127"/>
      <c r="R127"/>
      <c r="S127" s="25"/>
      <c r="T127" s="21" t="s">
        <v>111</v>
      </c>
      <c r="U127" s="22"/>
      <c r="V127" s="22"/>
      <c r="W127" s="22">
        <f>W120-(3*W121)</f>
        <v>14.826571806685367</v>
      </c>
      <c r="X127"/>
      <c r="Y127" s="1"/>
      <c r="AD127" s="25"/>
      <c r="AE127" s="21" t="s">
        <v>111</v>
      </c>
      <c r="AF127" s="22"/>
      <c r="AG127" s="22"/>
      <c r="AH127" s="22">
        <f>AH120-(3*AH121)</f>
        <v>129.56776426057894</v>
      </c>
    </row>
    <row r="128" spans="1:45" ht="15.6" customHeight="1" x14ac:dyDescent="0.3">
      <c r="A128"/>
      <c r="B128" s="16"/>
      <c r="C128"/>
      <c r="D128"/>
      <c r="E128"/>
      <c r="F128"/>
      <c r="G128"/>
      <c r="H128" s="16"/>
      <c r="I128" s="16"/>
      <c r="J128"/>
      <c r="K128"/>
      <c r="L128"/>
      <c r="M128"/>
      <c r="N128"/>
      <c r="O128"/>
      <c r="P128"/>
      <c r="Q128"/>
      <c r="R128"/>
      <c r="S128"/>
      <c r="U128"/>
      <c r="V128"/>
      <c r="W128"/>
      <c r="X128"/>
      <c r="Y128" s="1"/>
      <c r="AD128"/>
      <c r="AF128"/>
      <c r="AG128"/>
      <c r="AH128"/>
    </row>
    <row r="129" spans="1:61" ht="15.6" customHeight="1" x14ac:dyDescent="0.3">
      <c r="A129" t="s">
        <v>112</v>
      </c>
      <c r="B129" s="16"/>
      <c r="C129"/>
      <c r="D129"/>
      <c r="E129"/>
      <c r="F129"/>
      <c r="G129" t="s">
        <v>112</v>
      </c>
      <c r="H129" s="16"/>
      <c r="I129" s="16"/>
      <c r="J129"/>
      <c r="K129">
        <f>COUNT(K18:K118)</f>
        <v>97</v>
      </c>
      <c r="L129"/>
      <c r="M129"/>
      <c r="N129"/>
      <c r="O129"/>
      <c r="P129">
        <f>COUNT(P18:P118)</f>
        <v>97</v>
      </c>
      <c r="Q129"/>
      <c r="R129"/>
      <c r="S129" t="s">
        <v>112</v>
      </c>
      <c r="U129"/>
      <c r="V129"/>
      <c r="W129">
        <f>COUNT(W18:W118)</f>
        <v>97</v>
      </c>
      <c r="X129"/>
      <c r="Y129" s="1"/>
      <c r="AD129" t="s">
        <v>112</v>
      </c>
      <c r="AF129"/>
      <c r="AG129"/>
      <c r="AH129">
        <f>COUNT(U18:U118)</f>
        <v>97</v>
      </c>
    </row>
    <row r="130" spans="1:61" x14ac:dyDescent="0.25">
      <c r="A130" s="26" t="s">
        <v>113</v>
      </c>
      <c r="B130" s="27"/>
      <c r="G130" s="26" t="s">
        <v>113</v>
      </c>
      <c r="H130" s="27"/>
      <c r="I130" s="16"/>
      <c r="J130" s="16"/>
      <c r="K130" s="26">
        <f>_xlfn.PERCENTILE.INC(K18:K118,0.99)</f>
        <v>32.700000000000003</v>
      </c>
      <c r="P130" s="26">
        <f>_xlfn.PERCENTILE.INC(P18:P118,0.99)</f>
        <v>510.43999999999949</v>
      </c>
      <c r="S130" s="26" t="s">
        <v>113</v>
      </c>
      <c r="T130" s="27"/>
      <c r="U130" s="26"/>
      <c r="V130" s="26"/>
      <c r="W130" s="26">
        <f>_xlfn.PERCENTILE.INC(W18:W118,0.99)</f>
        <v>32.700000000000003</v>
      </c>
      <c r="AD130" s="26" t="s">
        <v>113</v>
      </c>
      <c r="AE130" s="27"/>
      <c r="AF130" s="26"/>
      <c r="AG130" s="26"/>
      <c r="AH130" s="26">
        <f>_xlfn.PERCENTILE.INC(U18:U118,0.99)</f>
        <v>32.700000000000003</v>
      </c>
    </row>
    <row r="131" spans="1:61" x14ac:dyDescent="0.25">
      <c r="A131" s="26" t="s">
        <v>114</v>
      </c>
      <c r="B131" s="27"/>
      <c r="E131" s="26" t="s">
        <v>115</v>
      </c>
      <c r="G131" s="26" t="s">
        <v>114</v>
      </c>
      <c r="H131" s="27"/>
      <c r="I131" s="16"/>
      <c r="J131" s="16"/>
      <c r="K131" s="26">
        <f>MAX(K18:K118)</f>
        <v>32.700000000000003</v>
      </c>
      <c r="P131" s="26">
        <f>MAX(P18:P118)</f>
        <v>569</v>
      </c>
      <c r="S131" s="26" t="s">
        <v>114</v>
      </c>
      <c r="T131" s="27"/>
      <c r="U131" s="26"/>
      <c r="V131" s="26"/>
      <c r="W131" s="26">
        <f>MAX(W18:W118)</f>
        <v>32.700000000000003</v>
      </c>
      <c r="AD131" s="26" t="s">
        <v>114</v>
      </c>
      <c r="AE131" s="27"/>
      <c r="AF131" s="26"/>
      <c r="AG131" s="26"/>
      <c r="AH131" s="26">
        <f>MAX(U18:U118)</f>
        <v>32.700000000000003</v>
      </c>
    </row>
    <row r="132" spans="1:61" x14ac:dyDescent="0.25">
      <c r="G132" s="26" t="s">
        <v>116</v>
      </c>
      <c r="H132" s="29"/>
      <c r="I132" s="16"/>
      <c r="J132" s="16"/>
      <c r="K132" s="16">
        <v>24.4</v>
      </c>
      <c r="L132" s="26"/>
      <c r="M132" s="29"/>
      <c r="N132" s="16"/>
      <c r="P132" s="16">
        <v>243.9</v>
      </c>
      <c r="S132" s="26" t="s">
        <v>116</v>
      </c>
      <c r="T132" s="29"/>
      <c r="W132" s="16">
        <v>24.4</v>
      </c>
      <c r="AD132" s="26" t="s">
        <v>116</v>
      </c>
      <c r="AE132" s="29"/>
      <c r="AH132" s="16">
        <v>243.9</v>
      </c>
    </row>
    <row r="133" spans="1:61" ht="15.6" x14ac:dyDescent="0.3">
      <c r="A133" s="26" t="s">
        <v>116</v>
      </c>
      <c r="G133" s="16" t="s">
        <v>44</v>
      </c>
      <c r="H133" s="16"/>
      <c r="I133"/>
      <c r="J133"/>
      <c r="K133">
        <f>K121*TINV(0.02,(K129-1))</f>
        <v>7.7511333866320147</v>
      </c>
      <c r="P133">
        <f>P121*TINV(0.02,(P129-1))</f>
        <v>209.77729784120754</v>
      </c>
      <c r="S133" s="16" t="s">
        <v>44</v>
      </c>
      <c r="U133"/>
      <c r="W133">
        <f>W121*TINV(0.02,(W129-1))</f>
        <v>7.1913185387808545</v>
      </c>
      <c r="AD133" s="16" t="s">
        <v>44</v>
      </c>
      <c r="AF133"/>
      <c r="AH133">
        <f>AH121*TINV(0.02,(AH129-1))</f>
        <v>73.029667038205574</v>
      </c>
    </row>
    <row r="134" spans="1:61" x14ac:dyDescent="0.25">
      <c r="G134" s="16" t="s">
        <v>45</v>
      </c>
      <c r="H134" s="16"/>
      <c r="I134" s="16"/>
      <c r="J134" s="16"/>
      <c r="K134" s="16">
        <f>K121*10</f>
        <v>32.762979118010691</v>
      </c>
      <c r="P134" s="16">
        <f>P121*10</f>
        <v>886.69990384342805</v>
      </c>
      <c r="S134" s="16" t="s">
        <v>45</v>
      </c>
      <c r="W134" s="16">
        <f>W121*10</f>
        <v>30.396718436478363</v>
      </c>
      <c r="AD134" s="16" t="s">
        <v>45</v>
      </c>
      <c r="AH134" s="16">
        <f>AH121*10</f>
        <v>308.68639937154461</v>
      </c>
    </row>
    <row r="135" spans="1:61" x14ac:dyDescent="0.25">
      <c r="G135" s="16" t="s">
        <v>117</v>
      </c>
      <c r="H135" s="16"/>
      <c r="I135" s="16"/>
      <c r="J135" s="16"/>
      <c r="K135" s="16">
        <f>K120/K133</f>
        <v>3.0181153214748986</v>
      </c>
      <c r="P135" s="16">
        <f>P120/P133</f>
        <v>1.07770941564562</v>
      </c>
      <c r="S135" s="16" t="s">
        <v>117</v>
      </c>
      <c r="W135" s="16">
        <f>W120/W133</f>
        <v>3.329790942856548</v>
      </c>
      <c r="AD135" s="16" t="s">
        <v>117</v>
      </c>
      <c r="AH135" s="16">
        <f>AH120/AH133</f>
        <v>3.0422387651830842</v>
      </c>
    </row>
    <row r="136" spans="1:61" s="28" customFormat="1" x14ac:dyDescent="0.25">
      <c r="A136" s="26"/>
      <c r="B136" s="29"/>
      <c r="C136" s="26"/>
      <c r="D136" s="26"/>
      <c r="E136" s="26"/>
      <c r="F136" s="26"/>
      <c r="G136" s="16"/>
      <c r="H136" s="16"/>
      <c r="I136" s="16"/>
      <c r="J136" s="16"/>
      <c r="K136" s="16"/>
      <c r="N136" s="2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27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spans="1:61" ht="15.6" x14ac:dyDescent="0.3">
      <c r="V137" s="11" t="s">
        <v>32</v>
      </c>
      <c r="W137" s="13">
        <v>24.4</v>
      </c>
      <c r="AG137" s="11" t="s">
        <v>32</v>
      </c>
      <c r="AH137" s="13">
        <v>243.9</v>
      </c>
    </row>
    <row r="138" spans="1:61" ht="15.6" x14ac:dyDescent="0.3">
      <c r="V138" s="11" t="s">
        <v>40</v>
      </c>
      <c r="W138" s="12">
        <f>AVERAGE(W18:W118)</f>
        <v>23.945587337628876</v>
      </c>
      <c r="AG138" s="11" t="s">
        <v>40</v>
      </c>
      <c r="AH138" s="12">
        <f>AVERAGE(AH18:AH118)</f>
        <v>222.17368407204231</v>
      </c>
    </row>
    <row r="139" spans="1:61" ht="15.6" x14ac:dyDescent="0.3">
      <c r="V139" s="11" t="s">
        <v>41</v>
      </c>
      <c r="W139" s="12">
        <f>_xlfn.STDEV.S(W18:W118)</f>
        <v>3.0396718436478363</v>
      </c>
      <c r="AG139" s="11" t="s">
        <v>41</v>
      </c>
      <c r="AH139" s="12">
        <f>_xlfn.STDEV.S(AH18:AH118)</f>
        <v>30.868639937154459</v>
      </c>
    </row>
    <row r="140" spans="1:61" ht="15.6" x14ac:dyDescent="0.3">
      <c r="V140" s="11" t="s">
        <v>42</v>
      </c>
      <c r="W140" s="12">
        <f>100*W139/W138</f>
        <v>12.694079292309514</v>
      </c>
      <c r="AG140" s="11" t="s">
        <v>42</v>
      </c>
      <c r="AH140" s="12">
        <f>100*AH139/AH138</f>
        <v>13.893922705600433</v>
      </c>
    </row>
    <row r="141" spans="1:61" ht="15.6" x14ac:dyDescent="0.3">
      <c r="V141" s="11" t="s">
        <v>43</v>
      </c>
      <c r="W141" s="12">
        <f>TINV(0.02,(W129-1))</f>
        <v>2.3658206900882854</v>
      </c>
      <c r="AG141" s="11" t="s">
        <v>43</v>
      </c>
      <c r="AH141" s="12">
        <f>TINV(0.02,(AH129-1))</f>
        <v>2.3658206900882854</v>
      </c>
    </row>
    <row r="142" spans="1:61" ht="15.6" x14ac:dyDescent="0.3">
      <c r="V142" s="11" t="s">
        <v>44</v>
      </c>
      <c r="W142" s="12">
        <f>W139*W141</f>
        <v>7.1913185387808545</v>
      </c>
      <c r="AG142" s="11" t="s">
        <v>44</v>
      </c>
      <c r="AH142" s="12">
        <f>AH139*AH141</f>
        <v>73.029667038205574</v>
      </c>
    </row>
    <row r="143" spans="1:61" ht="15.6" x14ac:dyDescent="0.3">
      <c r="V143" s="11" t="s">
        <v>45</v>
      </c>
      <c r="W143" s="12">
        <f>10*W139</f>
        <v>30.396718436478363</v>
      </c>
      <c r="AG143" s="11" t="s">
        <v>45</v>
      </c>
      <c r="AH143" s="12">
        <f>10*AH139</f>
        <v>308.68639937154461</v>
      </c>
    </row>
    <row r="144" spans="1:61" ht="15.6" x14ac:dyDescent="0.3">
      <c r="V144" s="11" t="s">
        <v>46</v>
      </c>
      <c r="W144" s="12">
        <f>100*(W138-W137)/W137</f>
        <v>-1.8623469769308316</v>
      </c>
      <c r="AG144" s="11" t="s">
        <v>46</v>
      </c>
      <c r="AH144" s="12">
        <f>100*(AH138-AH137)/AH137</f>
        <v>-8.9078786092487494</v>
      </c>
    </row>
    <row r="145" spans="22:34" ht="15.6" x14ac:dyDescent="0.3">
      <c r="V145" s="11" t="s">
        <v>47</v>
      </c>
      <c r="W145" s="12">
        <f>W137/W142</f>
        <v>3.3929800033773132</v>
      </c>
      <c r="AG145" s="11" t="s">
        <v>47</v>
      </c>
      <c r="AH145" s="12">
        <f>AH137/AH142</f>
        <v>3.3397386280345955</v>
      </c>
    </row>
    <row r="146" spans="22:34" ht="15.6" x14ac:dyDescent="0.3">
      <c r="V146" s="11" t="s">
        <v>48</v>
      </c>
      <c r="W146" s="12">
        <f>100*(W138/W137)</f>
        <v>98.137653023069177</v>
      </c>
      <c r="AG146" s="11" t="s">
        <v>48</v>
      </c>
      <c r="AH146" s="12">
        <f>100*(AH138/AH137)</f>
        <v>91.092121390751245</v>
      </c>
    </row>
    <row r="147" spans="22:34" ht="15.6" x14ac:dyDescent="0.3">
      <c r="V147" s="11" t="s">
        <v>49</v>
      </c>
      <c r="W147" s="12">
        <f>W138/W139</f>
        <v>7.8776883062786007</v>
      </c>
      <c r="AG147" s="11" t="s">
        <v>49</v>
      </c>
      <c r="AH147" s="12">
        <f>AH138/AH139</f>
        <v>7.1973914148587781</v>
      </c>
    </row>
  </sheetData>
  <conditionalFormatting sqref="K54:K73">
    <cfRule type="cellIs" dxfId="3" priority="8" operator="greaterThan">
      <formula>180</formula>
    </cfRule>
  </conditionalFormatting>
  <conditionalFormatting sqref="K95:K117">
    <cfRule type="cellIs" dxfId="2" priority="2" operator="greaterThan">
      <formula>180</formula>
    </cfRule>
  </conditionalFormatting>
  <conditionalFormatting sqref="P54:P73">
    <cfRule type="cellIs" dxfId="1" priority="7" operator="greaterThan">
      <formula>1800</formula>
    </cfRule>
  </conditionalFormatting>
  <conditionalFormatting sqref="P95:P117">
    <cfRule type="cellIs" dxfId="0" priority="1" operator="greaterThan">
      <formula>1800</formula>
    </cfRule>
  </conditionalFormatting>
  <printOptions gridLines="1"/>
  <pageMargins left="0.7" right="0.7" top="0.75" bottom="0.75" header="0.3" footer="0.3"/>
  <pageSetup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Export</vt:lpstr>
      <vt:lpstr>QAQC</vt:lpstr>
      <vt:lpstr>method checks</vt:lpstr>
      <vt:lpstr>rolling spiked blank 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Dexter Howard</cp:lastModifiedBy>
  <dcterms:created xsi:type="dcterms:W3CDTF">2019-09-17T18:32:24Z</dcterms:created>
  <dcterms:modified xsi:type="dcterms:W3CDTF">2024-03-06T21:41:03Z</dcterms:modified>
</cp:coreProperties>
</file>