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Virginia Tech/Sed Traps/2018/"/>
    </mc:Choice>
  </mc:AlternateContent>
  <xr:revisionPtr revIDLastSave="0" documentId="13_ncr:1_{A564A73A-ABBB-D644-85DB-F6B724304320}" xr6:coauthVersionLast="47" xr6:coauthVersionMax="47" xr10:uidLastSave="{00000000-0000-0000-0000-000000000000}"/>
  <bookViews>
    <workbookView xWindow="0" yWindow="740" windowWidth="30240" windowHeight="18900" xr2:uid="{54D1672F-AEFC-49AD-A5F6-5E1CA1986834}"/>
  </bookViews>
  <sheets>
    <sheet name="Sheet1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K2" i="1"/>
  <c r="M27" i="1" l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5" i="1"/>
  <c r="N5" i="1" s="1"/>
  <c r="M6" i="1"/>
  <c r="N6" i="1" s="1"/>
  <c r="M4" i="1"/>
  <c r="N4" i="1" s="1"/>
  <c r="M3" i="1"/>
  <c r="N3" i="1" s="1"/>
  <c r="M2" i="1"/>
  <c r="N2" i="1" s="1"/>
  <c r="G27" i="1" l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Q2" i="1" s="1"/>
  <c r="U2" i="1" s="1"/>
  <c r="W2" i="1" s="1"/>
  <c r="P6" i="1" l="1"/>
  <c r="R6" i="1"/>
  <c r="V6" i="1" s="1"/>
  <c r="X6" i="1" s="1"/>
  <c r="O10" i="1"/>
  <c r="Q10" i="1"/>
  <c r="U10" i="1" s="1"/>
  <c r="W10" i="1" s="1"/>
  <c r="P18" i="1"/>
  <c r="R18" i="1"/>
  <c r="V18" i="1" s="1"/>
  <c r="X18" i="1" s="1"/>
  <c r="O25" i="1"/>
  <c r="Q25" i="1"/>
  <c r="U25" i="1" s="1"/>
  <c r="W25" i="1" s="1"/>
  <c r="O21" i="1"/>
  <c r="Q21" i="1"/>
  <c r="U21" i="1" s="1"/>
  <c r="W21" i="1" s="1"/>
  <c r="O17" i="1"/>
  <c r="Q17" i="1"/>
  <c r="U17" i="1" s="1"/>
  <c r="W17" i="1" s="1"/>
  <c r="O13" i="1"/>
  <c r="Q13" i="1"/>
  <c r="U13" i="1" s="1"/>
  <c r="W13" i="1" s="1"/>
  <c r="O9" i="1"/>
  <c r="Q9" i="1"/>
  <c r="U9" i="1" s="1"/>
  <c r="W9" i="1" s="1"/>
  <c r="O5" i="1"/>
  <c r="Q5" i="1"/>
  <c r="U5" i="1" s="1"/>
  <c r="W5" i="1" s="1"/>
  <c r="P25" i="1"/>
  <c r="R25" i="1"/>
  <c r="V25" i="1" s="1"/>
  <c r="X25" i="1" s="1"/>
  <c r="P21" i="1"/>
  <c r="R21" i="1"/>
  <c r="V21" i="1" s="1"/>
  <c r="X21" i="1" s="1"/>
  <c r="P17" i="1"/>
  <c r="R17" i="1"/>
  <c r="V17" i="1" s="1"/>
  <c r="X17" i="1" s="1"/>
  <c r="P13" i="1"/>
  <c r="R13" i="1"/>
  <c r="V13" i="1" s="1"/>
  <c r="X13" i="1" s="1"/>
  <c r="P9" i="1"/>
  <c r="R9" i="1"/>
  <c r="V9" i="1" s="1"/>
  <c r="X9" i="1" s="1"/>
  <c r="P5" i="1"/>
  <c r="R5" i="1"/>
  <c r="V5" i="1" s="1"/>
  <c r="X5" i="1" s="1"/>
  <c r="O26" i="1"/>
  <c r="Q26" i="1"/>
  <c r="U26" i="1" s="1"/>
  <c r="W26" i="1" s="1"/>
  <c r="O18" i="1"/>
  <c r="Q18" i="1"/>
  <c r="U18" i="1" s="1"/>
  <c r="W18" i="1" s="1"/>
  <c r="O6" i="1"/>
  <c r="Q6" i="1"/>
  <c r="U6" i="1" s="1"/>
  <c r="W6" i="1" s="1"/>
  <c r="P26" i="1"/>
  <c r="R26" i="1"/>
  <c r="V26" i="1" s="1"/>
  <c r="X26" i="1" s="1"/>
  <c r="P10" i="1"/>
  <c r="R10" i="1"/>
  <c r="V10" i="1" s="1"/>
  <c r="X10" i="1" s="1"/>
  <c r="O24" i="1"/>
  <c r="Q24" i="1"/>
  <c r="U24" i="1" s="1"/>
  <c r="W24" i="1" s="1"/>
  <c r="O16" i="1"/>
  <c r="Q16" i="1"/>
  <c r="U16" i="1" s="1"/>
  <c r="W16" i="1" s="1"/>
  <c r="O8" i="1"/>
  <c r="Q8" i="1"/>
  <c r="U8" i="1" s="1"/>
  <c r="W8" i="1" s="1"/>
  <c r="O4" i="1"/>
  <c r="Q4" i="1"/>
  <c r="U4" i="1" s="1"/>
  <c r="W4" i="1" s="1"/>
  <c r="P24" i="1"/>
  <c r="R24" i="1"/>
  <c r="V24" i="1" s="1"/>
  <c r="X24" i="1" s="1"/>
  <c r="P20" i="1"/>
  <c r="R20" i="1"/>
  <c r="V20" i="1" s="1"/>
  <c r="X20" i="1" s="1"/>
  <c r="P16" i="1"/>
  <c r="R16" i="1"/>
  <c r="V16" i="1" s="1"/>
  <c r="X16" i="1" s="1"/>
  <c r="P12" i="1"/>
  <c r="R12" i="1"/>
  <c r="V12" i="1" s="1"/>
  <c r="X12" i="1" s="1"/>
  <c r="P8" i="1"/>
  <c r="R8" i="1"/>
  <c r="V8" i="1" s="1"/>
  <c r="X8" i="1" s="1"/>
  <c r="P4" i="1"/>
  <c r="R4" i="1"/>
  <c r="V4" i="1" s="1"/>
  <c r="X4" i="1" s="1"/>
  <c r="O22" i="1"/>
  <c r="Q22" i="1"/>
  <c r="U22" i="1" s="1"/>
  <c r="W22" i="1" s="1"/>
  <c r="O14" i="1"/>
  <c r="Q14" i="1"/>
  <c r="U14" i="1" s="1"/>
  <c r="W14" i="1" s="1"/>
  <c r="P22" i="1"/>
  <c r="R22" i="1"/>
  <c r="V22" i="1" s="1"/>
  <c r="X22" i="1" s="1"/>
  <c r="P14" i="1"/>
  <c r="R14" i="1"/>
  <c r="V14" i="1" s="1"/>
  <c r="X14" i="1" s="1"/>
  <c r="O20" i="1"/>
  <c r="Q20" i="1"/>
  <c r="U20" i="1" s="1"/>
  <c r="W20" i="1" s="1"/>
  <c r="O12" i="1"/>
  <c r="Q12" i="1"/>
  <c r="U12" i="1" s="1"/>
  <c r="W12" i="1" s="1"/>
  <c r="O27" i="1"/>
  <c r="Q27" i="1"/>
  <c r="U27" i="1" s="1"/>
  <c r="W27" i="1" s="1"/>
  <c r="O23" i="1"/>
  <c r="Q23" i="1"/>
  <c r="U23" i="1" s="1"/>
  <c r="W23" i="1" s="1"/>
  <c r="O19" i="1"/>
  <c r="Q19" i="1"/>
  <c r="U19" i="1" s="1"/>
  <c r="W19" i="1" s="1"/>
  <c r="O15" i="1"/>
  <c r="Q15" i="1"/>
  <c r="U15" i="1" s="1"/>
  <c r="W15" i="1" s="1"/>
  <c r="O11" i="1"/>
  <c r="Q11" i="1"/>
  <c r="U11" i="1" s="1"/>
  <c r="W11" i="1" s="1"/>
  <c r="O7" i="1"/>
  <c r="Q7" i="1"/>
  <c r="U7" i="1" s="1"/>
  <c r="W7" i="1" s="1"/>
  <c r="O3" i="1"/>
  <c r="Q3" i="1"/>
  <c r="U3" i="1" s="1"/>
  <c r="W3" i="1" s="1"/>
  <c r="P27" i="1"/>
  <c r="R27" i="1"/>
  <c r="V27" i="1" s="1"/>
  <c r="X27" i="1" s="1"/>
  <c r="P23" i="1"/>
  <c r="R23" i="1"/>
  <c r="V23" i="1" s="1"/>
  <c r="X23" i="1" s="1"/>
  <c r="P19" i="1"/>
  <c r="R19" i="1"/>
  <c r="V19" i="1" s="1"/>
  <c r="X19" i="1" s="1"/>
  <c r="P15" i="1"/>
  <c r="R15" i="1"/>
  <c r="V15" i="1" s="1"/>
  <c r="X15" i="1" s="1"/>
  <c r="P11" i="1"/>
  <c r="R11" i="1"/>
  <c r="V11" i="1" s="1"/>
  <c r="X11" i="1" s="1"/>
  <c r="P7" i="1"/>
  <c r="R7" i="1"/>
  <c r="V7" i="1" s="1"/>
  <c r="X7" i="1" s="1"/>
  <c r="P3" i="1"/>
  <c r="R3" i="1"/>
  <c r="V3" i="1" s="1"/>
  <c r="X3" i="1" s="1"/>
  <c r="O2" i="1"/>
  <c r="P2" i="1"/>
  <c r="R2" i="1"/>
  <c r="V2" i="1" s="1"/>
  <c r="X2" i="1" s="1"/>
</calcChain>
</file>

<file path=xl/sharedStrings.xml><?xml version="1.0" encoding="utf-8"?>
<sst xmlns="http://schemas.openxmlformats.org/spreadsheetml/2006/main" count="120" uniqueCount="92">
  <si>
    <t>F_Sed_4m_21May18</t>
  </si>
  <si>
    <t>F_Sed_8m_28May18</t>
  </si>
  <si>
    <t>F_Sed_4m_04Jun18</t>
  </si>
  <si>
    <t>F_Sed_8m_11Jun18</t>
  </si>
  <si>
    <t>F_Sed_4m_25Jun18</t>
  </si>
  <si>
    <t>F_Sed_8m_25Jun18</t>
  </si>
  <si>
    <t>F_Sed_4m_02Jul18</t>
  </si>
  <si>
    <t>F_Sed_8m_09Jul18</t>
  </si>
  <si>
    <t>F_Sed_4m_16Jul18</t>
  </si>
  <si>
    <t>F_Sed_8m_23Jul18</t>
  </si>
  <si>
    <t>B_Sed_8m_02Aug18</t>
  </si>
  <si>
    <t>F_Sed_8m_13Aug18</t>
  </si>
  <si>
    <t>F_Sed_4m_20Aug18</t>
  </si>
  <si>
    <t>F_Sed_8m_27Aug18</t>
  </si>
  <si>
    <t>F_Sed_4m_03Sep18</t>
  </si>
  <si>
    <t>B_Sed_4m_07Sep18</t>
  </si>
  <si>
    <t>B_Sed_8m_07Sep18</t>
  </si>
  <si>
    <t>F_Sed_8m_10Sep18</t>
  </si>
  <si>
    <t>B_Sed_4m_21Sep18</t>
  </si>
  <si>
    <t>B_Sed_8m_21Sep18</t>
  </si>
  <si>
    <t>B_Sed_4m_05Oct18</t>
  </si>
  <si>
    <t>B_Sed_8m_05Oct18</t>
  </si>
  <si>
    <t>F_Sed_4m_08Oct18</t>
  </si>
  <si>
    <t>F_Sed_8m_22Oct18</t>
  </si>
  <si>
    <t>F_Sed_4m_29Oct18</t>
  </si>
  <si>
    <t>F_Sed_8m_29Oct18</t>
  </si>
  <si>
    <t>NIST Standard</t>
  </si>
  <si>
    <t>Blank</t>
  </si>
  <si>
    <t>Sample ID</t>
  </si>
  <si>
    <t>vol filtered (L)</t>
  </si>
  <si>
    <t>Total Trap Volume (L)</t>
  </si>
  <si>
    <t>sediment mass on filter (g)</t>
  </si>
  <si>
    <t>Dilution Factor (DF)</t>
  </si>
  <si>
    <t>Total Mass Fe (mg)</t>
  </si>
  <si>
    <t>Sed Concentration Fe (mg/kg)</t>
  </si>
  <si>
    <t>Sed Concentration Mn (mg/kg)</t>
  </si>
  <si>
    <t>Total Mass Mn (mg)</t>
  </si>
  <si>
    <t>Fe Flux (mg/m^2/d)</t>
  </si>
  <si>
    <t>Mn Flux (mg/m^2/d)</t>
  </si>
  <si>
    <t>sediment mass on filter (kg)</t>
  </si>
  <si>
    <t>Deployment Time (d)</t>
  </si>
  <si>
    <t>ICPMS Fe (ppb)</t>
  </si>
  <si>
    <t>ICPMS Mn (ppb)</t>
  </si>
  <si>
    <t>ICPMS Fe (mg/L)</t>
  </si>
  <si>
    <t>ICPMS Mn (mg/L)</t>
  </si>
  <si>
    <t>Trap Area m2</t>
  </si>
  <si>
    <t>Fe flux g/m2/d</t>
  </si>
  <si>
    <t>Mn flux g/m2/d</t>
  </si>
  <si>
    <t>Filter to Trap Factor</t>
  </si>
  <si>
    <t>vol acid used for digestion (L)</t>
  </si>
  <si>
    <t>Total Volume ICP sample (L)</t>
  </si>
  <si>
    <t>Volume digestate added to ICP sample (L)</t>
  </si>
  <si>
    <t>Sample</t>
  </si>
  <si>
    <t>Filter1ID</t>
  </si>
  <si>
    <t>Filter2ID</t>
  </si>
  <si>
    <t>Rack</t>
  </si>
  <si>
    <t>Carousel</t>
  </si>
  <si>
    <t>SampleNum</t>
  </si>
  <si>
    <t>Filter1Mass_g</t>
  </si>
  <si>
    <t>Filter2Mass_g</t>
  </si>
  <si>
    <t>Vol_acid_L</t>
  </si>
  <si>
    <t>Vol_acid_used_in_dilution_L</t>
  </si>
  <si>
    <t>Vol_diluted_L</t>
  </si>
  <si>
    <t>Duration_days</t>
  </si>
  <si>
    <t>11_21May18</t>
  </si>
  <si>
    <t>12_21May18</t>
  </si>
  <si>
    <t>11_04Jun18</t>
  </si>
  <si>
    <t>12_11Jun18</t>
  </si>
  <si>
    <t>11_25Jun18</t>
  </si>
  <si>
    <t>12_25Jun18</t>
  </si>
  <si>
    <t>11_02Jul18</t>
  </si>
  <si>
    <t>12_09Jul18</t>
  </si>
  <si>
    <t>11_16Jul18</t>
  </si>
  <si>
    <t>12_23Jul18</t>
  </si>
  <si>
    <t>14_02Aug18</t>
  </si>
  <si>
    <t>12_13Aug18</t>
  </si>
  <si>
    <t>11_20Aug18</t>
  </si>
  <si>
    <t>12_27Aug18</t>
  </si>
  <si>
    <t>11_03Sep18</t>
  </si>
  <si>
    <t>13_07Sep18</t>
  </si>
  <si>
    <t>14_07Sep18</t>
  </si>
  <si>
    <t>12_10Sep18</t>
  </si>
  <si>
    <t>13_21Sep18</t>
  </si>
  <si>
    <t>14_21Sep18</t>
  </si>
  <si>
    <t>13_05Oct18</t>
  </si>
  <si>
    <t>14_05Oct18</t>
  </si>
  <si>
    <t>11_08Oct18</t>
  </si>
  <si>
    <t>12_22Oct18</t>
  </si>
  <si>
    <t>11_29Oct18</t>
  </si>
  <si>
    <t>12_29Oct18</t>
  </si>
  <si>
    <t>9_1</t>
  </si>
  <si>
    <t>10_1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</si>
</sst>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E+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/>
    <xf numFmtId="164" fontId="0" fillId="0" borderId="10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34" borderId="12" xfId="0" applyNumberFormat="1" applyFill="1" applyBorder="1"/>
    <xf numFmtId="164" fontId="0" fillId="0" borderId="13" xfId="0" applyNumberFormat="1" applyBorder="1"/>
    <xf numFmtId="164" fontId="0" fillId="0" borderId="12" xfId="0" applyNumberFormat="1" applyBorder="1"/>
    <xf numFmtId="164" fontId="18" fillId="0" borderId="14" xfId="0" applyNumberFormat="1" applyFont="1" applyBorder="1"/>
    <xf numFmtId="164" fontId="0" fillId="0" borderId="15" xfId="0" applyNumberFormat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2" fontId="0" fillId="0" borderId="12" xfId="0" applyNumberFormat="1" applyBorder="1"/>
    <xf numFmtId="2" fontId="0" fillId="0" borderId="14" xfId="0" applyNumberFormat="1" applyBorder="1"/>
    <xf numFmtId="0" fontId="0" fillId="33" borderId="10" xfId="0" applyFill="1" applyBorder="1" applyAlignment="1">
      <alignment wrapText="1"/>
    </xf>
    <xf numFmtId="0" fontId="0" fillId="33" borderId="11" xfId="0" applyFill="1" applyBorder="1" applyAlignment="1">
      <alignment wrapText="1"/>
    </xf>
    <xf numFmtId="2" fontId="0" fillId="33" borderId="12" xfId="0" applyNumberFormat="1" applyFill="1" applyBorder="1"/>
    <xf numFmtId="2" fontId="0" fillId="33" borderId="13" xfId="0" applyNumberFormat="1" applyFill="1" applyBorder="1"/>
    <xf numFmtId="2" fontId="0" fillId="33" borderId="14" xfId="0" applyNumberFormat="1" applyFill="1" applyBorder="1"/>
    <xf numFmtId="2" fontId="0" fillId="33" borderId="15" xfId="0" applyNumberFormat="1" applyFill="1" applyBorder="1"/>
    <xf numFmtId="165" fontId="0" fillId="0" borderId="0" xfId="0" applyNumberFormat="1"/>
    <xf numFmtId="2" fontId="0" fillId="0" borderId="13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166" fontId="0" fillId="0" borderId="10" xfId="0" applyNumberFormat="1" applyBorder="1" applyAlignment="1">
      <alignment wrapText="1"/>
    </xf>
    <xf numFmtId="166" fontId="0" fillId="0" borderId="11" xfId="0" applyNumberFormat="1" applyBorder="1" applyAlignment="1">
      <alignment wrapText="1"/>
    </xf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15" xfId="0" applyNumberFormat="1" applyBorder="1"/>
    <xf numFmtId="2" fontId="0" fillId="34" borderId="12" xfId="0" applyNumberFormat="1" applyFill="1" applyBorder="1"/>
    <xf numFmtId="166" fontId="0" fillId="34" borderId="12" xfId="0" applyNumberFormat="1" applyFill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462715D-3E86-4A16-BE7F-20B662892AEF}"/>
    <cellStyle name="60% - Accent2 2" xfId="37" xr:uid="{540820F3-8640-4F80-B789-E9F03B11EA04}"/>
    <cellStyle name="60% - Accent3 2" xfId="38" xr:uid="{C3C66901-9928-4B30-BB70-71DA3A5B603C}"/>
    <cellStyle name="60% - Accent4 2" xfId="39" xr:uid="{630F859F-6D72-46DD-8810-10EE99A36E53}"/>
    <cellStyle name="60% - Accent5 2" xfId="40" xr:uid="{1AD114F4-805E-4262-8798-95891FDA6480}"/>
    <cellStyle name="60% - Accent6 2" xfId="41" xr:uid="{77701B07-936B-4430-9671-04931562DD9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975A2587-EE71-4903-A74A-13CA78D63164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F8B7-E13A-AC4D-9E96-F46CE7E45C88}">
  <dimension ref="A1:L29"/>
  <sheetViews>
    <sheetView tabSelected="1" zoomScale="130" zoomScaleNormal="130" workbookViewId="0">
      <selection activeCell="A2" sqref="A2:A29"/>
    </sheetView>
  </sheetViews>
  <sheetFormatPr baseColWidth="10" defaultRowHeight="15" x14ac:dyDescent="0.2"/>
  <cols>
    <col min="2" max="2" width="17" bestFit="1" customWidth="1"/>
    <col min="3" max="9" width="10.83203125" customWidth="1"/>
    <col min="10" max="10" width="23.33203125" customWidth="1"/>
    <col min="11" max="11" width="10.83203125" customWidth="1"/>
  </cols>
  <sheetData>
    <row r="1" spans="1:12" x14ac:dyDescent="0.2">
      <c r="A1" s="33" t="s">
        <v>52</v>
      </c>
      <c r="B1" s="33" t="s">
        <v>53</v>
      </c>
      <c r="C1" s="33" t="s">
        <v>54</v>
      </c>
      <c r="D1" s="33" t="s">
        <v>55</v>
      </c>
      <c r="E1" s="33" t="s">
        <v>56</v>
      </c>
      <c r="F1" s="33" t="s">
        <v>57</v>
      </c>
      <c r="G1" s="33" t="s">
        <v>58</v>
      </c>
      <c r="H1" s="34" t="s">
        <v>59</v>
      </c>
      <c r="I1" s="33" t="s">
        <v>60</v>
      </c>
      <c r="J1" s="33" t="s">
        <v>61</v>
      </c>
      <c r="K1" s="33" t="s">
        <v>62</v>
      </c>
      <c r="L1" s="35" t="s">
        <v>63</v>
      </c>
    </row>
    <row r="2" spans="1:12" x14ac:dyDescent="0.2">
      <c r="A2" t="s">
        <v>64</v>
      </c>
      <c r="B2" t="s">
        <v>0</v>
      </c>
      <c r="I2">
        <v>0.01</v>
      </c>
      <c r="J2">
        <v>5.0000000000000001E-4</v>
      </c>
      <c r="K2">
        <v>0.01</v>
      </c>
      <c r="L2">
        <v>14</v>
      </c>
    </row>
    <row r="3" spans="1:12" x14ac:dyDescent="0.2">
      <c r="A3" t="s">
        <v>65</v>
      </c>
      <c r="B3" t="s">
        <v>1</v>
      </c>
      <c r="I3">
        <v>0.01</v>
      </c>
      <c r="J3">
        <v>5.0000000000000001E-4</v>
      </c>
      <c r="K3">
        <v>0.01</v>
      </c>
      <c r="L3">
        <v>14</v>
      </c>
    </row>
    <row r="4" spans="1:12" x14ac:dyDescent="0.2">
      <c r="A4" t="s">
        <v>66</v>
      </c>
      <c r="B4" t="s">
        <v>2</v>
      </c>
      <c r="I4">
        <v>0.01</v>
      </c>
      <c r="J4">
        <v>5.0000000000000001E-4</v>
      </c>
      <c r="K4">
        <v>0.01</v>
      </c>
      <c r="L4">
        <v>14</v>
      </c>
    </row>
    <row r="5" spans="1:12" x14ac:dyDescent="0.2">
      <c r="A5" t="s">
        <v>67</v>
      </c>
      <c r="B5" t="s">
        <v>3</v>
      </c>
      <c r="I5">
        <v>0.01</v>
      </c>
      <c r="J5">
        <v>5.0000000000000001E-4</v>
      </c>
      <c r="K5">
        <v>0.01</v>
      </c>
      <c r="L5">
        <v>14</v>
      </c>
    </row>
    <row r="6" spans="1:12" x14ac:dyDescent="0.2">
      <c r="A6" t="s">
        <v>68</v>
      </c>
      <c r="B6" t="s">
        <v>4</v>
      </c>
      <c r="I6">
        <v>0.01</v>
      </c>
      <c r="J6">
        <v>5.0000000000000001E-4</v>
      </c>
      <c r="K6">
        <v>0.01</v>
      </c>
      <c r="L6">
        <v>21</v>
      </c>
    </row>
    <row r="7" spans="1:12" x14ac:dyDescent="0.2">
      <c r="A7" t="s">
        <v>69</v>
      </c>
      <c r="B7" t="s">
        <v>5</v>
      </c>
      <c r="I7">
        <v>0.01</v>
      </c>
      <c r="J7">
        <v>5.0000000000000001E-4</v>
      </c>
      <c r="K7">
        <v>0.01</v>
      </c>
      <c r="L7">
        <v>14</v>
      </c>
    </row>
    <row r="8" spans="1:12" x14ac:dyDescent="0.2">
      <c r="A8" t="s">
        <v>70</v>
      </c>
      <c r="B8" t="s">
        <v>6</v>
      </c>
      <c r="I8">
        <v>0.01</v>
      </c>
      <c r="J8">
        <v>5.0000000000000001E-4</v>
      </c>
      <c r="K8">
        <v>0.01</v>
      </c>
      <c r="L8">
        <v>7</v>
      </c>
    </row>
    <row r="9" spans="1:12" x14ac:dyDescent="0.2">
      <c r="A9" t="s">
        <v>71</v>
      </c>
      <c r="B9" t="s">
        <v>7</v>
      </c>
      <c r="I9">
        <v>9.9000000000000008E-3</v>
      </c>
      <c r="J9">
        <v>5.0000000000000001E-4</v>
      </c>
      <c r="K9">
        <v>0.01</v>
      </c>
      <c r="L9">
        <v>14</v>
      </c>
    </row>
    <row r="10" spans="1:12" x14ac:dyDescent="0.2">
      <c r="A10" t="s">
        <v>72</v>
      </c>
      <c r="B10" t="s">
        <v>8</v>
      </c>
      <c r="I10">
        <v>0.01</v>
      </c>
      <c r="J10">
        <v>5.0000000000000001E-4</v>
      </c>
      <c r="K10">
        <v>0.01</v>
      </c>
      <c r="L10">
        <v>14</v>
      </c>
    </row>
    <row r="11" spans="1:12" x14ac:dyDescent="0.2">
      <c r="A11" t="s">
        <v>73</v>
      </c>
      <c r="B11" t="s">
        <v>9</v>
      </c>
      <c r="I11">
        <v>9.9000000000000008E-3</v>
      </c>
      <c r="J11">
        <v>5.0000000000000001E-4</v>
      </c>
      <c r="K11">
        <v>0.01</v>
      </c>
      <c r="L11">
        <v>14</v>
      </c>
    </row>
    <row r="12" spans="1:12" x14ac:dyDescent="0.2">
      <c r="A12" t="s">
        <v>74</v>
      </c>
      <c r="B12" t="s">
        <v>10</v>
      </c>
      <c r="I12">
        <v>9.9000000000000008E-3</v>
      </c>
      <c r="J12">
        <v>5.0000000000000001E-4</v>
      </c>
      <c r="K12">
        <v>0.01</v>
      </c>
      <c r="L12">
        <v>14</v>
      </c>
    </row>
    <row r="13" spans="1:12" x14ac:dyDescent="0.2">
      <c r="A13" t="s">
        <v>75</v>
      </c>
      <c r="B13" t="s">
        <v>11</v>
      </c>
      <c r="I13">
        <v>0.01</v>
      </c>
      <c r="J13">
        <v>5.0000000000000001E-4</v>
      </c>
      <c r="K13">
        <v>0.01</v>
      </c>
      <c r="L13">
        <v>21</v>
      </c>
    </row>
    <row r="14" spans="1:12" x14ac:dyDescent="0.2">
      <c r="A14" t="s">
        <v>76</v>
      </c>
      <c r="B14" t="s">
        <v>12</v>
      </c>
      <c r="I14">
        <v>0.01</v>
      </c>
      <c r="J14">
        <v>5.0000000000000001E-4</v>
      </c>
      <c r="K14">
        <v>0.01</v>
      </c>
      <c r="L14">
        <v>35</v>
      </c>
    </row>
    <row r="15" spans="1:12" x14ac:dyDescent="0.2">
      <c r="A15" t="s">
        <v>77</v>
      </c>
      <c r="B15" t="s">
        <v>13</v>
      </c>
      <c r="I15">
        <v>0.01</v>
      </c>
      <c r="J15">
        <v>5.0000000000000001E-4</v>
      </c>
      <c r="K15">
        <v>0.01</v>
      </c>
      <c r="L15">
        <v>14</v>
      </c>
    </row>
    <row r="16" spans="1:12" x14ac:dyDescent="0.2">
      <c r="A16" t="s">
        <v>78</v>
      </c>
      <c r="B16" t="s">
        <v>14</v>
      </c>
      <c r="I16">
        <v>9.9000000000000008E-3</v>
      </c>
      <c r="J16">
        <v>5.0000000000000001E-4</v>
      </c>
      <c r="K16">
        <v>0.01</v>
      </c>
      <c r="L16">
        <v>14</v>
      </c>
    </row>
    <row r="17" spans="1:12" x14ac:dyDescent="0.2">
      <c r="A17" t="s">
        <v>79</v>
      </c>
      <c r="B17" t="s">
        <v>15</v>
      </c>
      <c r="I17">
        <v>9.9000000000000008E-3</v>
      </c>
      <c r="J17">
        <v>5.0000000000000001E-4</v>
      </c>
      <c r="K17">
        <v>0.01</v>
      </c>
      <c r="L17">
        <v>14</v>
      </c>
    </row>
    <row r="18" spans="1:12" x14ac:dyDescent="0.2">
      <c r="A18" t="s">
        <v>80</v>
      </c>
      <c r="B18" t="s">
        <v>16</v>
      </c>
      <c r="I18">
        <v>9.9000000000000008E-3</v>
      </c>
      <c r="J18">
        <v>5.0000000000000001E-4</v>
      </c>
      <c r="K18">
        <v>0.01</v>
      </c>
      <c r="L18">
        <v>36</v>
      </c>
    </row>
    <row r="19" spans="1:12" x14ac:dyDescent="0.2">
      <c r="A19" t="s">
        <v>81</v>
      </c>
      <c r="B19" t="s">
        <v>17</v>
      </c>
      <c r="I19">
        <v>9.9000000000000008E-3</v>
      </c>
      <c r="J19">
        <v>5.0000000000000001E-4</v>
      </c>
      <c r="K19">
        <v>0.01</v>
      </c>
      <c r="L19">
        <v>14</v>
      </c>
    </row>
    <row r="20" spans="1:12" x14ac:dyDescent="0.2">
      <c r="A20" t="s">
        <v>82</v>
      </c>
      <c r="B20" t="s">
        <v>18</v>
      </c>
      <c r="I20">
        <v>9.7999999999999997E-3</v>
      </c>
      <c r="J20">
        <v>5.0000000000000001E-4</v>
      </c>
      <c r="K20">
        <v>0.01</v>
      </c>
      <c r="L20">
        <v>14</v>
      </c>
    </row>
    <row r="21" spans="1:12" x14ac:dyDescent="0.2">
      <c r="A21" t="s">
        <v>83</v>
      </c>
      <c r="B21" t="s">
        <v>19</v>
      </c>
      <c r="I21">
        <v>9.7999999999999997E-3</v>
      </c>
      <c r="J21">
        <v>5.0000000000000001E-4</v>
      </c>
      <c r="K21">
        <v>0.01</v>
      </c>
      <c r="L21">
        <v>14</v>
      </c>
    </row>
    <row r="22" spans="1:12" x14ac:dyDescent="0.2">
      <c r="A22" t="s">
        <v>84</v>
      </c>
      <c r="B22" t="s">
        <v>20</v>
      </c>
      <c r="I22">
        <v>9.7999999999999997E-3</v>
      </c>
      <c r="J22">
        <v>5.0000000000000001E-4</v>
      </c>
      <c r="K22">
        <v>0.01</v>
      </c>
      <c r="L22">
        <v>14</v>
      </c>
    </row>
    <row r="23" spans="1:12" x14ac:dyDescent="0.2">
      <c r="A23" t="s">
        <v>85</v>
      </c>
      <c r="B23" t="s">
        <v>21</v>
      </c>
      <c r="I23">
        <v>9.7999999999999997E-3</v>
      </c>
      <c r="J23">
        <v>5.0000000000000001E-4</v>
      </c>
      <c r="K23">
        <v>0.01</v>
      </c>
      <c r="L23">
        <v>14</v>
      </c>
    </row>
    <row r="24" spans="1:12" x14ac:dyDescent="0.2">
      <c r="A24" t="s">
        <v>86</v>
      </c>
      <c r="B24" t="s">
        <v>22</v>
      </c>
      <c r="I24">
        <v>9.7999999999999997E-3</v>
      </c>
      <c r="J24">
        <v>5.0000000000000001E-4</v>
      </c>
      <c r="K24">
        <v>0.01</v>
      </c>
      <c r="L24">
        <v>35</v>
      </c>
    </row>
    <row r="25" spans="1:12" x14ac:dyDescent="0.2">
      <c r="A25" t="s">
        <v>87</v>
      </c>
      <c r="B25" t="s">
        <v>23</v>
      </c>
      <c r="I25">
        <v>9.7999999999999997E-3</v>
      </c>
      <c r="J25">
        <v>5.0000000000000001E-4</v>
      </c>
      <c r="K25">
        <v>0.01</v>
      </c>
      <c r="L25">
        <v>42</v>
      </c>
    </row>
    <row r="26" spans="1:12" x14ac:dyDescent="0.2">
      <c r="A26" t="s">
        <v>88</v>
      </c>
      <c r="B26" t="s">
        <v>24</v>
      </c>
      <c r="I26">
        <v>9.7999999999999997E-3</v>
      </c>
      <c r="J26">
        <v>5.0000000000000001E-4</v>
      </c>
      <c r="K26">
        <v>0.01</v>
      </c>
      <c r="L26">
        <v>21</v>
      </c>
    </row>
    <row r="27" spans="1:12" x14ac:dyDescent="0.2">
      <c r="A27" t="s">
        <v>89</v>
      </c>
      <c r="B27" t="s">
        <v>25</v>
      </c>
      <c r="I27">
        <v>9.7999999999999997E-3</v>
      </c>
      <c r="J27">
        <v>5.0000000000000001E-4</v>
      </c>
      <c r="K27">
        <v>0.01</v>
      </c>
      <c r="L27">
        <v>7</v>
      </c>
    </row>
    <row r="28" spans="1:12" x14ac:dyDescent="0.2">
      <c r="A28" t="s">
        <v>90</v>
      </c>
      <c r="B28" t="s">
        <v>26</v>
      </c>
    </row>
    <row r="29" spans="1:12" x14ac:dyDescent="0.2">
      <c r="A29" t="s">
        <v>91</v>
      </c>
      <c r="B2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580E-0C58-436C-8D1C-2CFE0CAF4219}">
  <dimension ref="A1:X36"/>
  <sheetViews>
    <sheetView workbookViewId="0">
      <selection activeCell="B36" sqref="B36"/>
    </sheetView>
  </sheetViews>
  <sheetFormatPr baseColWidth="10" defaultColWidth="8.83203125" defaultRowHeight="15" x14ac:dyDescent="0.2"/>
  <cols>
    <col min="1" max="1" width="24" customWidth="1"/>
    <col min="2" max="3" width="10.1640625" customWidth="1"/>
    <col min="5" max="5" width="10.5" customWidth="1"/>
    <col min="6" max="6" width="10" customWidth="1"/>
    <col min="7" max="7" width="14.33203125" customWidth="1"/>
    <col min="8" max="8" width="14.83203125" customWidth="1"/>
    <col min="9" max="9" width="11.33203125" customWidth="1"/>
    <col min="10" max="10" width="14.33203125" customWidth="1"/>
    <col min="11" max="11" width="10.6640625" customWidth="1"/>
    <col min="12" max="12" width="9.83203125" customWidth="1"/>
    <col min="13" max="13" width="8.6640625" customWidth="1"/>
    <col min="14" max="14" width="11.6640625" customWidth="1"/>
    <col min="15" max="16" width="16.1640625" customWidth="1"/>
    <col min="17" max="17" width="12.33203125" customWidth="1"/>
    <col min="18" max="19" width="12.5" customWidth="1"/>
    <col min="20" max="20" width="10.83203125" customWidth="1"/>
    <col min="21" max="21" width="10.1640625" customWidth="1"/>
    <col min="22" max="22" width="10.6640625" customWidth="1"/>
  </cols>
  <sheetData>
    <row r="1" spans="1:24" s="1" customFormat="1" ht="64" x14ac:dyDescent="0.2">
      <c r="A1" s="1" t="s">
        <v>28</v>
      </c>
      <c r="B1" s="5" t="s">
        <v>41</v>
      </c>
      <c r="C1" s="6" t="s">
        <v>42</v>
      </c>
      <c r="D1" s="2" t="s">
        <v>43</v>
      </c>
      <c r="E1" s="2" t="s">
        <v>44</v>
      </c>
      <c r="F1" s="1" t="s">
        <v>49</v>
      </c>
      <c r="G1" s="2" t="s">
        <v>31</v>
      </c>
      <c r="H1" s="2" t="s">
        <v>39</v>
      </c>
      <c r="I1" s="1" t="s">
        <v>50</v>
      </c>
      <c r="J1" s="1" t="s">
        <v>51</v>
      </c>
      <c r="K1" s="1" t="s">
        <v>32</v>
      </c>
      <c r="L1" s="1" t="s">
        <v>30</v>
      </c>
      <c r="M1" s="1" t="s">
        <v>29</v>
      </c>
      <c r="N1" s="2" t="s">
        <v>48</v>
      </c>
      <c r="O1" s="16" t="s">
        <v>34</v>
      </c>
      <c r="P1" s="17" t="s">
        <v>35</v>
      </c>
      <c r="Q1" s="16" t="s">
        <v>33</v>
      </c>
      <c r="R1" s="17" t="s">
        <v>36</v>
      </c>
      <c r="S1" s="1" t="s">
        <v>45</v>
      </c>
      <c r="T1" s="1" t="s">
        <v>40</v>
      </c>
      <c r="U1" s="12" t="s">
        <v>37</v>
      </c>
      <c r="V1" s="13" t="s">
        <v>38</v>
      </c>
      <c r="W1" s="25" t="s">
        <v>46</v>
      </c>
      <c r="X1" s="26" t="s">
        <v>47</v>
      </c>
    </row>
    <row r="2" spans="1:24" x14ac:dyDescent="0.2">
      <c r="A2" t="s">
        <v>0</v>
      </c>
      <c r="B2" s="7">
        <v>8329.2090733140703</v>
      </c>
      <c r="C2" s="8">
        <v>607.97343166726205</v>
      </c>
      <c r="D2" s="3">
        <f t="shared" ref="D2:D29" si="0">B2/1000</f>
        <v>8.32920907331407</v>
      </c>
      <c r="E2" s="3">
        <f t="shared" ref="E2:E29" si="1">C2/1000</f>
        <v>0.60797343166726203</v>
      </c>
      <c r="F2">
        <v>0.01</v>
      </c>
      <c r="G2" s="3">
        <f>(0.16937-0.15815)+(0.17119-0.159)</f>
        <v>2.3409999999999986E-2</v>
      </c>
      <c r="H2" s="3">
        <f>G2/1000</f>
        <v>2.3409999999999988E-5</v>
      </c>
      <c r="I2">
        <v>0.01</v>
      </c>
      <c r="J2">
        <v>5.0000000000000001E-4</v>
      </c>
      <c r="K2" s="3">
        <f>I2/J2</f>
        <v>20</v>
      </c>
      <c r="L2">
        <v>2</v>
      </c>
      <c r="M2">
        <f>0.2+0.197</f>
        <v>0.39700000000000002</v>
      </c>
      <c r="N2" s="3">
        <f>L2/(M2)</f>
        <v>5.0377833753148611</v>
      </c>
      <c r="O2" s="31">
        <f t="shared" ref="O2:O27" si="2">D2*(F2/H2)*K2</f>
        <v>71159.411134678114</v>
      </c>
      <c r="P2" s="19">
        <f t="shared" ref="P2:P27" si="3">E2*(F2/H2)*K2</f>
        <v>5194.1344012581148</v>
      </c>
      <c r="Q2" s="18">
        <f t="shared" ref="Q2:Q27" si="4">D2*F2*K2*N2</f>
        <v>8.3921501998126651</v>
      </c>
      <c r="R2" s="19">
        <f t="shared" ref="R2:R27" si="5">E2*F2*K2*N2</f>
        <v>0.61256768933729167</v>
      </c>
      <c r="S2" s="22">
        <v>4.0714999999999996E-3</v>
      </c>
      <c r="T2">
        <v>14</v>
      </c>
      <c r="U2" s="31">
        <f>(Q2/S2)/T2</f>
        <v>147.22812231035712</v>
      </c>
      <c r="V2" s="23">
        <f>(R2/S2)/T2</f>
        <v>10.746613030250202</v>
      </c>
      <c r="W2" s="32">
        <f>U2/1000</f>
        <v>0.14722812231035712</v>
      </c>
      <c r="X2" s="28">
        <f>V2/1000</f>
        <v>1.0746613030250202E-2</v>
      </c>
    </row>
    <row r="3" spans="1:24" x14ac:dyDescent="0.2">
      <c r="A3" t="s">
        <v>1</v>
      </c>
      <c r="B3" s="9">
        <v>7076.2519435140584</v>
      </c>
      <c r="C3" s="8">
        <v>846.13447277027853</v>
      </c>
      <c r="D3" s="3">
        <f t="shared" si="0"/>
        <v>7.0762519435140581</v>
      </c>
      <c r="E3" s="3">
        <f t="shared" si="1"/>
        <v>0.84613447277027853</v>
      </c>
      <c r="F3">
        <v>0.01</v>
      </c>
      <c r="G3" s="3">
        <f>(0.16874-0.16138)+(0.16769-0.15971)</f>
        <v>1.534000000000002E-2</v>
      </c>
      <c r="H3" s="3">
        <f t="shared" ref="H3:H27" si="6">G3/1000</f>
        <v>1.5340000000000019E-5</v>
      </c>
      <c r="I3">
        <v>0.01</v>
      </c>
      <c r="J3">
        <v>5.0000000000000001E-4</v>
      </c>
      <c r="K3" s="3">
        <f>I3/J3</f>
        <v>20</v>
      </c>
      <c r="L3">
        <v>2</v>
      </c>
      <c r="M3">
        <f>0.151+0.149</f>
        <v>0.3</v>
      </c>
      <c r="N3" s="3">
        <f t="shared" ref="N3:N27" si="7">L3/(M3)</f>
        <v>6.666666666666667</v>
      </c>
      <c r="O3" s="18">
        <f t="shared" si="2"/>
        <v>92258.825860678611</v>
      </c>
      <c r="P3" s="19">
        <f t="shared" si="3"/>
        <v>11031.740192572066</v>
      </c>
      <c r="Q3" s="18">
        <f t="shared" si="4"/>
        <v>9.4350025913520774</v>
      </c>
      <c r="R3" s="19">
        <f t="shared" si="5"/>
        <v>1.1281792970270381</v>
      </c>
      <c r="S3" s="22">
        <v>4.0714999999999996E-3</v>
      </c>
      <c r="T3">
        <v>14</v>
      </c>
      <c r="U3" s="14">
        <f t="shared" ref="U3:U27" si="8">(Q3/S3)/T3</f>
        <v>165.52345733148678</v>
      </c>
      <c r="V3" s="23">
        <f t="shared" ref="V3:V27" si="9">(R3/S3)/T3</f>
        <v>19.792272013246052</v>
      </c>
      <c r="W3" s="27">
        <f t="shared" ref="W3:W27" si="10">U3/1000</f>
        <v>0.1655234573314868</v>
      </c>
      <c r="X3" s="28">
        <f t="shared" ref="X3:X27" si="11">V3/1000</f>
        <v>1.9792272013246053E-2</v>
      </c>
    </row>
    <row r="4" spans="1:24" x14ac:dyDescent="0.2">
      <c r="A4" t="s">
        <v>2</v>
      </c>
      <c r="B4" s="9">
        <v>9000.3643070033013</v>
      </c>
      <c r="C4" s="8">
        <v>876.63048819586527</v>
      </c>
      <c r="D4" s="3">
        <f t="shared" si="0"/>
        <v>9.0003643070033021</v>
      </c>
      <c r="E4" s="3">
        <f t="shared" si="1"/>
        <v>0.87663048819586531</v>
      </c>
      <c r="F4">
        <v>0.01</v>
      </c>
      <c r="G4" s="3">
        <f>(0.17385-0.16143)+(0.16952-0.1585)</f>
        <v>2.3440000000000016E-2</v>
      </c>
      <c r="H4" s="3">
        <f t="shared" si="6"/>
        <v>2.3440000000000016E-5</v>
      </c>
      <c r="I4">
        <v>0.01</v>
      </c>
      <c r="J4">
        <v>5.0000000000000001E-4</v>
      </c>
      <c r="K4" s="3">
        <f t="shared" ref="K4:K27" si="12">I4/J4</f>
        <v>20</v>
      </c>
      <c r="L4">
        <v>2</v>
      </c>
      <c r="M4">
        <f>0.1+0.101</f>
        <v>0.20100000000000001</v>
      </c>
      <c r="N4" s="3">
        <f t="shared" si="7"/>
        <v>9.9502487562189046</v>
      </c>
      <c r="O4" s="18">
        <f t="shared" si="2"/>
        <v>76794.917295249965</v>
      </c>
      <c r="P4" s="19">
        <f t="shared" si="3"/>
        <v>7479.7823224903132</v>
      </c>
      <c r="Q4" s="18">
        <f t="shared" si="4"/>
        <v>17.911172750255329</v>
      </c>
      <c r="R4" s="19">
        <f t="shared" si="5"/>
        <v>1.744538284966896</v>
      </c>
      <c r="S4" s="22">
        <v>4.0714999999999996E-3</v>
      </c>
      <c r="T4">
        <v>14</v>
      </c>
      <c r="U4" s="14">
        <f t="shared" si="8"/>
        <v>314.22558815205576</v>
      </c>
      <c r="V4" s="23">
        <f t="shared" si="9"/>
        <v>30.605397887175595</v>
      </c>
      <c r="W4" s="27">
        <f t="shared" si="10"/>
        <v>0.31422558815205576</v>
      </c>
      <c r="X4" s="28">
        <f t="shared" si="11"/>
        <v>3.0605397887175596E-2</v>
      </c>
    </row>
    <row r="5" spans="1:24" x14ac:dyDescent="0.2">
      <c r="A5" t="s">
        <v>3</v>
      </c>
      <c r="B5" s="9">
        <v>11511.316158877677</v>
      </c>
      <c r="C5" s="8">
        <v>1001.363413208304</v>
      </c>
      <c r="D5" s="3">
        <f t="shared" si="0"/>
        <v>11.511316158877676</v>
      </c>
      <c r="E5" s="3">
        <f t="shared" si="1"/>
        <v>1.001363413208304</v>
      </c>
      <c r="F5">
        <v>0.01</v>
      </c>
      <c r="G5" s="3">
        <f>(0.16646-0.15742)+(0.16475-0.15608)</f>
        <v>1.7710000000000004E-2</v>
      </c>
      <c r="H5" s="3">
        <f t="shared" si="6"/>
        <v>1.7710000000000005E-5</v>
      </c>
      <c r="I5">
        <v>0.01</v>
      </c>
      <c r="J5">
        <v>5.0000000000000001E-4</v>
      </c>
      <c r="K5" s="3">
        <f t="shared" si="12"/>
        <v>20</v>
      </c>
      <c r="L5">
        <v>2</v>
      </c>
      <c r="M5">
        <f>0.1+0.099</f>
        <v>0.19900000000000001</v>
      </c>
      <c r="N5" s="3">
        <f t="shared" si="7"/>
        <v>10.050251256281406</v>
      </c>
      <c r="O5" s="18">
        <f t="shared" si="2"/>
        <v>129997.92387213634</v>
      </c>
      <c r="P5" s="19">
        <f t="shared" si="3"/>
        <v>11308.451871352951</v>
      </c>
      <c r="Q5" s="18">
        <f t="shared" si="4"/>
        <v>23.138323937442568</v>
      </c>
      <c r="R5" s="19">
        <f t="shared" si="5"/>
        <v>2.0127907803181988</v>
      </c>
      <c r="S5" s="22">
        <v>4.0714999999999996E-3</v>
      </c>
      <c r="T5">
        <v>14</v>
      </c>
      <c r="U5" s="14">
        <f t="shared" si="8"/>
        <v>405.92838612379728</v>
      </c>
      <c r="V5" s="23">
        <f t="shared" si="9"/>
        <v>35.311499452960454</v>
      </c>
      <c r="W5" s="27">
        <f t="shared" si="10"/>
        <v>0.40592838612379728</v>
      </c>
      <c r="X5" s="28">
        <f t="shared" si="11"/>
        <v>3.5311499452960457E-2</v>
      </c>
    </row>
    <row r="6" spans="1:24" x14ac:dyDescent="0.2">
      <c r="A6" t="s">
        <v>4</v>
      </c>
      <c r="B6" s="9">
        <v>4948.4382878277129</v>
      </c>
      <c r="C6" s="8">
        <v>420.63165751942694</v>
      </c>
      <c r="D6" s="3">
        <f t="shared" si="0"/>
        <v>4.9484382878277131</v>
      </c>
      <c r="E6" s="3">
        <f t="shared" si="1"/>
        <v>0.42063165751942694</v>
      </c>
      <c r="F6">
        <v>0.01</v>
      </c>
      <c r="G6" s="3">
        <f>(0.15866-0.15574)+(0.15941-0.15605)</f>
        <v>6.2800000000000078E-3</v>
      </c>
      <c r="H6" s="3">
        <f t="shared" si="6"/>
        <v>6.2800000000000076E-6</v>
      </c>
      <c r="I6">
        <v>0.01</v>
      </c>
      <c r="J6">
        <v>5.0000000000000001E-4</v>
      </c>
      <c r="K6" s="3">
        <f t="shared" si="12"/>
        <v>20</v>
      </c>
      <c r="L6">
        <v>2</v>
      </c>
      <c r="M6">
        <f>0.085+0.084</f>
        <v>0.16900000000000001</v>
      </c>
      <c r="N6" s="3">
        <f t="shared" si="7"/>
        <v>11.834319526627219</v>
      </c>
      <c r="O6" s="18">
        <f t="shared" si="2"/>
        <v>157593.57604546839</v>
      </c>
      <c r="P6" s="19">
        <f t="shared" si="3"/>
        <v>13395.912659854346</v>
      </c>
      <c r="Q6" s="18">
        <f t="shared" si="4"/>
        <v>11.712279971189854</v>
      </c>
      <c r="R6" s="19">
        <f t="shared" si="5"/>
        <v>0.99557788761994548</v>
      </c>
      <c r="S6" s="22">
        <v>4.0714999999999996E-3</v>
      </c>
      <c r="T6">
        <v>21</v>
      </c>
      <c r="U6" s="14">
        <f t="shared" si="8"/>
        <v>136.98332744092039</v>
      </c>
      <c r="V6" s="23">
        <f t="shared" si="9"/>
        <v>11.643981539738432</v>
      </c>
      <c r="W6" s="27">
        <f t="shared" si="10"/>
        <v>0.1369833274409204</v>
      </c>
      <c r="X6" s="28">
        <f t="shared" si="11"/>
        <v>1.1643981539738432E-2</v>
      </c>
    </row>
    <row r="7" spans="1:24" x14ac:dyDescent="0.2">
      <c r="A7" t="s">
        <v>5</v>
      </c>
      <c r="B7" s="9">
        <v>11269.131079760415</v>
      </c>
      <c r="C7" s="8">
        <v>1938.9023891500881</v>
      </c>
      <c r="D7" s="3">
        <f t="shared" si="0"/>
        <v>11.269131079760415</v>
      </c>
      <c r="E7" s="3">
        <f t="shared" si="1"/>
        <v>1.9389023891500881</v>
      </c>
      <c r="F7">
        <v>0.01</v>
      </c>
      <c r="G7" s="3">
        <f>(0.16292-0.15834)+(0.16228-0.15727)</f>
        <v>9.5900000000000152E-3</v>
      </c>
      <c r="H7" s="3">
        <f t="shared" si="6"/>
        <v>9.5900000000000149E-6</v>
      </c>
      <c r="I7">
        <v>0.01</v>
      </c>
      <c r="J7">
        <v>5.0000000000000001E-4</v>
      </c>
      <c r="K7" s="3">
        <f t="shared" si="12"/>
        <v>20</v>
      </c>
      <c r="L7">
        <v>2</v>
      </c>
      <c r="M7">
        <f>0.08+0.079</f>
        <v>0.159</v>
      </c>
      <c r="N7" s="3">
        <f t="shared" si="7"/>
        <v>12.578616352201257</v>
      </c>
      <c r="O7" s="18">
        <f t="shared" si="2"/>
        <v>235018.37496893425</v>
      </c>
      <c r="P7" s="19">
        <f t="shared" si="3"/>
        <v>40435.920524506466</v>
      </c>
      <c r="Q7" s="18">
        <f t="shared" si="4"/>
        <v>28.350015294994751</v>
      </c>
      <c r="R7" s="19">
        <f t="shared" si="5"/>
        <v>4.8777418594970765</v>
      </c>
      <c r="S7" s="22">
        <v>4.0714999999999996E-3</v>
      </c>
      <c r="T7">
        <v>14</v>
      </c>
      <c r="U7" s="14">
        <f t="shared" si="8"/>
        <v>497.35996377247335</v>
      </c>
      <c r="V7" s="23">
        <f t="shared" si="9"/>
        <v>85.57291730841699</v>
      </c>
      <c r="W7" s="27">
        <f t="shared" si="10"/>
        <v>0.49735996377247332</v>
      </c>
      <c r="X7" s="28">
        <f t="shared" si="11"/>
        <v>8.5572917308416985E-2</v>
      </c>
    </row>
    <row r="8" spans="1:24" x14ac:dyDescent="0.2">
      <c r="A8" t="s">
        <v>6</v>
      </c>
      <c r="B8" s="9">
        <v>3462.5270507203954</v>
      </c>
      <c r="C8" s="8">
        <v>306.96760531654809</v>
      </c>
      <c r="D8" s="3">
        <f t="shared" si="0"/>
        <v>3.4625270507203956</v>
      </c>
      <c r="E8" s="3">
        <f t="shared" si="1"/>
        <v>0.3069676053165481</v>
      </c>
      <c r="F8">
        <v>0.01</v>
      </c>
      <c r="G8" s="3">
        <f>(0.15996-0.15767)+(0.15821-0.15521)</f>
        <v>5.2899999999999892E-3</v>
      </c>
      <c r="H8" s="3">
        <f t="shared" si="6"/>
        <v>5.2899999999999892E-6</v>
      </c>
      <c r="I8">
        <v>0.01</v>
      </c>
      <c r="J8">
        <v>5.0000000000000001E-4</v>
      </c>
      <c r="K8" s="3">
        <f t="shared" si="12"/>
        <v>20</v>
      </c>
      <c r="L8">
        <v>2</v>
      </c>
      <c r="M8">
        <f>0.15+0.153</f>
        <v>0.30299999999999999</v>
      </c>
      <c r="N8" s="3">
        <f t="shared" si="7"/>
        <v>6.6006600660066006</v>
      </c>
      <c r="O8" s="18">
        <f t="shared" si="2"/>
        <v>130908.39511230256</v>
      </c>
      <c r="P8" s="19">
        <f t="shared" si="3"/>
        <v>11605.580541268382</v>
      </c>
      <c r="Q8" s="18">
        <f t="shared" si="4"/>
        <v>4.5709928062315459</v>
      </c>
      <c r="R8" s="19">
        <f t="shared" si="5"/>
        <v>0.40523776279412288</v>
      </c>
      <c r="S8" s="22">
        <v>4.0714999999999996E-3</v>
      </c>
      <c r="T8">
        <v>7</v>
      </c>
      <c r="U8" s="14">
        <f t="shared" si="8"/>
        <v>160.38289876428647</v>
      </c>
      <c r="V8" s="23">
        <f t="shared" si="9"/>
        <v>14.218619420505707</v>
      </c>
      <c r="W8" s="27">
        <f t="shared" si="10"/>
        <v>0.16038289876428646</v>
      </c>
      <c r="X8" s="28">
        <f t="shared" si="11"/>
        <v>1.4218619420505707E-2</v>
      </c>
    </row>
    <row r="9" spans="1:24" x14ac:dyDescent="0.2">
      <c r="A9" t="s">
        <v>7</v>
      </c>
      <c r="B9" s="9">
        <v>10042.057259690662</v>
      </c>
      <c r="C9" s="8">
        <v>2276.8574297569112</v>
      </c>
      <c r="D9" s="3">
        <f t="shared" si="0"/>
        <v>10.042057259690662</v>
      </c>
      <c r="E9" s="3">
        <f t="shared" si="1"/>
        <v>2.2768574297569111</v>
      </c>
      <c r="F9">
        <v>9.9000000000000008E-3</v>
      </c>
      <c r="G9" s="3">
        <f>(0.1632-0.15778)+(0.16388-0.16031)</f>
        <v>8.989999999999998E-3</v>
      </c>
      <c r="H9" s="3">
        <f t="shared" si="6"/>
        <v>8.9899999999999986E-6</v>
      </c>
      <c r="I9">
        <v>0.01</v>
      </c>
      <c r="J9">
        <v>5.0000000000000001E-4</v>
      </c>
      <c r="K9" s="3">
        <f t="shared" si="12"/>
        <v>20</v>
      </c>
      <c r="L9">
        <v>2</v>
      </c>
      <c r="M9">
        <f>0.1+0.098</f>
        <v>0.19800000000000001</v>
      </c>
      <c r="N9" s="3">
        <f t="shared" si="7"/>
        <v>10.1010101010101</v>
      </c>
      <c r="O9" s="18">
        <f t="shared" si="2"/>
        <v>221171.00527461083</v>
      </c>
      <c r="P9" s="19">
        <f t="shared" si="3"/>
        <v>50146.581878962017</v>
      </c>
      <c r="Q9" s="18">
        <f t="shared" si="4"/>
        <v>20.084114519381327</v>
      </c>
      <c r="R9" s="19">
        <f t="shared" si="5"/>
        <v>4.5537148595138222</v>
      </c>
      <c r="S9" s="22">
        <v>4.0714999999999996E-3</v>
      </c>
      <c r="T9">
        <v>14</v>
      </c>
      <c r="U9" s="14">
        <f t="shared" si="8"/>
        <v>352.346704783799</v>
      </c>
      <c r="V9" s="23">
        <f t="shared" si="9"/>
        <v>79.888332827736761</v>
      </c>
      <c r="W9" s="27">
        <f t="shared" si="10"/>
        <v>0.35234670478379898</v>
      </c>
      <c r="X9" s="28">
        <f t="shared" si="11"/>
        <v>7.988833282773676E-2</v>
      </c>
    </row>
    <row r="10" spans="1:24" x14ac:dyDescent="0.2">
      <c r="A10" t="s">
        <v>8</v>
      </c>
      <c r="B10" s="9">
        <v>3334.8881219860245</v>
      </c>
      <c r="C10" s="8">
        <v>275.76804434450668</v>
      </c>
      <c r="D10" s="3">
        <f t="shared" si="0"/>
        <v>3.3348881219860247</v>
      </c>
      <c r="E10" s="3">
        <f t="shared" si="1"/>
        <v>0.27576804434450669</v>
      </c>
      <c r="F10">
        <v>0.01</v>
      </c>
      <c r="G10" s="3">
        <f>(0.15801-0.15572)+(0.15771-0.15495)</f>
        <v>5.0499999999999989E-3</v>
      </c>
      <c r="H10" s="3">
        <f t="shared" si="6"/>
        <v>5.0499999999999991E-6</v>
      </c>
      <c r="I10">
        <v>0.01</v>
      </c>
      <c r="J10">
        <v>5.0000000000000001E-4</v>
      </c>
      <c r="K10" s="3">
        <f t="shared" si="12"/>
        <v>20</v>
      </c>
      <c r="L10">
        <v>2</v>
      </c>
      <c r="M10">
        <f>0.076+0.077</f>
        <v>0.153</v>
      </c>
      <c r="N10" s="3">
        <f t="shared" si="7"/>
        <v>13.071895424836601</v>
      </c>
      <c r="O10" s="18">
        <f t="shared" si="2"/>
        <v>132074.77710835743</v>
      </c>
      <c r="P10" s="19">
        <f t="shared" si="3"/>
        <v>10921.506706713137</v>
      </c>
      <c r="Q10" s="18">
        <f t="shared" si="4"/>
        <v>8.7186617568262079</v>
      </c>
      <c r="R10" s="19">
        <f t="shared" si="5"/>
        <v>0.72096220743661876</v>
      </c>
      <c r="S10" s="22">
        <v>4.0714999999999996E-3</v>
      </c>
      <c r="T10">
        <v>14</v>
      </c>
      <c r="U10" s="14">
        <f t="shared" si="8"/>
        <v>152.95629474616604</v>
      </c>
      <c r="V10" s="23">
        <f t="shared" si="9"/>
        <v>12.648237880679616</v>
      </c>
      <c r="W10" s="27">
        <f t="shared" si="10"/>
        <v>0.15295629474616604</v>
      </c>
      <c r="X10" s="28">
        <f t="shared" si="11"/>
        <v>1.2648237880679616E-2</v>
      </c>
    </row>
    <row r="11" spans="1:24" x14ac:dyDescent="0.2">
      <c r="A11" t="s">
        <v>9</v>
      </c>
      <c r="B11" s="9">
        <v>13478.449397834789</v>
      </c>
      <c r="C11" s="8">
        <v>1735.7056723122278</v>
      </c>
      <c r="D11" s="3">
        <f t="shared" si="0"/>
        <v>13.478449397834789</v>
      </c>
      <c r="E11" s="3">
        <f t="shared" si="1"/>
        <v>1.7357056723122277</v>
      </c>
      <c r="F11">
        <v>9.9000000000000008E-3</v>
      </c>
      <c r="G11" s="3">
        <f>(0.1613-0.15574)+(0.16027-0.15462)</f>
        <v>1.1209999999999998E-2</v>
      </c>
      <c r="H11" s="3">
        <f t="shared" si="6"/>
        <v>1.1209999999999998E-5</v>
      </c>
      <c r="I11">
        <v>0.01</v>
      </c>
      <c r="J11">
        <v>5.0000000000000001E-4</v>
      </c>
      <c r="K11" s="3">
        <f t="shared" si="12"/>
        <v>20</v>
      </c>
      <c r="L11">
        <v>2</v>
      </c>
      <c r="M11">
        <f>0.05+0.053</f>
        <v>0.10300000000000001</v>
      </c>
      <c r="N11" s="3">
        <f t="shared" si="7"/>
        <v>19.417475728155338</v>
      </c>
      <c r="O11" s="18">
        <f t="shared" si="2"/>
        <v>238067.17045238972</v>
      </c>
      <c r="P11" s="19">
        <f t="shared" si="3"/>
        <v>30657.424006942121</v>
      </c>
      <c r="Q11" s="18">
        <f t="shared" si="4"/>
        <v>51.82005787905414</v>
      </c>
      <c r="R11" s="19">
        <f t="shared" si="5"/>
        <v>6.673198507142156</v>
      </c>
      <c r="S11" s="22">
        <v>4.0714999999999996E-3</v>
      </c>
      <c r="T11">
        <v>14</v>
      </c>
      <c r="U11" s="14">
        <f t="shared" si="8"/>
        <v>909.10787317861343</v>
      </c>
      <c r="V11" s="23">
        <f t="shared" si="9"/>
        <v>117.07160413224605</v>
      </c>
      <c r="W11" s="27">
        <f t="shared" si="10"/>
        <v>0.90910787317861341</v>
      </c>
      <c r="X11" s="28">
        <f t="shared" si="11"/>
        <v>0.11707160413224606</v>
      </c>
    </row>
    <row r="12" spans="1:24" x14ac:dyDescent="0.2">
      <c r="A12" t="s">
        <v>10</v>
      </c>
      <c r="B12" s="9">
        <v>11770.749985105776</v>
      </c>
      <c r="C12" s="8">
        <v>85.68075393690539</v>
      </c>
      <c r="D12" s="3">
        <f t="shared" si="0"/>
        <v>11.770749985105777</v>
      </c>
      <c r="E12" s="3">
        <f t="shared" si="1"/>
        <v>8.5680753936905385E-2</v>
      </c>
      <c r="F12">
        <v>9.9000000000000008E-3</v>
      </c>
      <c r="G12" s="3">
        <f>(0.1625-0.15882)+(0.16398-0.1589)</f>
        <v>8.75999999999999E-3</v>
      </c>
      <c r="H12" s="3">
        <f t="shared" si="6"/>
        <v>8.7599999999999907E-6</v>
      </c>
      <c r="I12">
        <v>0.01</v>
      </c>
      <c r="J12">
        <v>5.0000000000000001E-4</v>
      </c>
      <c r="K12" s="3">
        <f t="shared" si="12"/>
        <v>20</v>
      </c>
      <c r="L12">
        <v>2</v>
      </c>
      <c r="M12">
        <f>0.055+0.066</f>
        <v>0.121</v>
      </c>
      <c r="N12" s="3">
        <f t="shared" si="7"/>
        <v>16.528925619834713</v>
      </c>
      <c r="O12" s="18">
        <f t="shared" si="2"/>
        <v>266051.19829348702</v>
      </c>
      <c r="P12" s="19">
        <f t="shared" si="3"/>
        <v>1936.6197807656717</v>
      </c>
      <c r="Q12" s="18">
        <f t="shared" si="4"/>
        <v>38.522454496709827</v>
      </c>
      <c r="R12" s="19">
        <f t="shared" si="5"/>
        <v>0.28040974015714498</v>
      </c>
      <c r="S12" s="22">
        <v>4.0714999999999996E-3</v>
      </c>
      <c r="T12">
        <v>14</v>
      </c>
      <c r="U12" s="14">
        <f t="shared" si="8"/>
        <v>675.82067852686498</v>
      </c>
      <c r="V12" s="23">
        <f t="shared" si="9"/>
        <v>4.9193828206021823</v>
      </c>
      <c r="W12" s="27">
        <f t="shared" si="10"/>
        <v>0.675820678526865</v>
      </c>
      <c r="X12" s="28">
        <f t="shared" si="11"/>
        <v>4.9193828206021825E-3</v>
      </c>
    </row>
    <row r="13" spans="1:24" x14ac:dyDescent="0.2">
      <c r="A13" t="s">
        <v>11</v>
      </c>
      <c r="B13" s="9">
        <v>10609.166196250762</v>
      </c>
      <c r="C13" s="8">
        <v>358.19300685665087</v>
      </c>
      <c r="D13" s="3">
        <f t="shared" si="0"/>
        <v>10.609166196250762</v>
      </c>
      <c r="E13" s="3">
        <f t="shared" si="1"/>
        <v>0.35819300685665084</v>
      </c>
      <c r="F13">
        <v>0.01</v>
      </c>
      <c r="G13" s="3">
        <f>(0.16372-0.16076)+(0.161-0.15617)</f>
        <v>7.7900000000000191E-3</v>
      </c>
      <c r="H13" s="3">
        <f t="shared" si="6"/>
        <v>7.7900000000000186E-6</v>
      </c>
      <c r="I13">
        <v>0.01</v>
      </c>
      <c r="J13">
        <v>5.0000000000000001E-4</v>
      </c>
      <c r="K13" s="3">
        <f t="shared" si="12"/>
        <v>20</v>
      </c>
      <c r="L13">
        <v>2</v>
      </c>
      <c r="M13">
        <f>0.046+0.086</f>
        <v>0.13200000000000001</v>
      </c>
      <c r="N13" s="3">
        <f t="shared" si="7"/>
        <v>15.15151515151515</v>
      </c>
      <c r="O13" s="18">
        <f t="shared" si="2"/>
        <v>272379.10645059653</v>
      </c>
      <c r="P13" s="19">
        <f t="shared" si="3"/>
        <v>9196.2261067175859</v>
      </c>
      <c r="Q13" s="18">
        <f t="shared" si="4"/>
        <v>32.148988473487151</v>
      </c>
      <c r="R13" s="19">
        <f t="shared" si="5"/>
        <v>1.0854333541110632</v>
      </c>
      <c r="S13" s="22">
        <v>4.0714999999999996E-3</v>
      </c>
      <c r="T13">
        <v>21</v>
      </c>
      <c r="U13" s="14">
        <f t="shared" si="8"/>
        <v>376.00496451509218</v>
      </c>
      <c r="V13" s="23">
        <f t="shared" si="9"/>
        <v>12.694904231049319</v>
      </c>
      <c r="W13" s="27">
        <f t="shared" si="10"/>
        <v>0.37600496451509219</v>
      </c>
      <c r="X13" s="28">
        <f t="shared" si="11"/>
        <v>1.269490423104932E-2</v>
      </c>
    </row>
    <row r="14" spans="1:24" x14ac:dyDescent="0.2">
      <c r="A14" t="s">
        <v>12</v>
      </c>
      <c r="B14" s="9">
        <v>6023.2525347740857</v>
      </c>
      <c r="C14" s="8">
        <v>301.57555264540082</v>
      </c>
      <c r="D14" s="3">
        <f t="shared" si="0"/>
        <v>6.0232525347740857</v>
      </c>
      <c r="E14" s="3">
        <f t="shared" si="1"/>
        <v>0.30157555264540081</v>
      </c>
      <c r="F14">
        <v>0.01</v>
      </c>
      <c r="G14" s="3">
        <f>(0.1666-0.16162)+(0.16199-0.15752)</f>
        <v>9.4499999999999862E-3</v>
      </c>
      <c r="H14" s="3">
        <f t="shared" si="6"/>
        <v>9.4499999999999858E-6</v>
      </c>
      <c r="I14">
        <v>0.01</v>
      </c>
      <c r="J14">
        <v>5.0000000000000001E-4</v>
      </c>
      <c r="K14" s="3">
        <f t="shared" si="12"/>
        <v>20</v>
      </c>
      <c r="L14">
        <v>2</v>
      </c>
      <c r="M14">
        <f>0.087+0.076</f>
        <v>0.16299999999999998</v>
      </c>
      <c r="N14" s="3">
        <f t="shared" si="7"/>
        <v>12.26993865030675</v>
      </c>
      <c r="O14" s="18">
        <f t="shared" si="2"/>
        <v>127476.24412220306</v>
      </c>
      <c r="P14" s="19">
        <f t="shared" si="3"/>
        <v>6382.5513787386517</v>
      </c>
      <c r="Q14" s="18">
        <f t="shared" si="4"/>
        <v>14.780987815396532</v>
      </c>
      <c r="R14" s="19">
        <f t="shared" si="5"/>
        <v>0.74006270587828427</v>
      </c>
      <c r="S14" s="22">
        <v>4.0714999999999996E-3</v>
      </c>
      <c r="T14">
        <v>35</v>
      </c>
      <c r="U14" s="14">
        <f t="shared" si="8"/>
        <v>103.72441055698344</v>
      </c>
      <c r="V14" s="23">
        <f t="shared" si="9"/>
        <v>5.1933313863145161</v>
      </c>
      <c r="W14" s="27">
        <f t="shared" si="10"/>
        <v>0.10372441055698345</v>
      </c>
      <c r="X14" s="28">
        <f t="shared" si="11"/>
        <v>5.1933313863145158E-3</v>
      </c>
    </row>
    <row r="15" spans="1:24" x14ac:dyDescent="0.2">
      <c r="A15" t="s">
        <v>13</v>
      </c>
      <c r="B15" s="9">
        <v>19323.032380551791</v>
      </c>
      <c r="C15" s="8">
        <v>259.35718815574216</v>
      </c>
      <c r="D15" s="3">
        <f t="shared" si="0"/>
        <v>19.323032380551791</v>
      </c>
      <c r="E15" s="3">
        <f t="shared" si="1"/>
        <v>0.25935718815574216</v>
      </c>
      <c r="F15">
        <v>0.01</v>
      </c>
      <c r="G15" s="3">
        <f>(0.1674-0.16083)+(0.1636-0.15851)</f>
        <v>1.1659999999999976E-2</v>
      </c>
      <c r="H15" s="3">
        <f t="shared" si="6"/>
        <v>1.1659999999999976E-5</v>
      </c>
      <c r="I15">
        <v>0.01</v>
      </c>
      <c r="J15">
        <v>5.0000000000000001E-4</v>
      </c>
      <c r="K15" s="3">
        <f t="shared" si="12"/>
        <v>20</v>
      </c>
      <c r="L15">
        <v>2</v>
      </c>
      <c r="M15">
        <f>0.05+0.05</f>
        <v>0.1</v>
      </c>
      <c r="N15" s="3">
        <f t="shared" si="7"/>
        <v>20</v>
      </c>
      <c r="O15" s="18">
        <f t="shared" si="2"/>
        <v>331441.37874016858</v>
      </c>
      <c r="P15" s="19">
        <f t="shared" si="3"/>
        <v>4448.6653199955863</v>
      </c>
      <c r="Q15" s="18">
        <f t="shared" si="4"/>
        <v>77.292129522207176</v>
      </c>
      <c r="R15" s="19">
        <f t="shared" si="5"/>
        <v>1.0374287526229686</v>
      </c>
      <c r="S15" s="22">
        <v>4.0714999999999996E-3</v>
      </c>
      <c r="T15">
        <v>14</v>
      </c>
      <c r="U15" s="14">
        <f t="shared" si="8"/>
        <v>1355.9784832232274</v>
      </c>
      <c r="V15" s="23">
        <f t="shared" si="9"/>
        <v>18.200185130488389</v>
      </c>
      <c r="W15" s="27">
        <f t="shared" si="10"/>
        <v>1.3559784832232273</v>
      </c>
      <c r="X15" s="28">
        <f t="shared" si="11"/>
        <v>1.8200185130488388E-2</v>
      </c>
    </row>
    <row r="16" spans="1:24" x14ac:dyDescent="0.2">
      <c r="A16" t="s">
        <v>14</v>
      </c>
      <c r="B16" s="9">
        <v>4277.8484301094086</v>
      </c>
      <c r="C16" s="8">
        <v>267.18667387861575</v>
      </c>
      <c r="D16" s="3">
        <f t="shared" si="0"/>
        <v>4.2778484301094082</v>
      </c>
      <c r="E16" s="3">
        <f t="shared" si="1"/>
        <v>0.26718667387861578</v>
      </c>
      <c r="F16">
        <v>9.9000000000000008E-3</v>
      </c>
      <c r="G16" s="3">
        <f>(0.15847-0.15585)+(0.15818-0.15583)</f>
        <v>4.9700000000000022E-3</v>
      </c>
      <c r="H16" s="3">
        <f t="shared" si="6"/>
        <v>4.9700000000000024E-6</v>
      </c>
      <c r="I16">
        <v>0.01</v>
      </c>
      <c r="J16">
        <v>5.0000000000000001E-4</v>
      </c>
      <c r="K16" s="3">
        <f t="shared" si="12"/>
        <v>20</v>
      </c>
      <c r="L16">
        <v>2</v>
      </c>
      <c r="M16">
        <f>0.072+0.069</f>
        <v>0.14100000000000001</v>
      </c>
      <c r="N16" s="3">
        <f t="shared" si="7"/>
        <v>14.184397163120567</v>
      </c>
      <c r="O16" s="18">
        <f t="shared" si="2"/>
        <v>170425.34993192402</v>
      </c>
      <c r="P16" s="19">
        <f t="shared" si="3"/>
        <v>10644.459039832174</v>
      </c>
      <c r="Q16" s="18">
        <f t="shared" si="4"/>
        <v>12.014382824988125</v>
      </c>
      <c r="R16" s="19">
        <f t="shared" si="5"/>
        <v>0.75039661599951668</v>
      </c>
      <c r="S16" s="22">
        <v>4.0714999999999996E-3</v>
      </c>
      <c r="T16">
        <v>14</v>
      </c>
      <c r="U16" s="14">
        <f t="shared" si="8"/>
        <v>210.7749482463137</v>
      </c>
      <c r="V16" s="23">
        <f t="shared" si="9"/>
        <v>13.164621953992329</v>
      </c>
      <c r="W16" s="27">
        <f t="shared" si="10"/>
        <v>0.21077494824631371</v>
      </c>
      <c r="X16" s="28">
        <f t="shared" si="11"/>
        <v>1.3164621953992329E-2</v>
      </c>
    </row>
    <row r="17" spans="1:24" x14ac:dyDescent="0.2">
      <c r="A17" t="s">
        <v>15</v>
      </c>
      <c r="B17" s="9">
        <v>17811.625250789988</v>
      </c>
      <c r="C17" s="8">
        <v>126.22553523577764</v>
      </c>
      <c r="D17" s="3">
        <f t="shared" si="0"/>
        <v>17.811625250789987</v>
      </c>
      <c r="E17" s="3">
        <f t="shared" si="1"/>
        <v>0.12622553523577765</v>
      </c>
      <c r="F17">
        <v>9.9000000000000008E-3</v>
      </c>
      <c r="G17" s="3">
        <f>(0.16699-0.1634)+(0.15946-0.15515)</f>
        <v>7.8999999999999904E-3</v>
      </c>
      <c r="H17" s="3">
        <f t="shared" si="6"/>
        <v>7.8999999999999904E-6</v>
      </c>
      <c r="I17">
        <v>0.01</v>
      </c>
      <c r="J17">
        <v>5.0000000000000001E-4</v>
      </c>
      <c r="K17" s="3">
        <f t="shared" si="12"/>
        <v>20</v>
      </c>
      <c r="L17">
        <v>2</v>
      </c>
      <c r="M17">
        <f>0.068+0.064</f>
        <v>0.13200000000000001</v>
      </c>
      <c r="N17" s="3">
        <f t="shared" si="7"/>
        <v>15.15151515151515</v>
      </c>
      <c r="O17" s="18">
        <f t="shared" si="2"/>
        <v>446417.94932359771</v>
      </c>
      <c r="P17" s="19">
        <f t="shared" si="3"/>
        <v>3163.6273388207601</v>
      </c>
      <c r="Q17" s="18">
        <f t="shared" si="4"/>
        <v>53.434875752369962</v>
      </c>
      <c r="R17" s="19">
        <f t="shared" si="5"/>
        <v>0.37867660570733291</v>
      </c>
      <c r="S17" s="22">
        <v>4.0714999999999996E-3</v>
      </c>
      <c r="T17">
        <v>14</v>
      </c>
      <c r="U17" s="14">
        <f t="shared" si="8"/>
        <v>937.43751429571353</v>
      </c>
      <c r="V17" s="23">
        <f t="shared" si="9"/>
        <v>6.6433326732396436</v>
      </c>
      <c r="W17" s="27">
        <f t="shared" si="10"/>
        <v>0.93743751429571354</v>
      </c>
      <c r="X17" s="28">
        <f t="shared" si="11"/>
        <v>6.6433326732396438E-3</v>
      </c>
    </row>
    <row r="18" spans="1:24" x14ac:dyDescent="0.2">
      <c r="A18" t="s">
        <v>16</v>
      </c>
      <c r="B18" s="9">
        <v>4439.7241632288224</v>
      </c>
      <c r="C18" s="8">
        <v>1602.4805745846932</v>
      </c>
      <c r="D18" s="3">
        <f t="shared" si="0"/>
        <v>4.4397241632288225</v>
      </c>
      <c r="E18" s="3">
        <f t="shared" si="1"/>
        <v>1.6024805745846931</v>
      </c>
      <c r="F18">
        <v>9.9000000000000008E-3</v>
      </c>
      <c r="G18" s="3">
        <f>(0.1634-0.15778)+(0.16609-0.15804)</f>
        <v>1.366999999999996E-2</v>
      </c>
      <c r="H18" s="3">
        <f t="shared" si="6"/>
        <v>1.3669999999999961E-5</v>
      </c>
      <c r="I18">
        <v>0.01</v>
      </c>
      <c r="J18">
        <v>5.0000000000000001E-4</v>
      </c>
      <c r="K18" s="3">
        <f t="shared" si="12"/>
        <v>20</v>
      </c>
      <c r="L18">
        <v>2</v>
      </c>
      <c r="M18">
        <f>0.076+0.075</f>
        <v>0.151</v>
      </c>
      <c r="N18" s="3">
        <f t="shared" si="7"/>
        <v>13.245033112582782</v>
      </c>
      <c r="O18" s="18">
        <f t="shared" si="2"/>
        <v>64306.172956789276</v>
      </c>
      <c r="P18" s="19">
        <f t="shared" si="3"/>
        <v>23210.764723318956</v>
      </c>
      <c r="Q18" s="18">
        <f t="shared" si="4"/>
        <v>11.643250123434528</v>
      </c>
      <c r="R18" s="19">
        <f t="shared" si="5"/>
        <v>4.2025318379836989</v>
      </c>
      <c r="S18" s="22">
        <v>4.0714999999999996E-3</v>
      </c>
      <c r="T18">
        <v>36</v>
      </c>
      <c r="U18" s="14">
        <f t="shared" si="8"/>
        <v>79.435985396008363</v>
      </c>
      <c r="V18" s="23">
        <f t="shared" si="9"/>
        <v>28.671741495652025</v>
      </c>
      <c r="W18" s="27">
        <f t="shared" si="10"/>
        <v>7.9435985396008366E-2</v>
      </c>
      <c r="X18" s="28">
        <f t="shared" si="11"/>
        <v>2.8671741495652023E-2</v>
      </c>
    </row>
    <row r="19" spans="1:24" x14ac:dyDescent="0.2">
      <c r="A19" t="s">
        <v>17</v>
      </c>
      <c r="B19" s="7">
        <v>39341.87835836591</v>
      </c>
      <c r="C19" s="8">
        <v>242.63286221317708</v>
      </c>
      <c r="D19" s="3">
        <f t="shared" si="0"/>
        <v>39.341878358365911</v>
      </c>
      <c r="E19" s="3">
        <f t="shared" si="1"/>
        <v>0.24263286221317706</v>
      </c>
      <c r="F19">
        <v>9.9000000000000008E-3</v>
      </c>
      <c r="G19" s="3">
        <f>(0.17123-0.15756)+(0.16852-0.16009)</f>
        <v>2.2099999999999981E-2</v>
      </c>
      <c r="H19" s="3">
        <f t="shared" si="6"/>
        <v>2.2099999999999982E-5</v>
      </c>
      <c r="I19">
        <v>0.01</v>
      </c>
      <c r="J19">
        <v>5.0000000000000001E-4</v>
      </c>
      <c r="K19" s="3">
        <f t="shared" si="12"/>
        <v>20</v>
      </c>
      <c r="L19">
        <v>2</v>
      </c>
      <c r="M19">
        <f>0.04+0.038</f>
        <v>7.8E-2</v>
      </c>
      <c r="N19" s="3">
        <f t="shared" si="7"/>
        <v>25.641025641025642</v>
      </c>
      <c r="O19" s="31">
        <f t="shared" si="2"/>
        <v>352474.74728309759</v>
      </c>
      <c r="P19" s="19">
        <f t="shared" si="3"/>
        <v>2173.814783629371</v>
      </c>
      <c r="Q19" s="31">
        <f t="shared" si="4"/>
        <v>199.7356901270885</v>
      </c>
      <c r="R19" s="19">
        <f t="shared" si="5"/>
        <v>1.2318283773899761</v>
      </c>
      <c r="S19" s="22">
        <v>4.0714999999999996E-3</v>
      </c>
      <c r="T19">
        <v>14</v>
      </c>
      <c r="U19" s="31">
        <f t="shared" si="8"/>
        <v>3504.0734395377012</v>
      </c>
      <c r="V19" s="23">
        <f t="shared" si="9"/>
        <v>21.610645030613082</v>
      </c>
      <c r="W19" s="32">
        <f t="shared" si="10"/>
        <v>3.5040734395377013</v>
      </c>
      <c r="X19" s="28">
        <f t="shared" si="11"/>
        <v>2.1610645030613083E-2</v>
      </c>
    </row>
    <row r="20" spans="1:24" x14ac:dyDescent="0.2">
      <c r="A20" t="s">
        <v>18</v>
      </c>
      <c r="B20" s="9">
        <v>4136.0514751625969</v>
      </c>
      <c r="C20" s="8">
        <v>1080.8557716901023</v>
      </c>
      <c r="D20" s="3">
        <f t="shared" si="0"/>
        <v>4.1360514751625965</v>
      </c>
      <c r="E20" s="3">
        <f t="shared" si="1"/>
        <v>1.0808557716901024</v>
      </c>
      <c r="F20">
        <v>9.7999999999999997E-3</v>
      </c>
      <c r="G20" s="3">
        <f>(0.16464-0.15985)+(0.16367-0.15931)</f>
        <v>9.1500000000000192E-3</v>
      </c>
      <c r="H20" s="3">
        <f t="shared" si="6"/>
        <v>9.1500000000000191E-6</v>
      </c>
      <c r="I20">
        <v>0.01</v>
      </c>
      <c r="J20">
        <v>5.0000000000000001E-4</v>
      </c>
      <c r="K20" s="3">
        <f t="shared" si="12"/>
        <v>20</v>
      </c>
      <c r="L20">
        <v>2</v>
      </c>
      <c r="M20">
        <f>0.07+0.077</f>
        <v>0.14700000000000002</v>
      </c>
      <c r="N20" s="3">
        <f t="shared" si="7"/>
        <v>13.605442176870746</v>
      </c>
      <c r="O20" s="18">
        <f t="shared" si="2"/>
        <v>88597.386790368007</v>
      </c>
      <c r="P20" s="19">
        <f t="shared" si="3"/>
        <v>23152.757513798864</v>
      </c>
      <c r="Q20" s="18">
        <f t="shared" si="4"/>
        <v>11.029470600433589</v>
      </c>
      <c r="R20" s="19">
        <f t="shared" si="5"/>
        <v>2.8822820578402726</v>
      </c>
      <c r="S20" s="22">
        <v>4.0714999999999996E-3</v>
      </c>
      <c r="T20">
        <v>14</v>
      </c>
      <c r="U20" s="14">
        <f t="shared" si="8"/>
        <v>193.49608954989546</v>
      </c>
      <c r="V20" s="23">
        <f t="shared" si="9"/>
        <v>50.565464778517445</v>
      </c>
      <c r="W20" s="27">
        <f t="shared" si="10"/>
        <v>0.19349608954989544</v>
      </c>
      <c r="X20" s="28">
        <f t="shared" si="11"/>
        <v>5.0565464778517442E-2</v>
      </c>
    </row>
    <row r="21" spans="1:24" x14ac:dyDescent="0.2">
      <c r="A21" t="s">
        <v>19</v>
      </c>
      <c r="B21" s="9">
        <v>5378.0979116547605</v>
      </c>
      <c r="C21" s="8">
        <v>45.237234611664704</v>
      </c>
      <c r="D21" s="3">
        <f t="shared" si="0"/>
        <v>5.3780979116547609</v>
      </c>
      <c r="E21" s="3">
        <f t="shared" si="1"/>
        <v>4.5237234611664706E-2</v>
      </c>
      <c r="F21">
        <v>9.7999999999999997E-3</v>
      </c>
      <c r="G21" s="3">
        <f>(0.16285-0.15899)</f>
        <v>3.8600000000000023E-3</v>
      </c>
      <c r="H21" s="3">
        <f t="shared" si="6"/>
        <v>3.860000000000002E-6</v>
      </c>
      <c r="I21">
        <v>0.01</v>
      </c>
      <c r="J21">
        <v>5.0000000000000001E-4</v>
      </c>
      <c r="K21" s="3">
        <f t="shared" si="12"/>
        <v>20</v>
      </c>
      <c r="L21">
        <v>2</v>
      </c>
      <c r="M21">
        <f>0.04+0.04</f>
        <v>0.08</v>
      </c>
      <c r="N21" s="3">
        <f t="shared" si="7"/>
        <v>25</v>
      </c>
      <c r="O21" s="18">
        <f t="shared" si="2"/>
        <v>273084.76442599285</v>
      </c>
      <c r="P21" s="19">
        <f t="shared" si="3"/>
        <v>2297.0202030793466</v>
      </c>
      <c r="Q21" s="18">
        <f t="shared" si="4"/>
        <v>26.352679767108327</v>
      </c>
      <c r="R21" s="19">
        <f t="shared" si="5"/>
        <v>0.22166244959715706</v>
      </c>
      <c r="S21" s="22">
        <v>4.0714999999999996E-3</v>
      </c>
      <c r="T21">
        <v>14</v>
      </c>
      <c r="U21" s="14">
        <f t="shared" si="8"/>
        <v>462.31960434217524</v>
      </c>
      <c r="V21" s="23">
        <f t="shared" si="9"/>
        <v>3.8887466815872891</v>
      </c>
      <c r="W21" s="27">
        <f t="shared" si="10"/>
        <v>0.46231960434217523</v>
      </c>
      <c r="X21" s="28">
        <f t="shared" si="11"/>
        <v>3.888746681587289E-3</v>
      </c>
    </row>
    <row r="22" spans="1:24" x14ac:dyDescent="0.2">
      <c r="A22" t="s">
        <v>20</v>
      </c>
      <c r="B22" s="9">
        <v>4796.9310036578445</v>
      </c>
      <c r="C22" s="8">
        <v>1263.6999718124903</v>
      </c>
      <c r="D22" s="3">
        <f t="shared" si="0"/>
        <v>4.7969310036578445</v>
      </c>
      <c r="E22" s="3">
        <f t="shared" si="1"/>
        <v>1.2636999718124904</v>
      </c>
      <c r="F22">
        <v>9.7999999999999997E-3</v>
      </c>
      <c r="G22" s="3">
        <f>(0.16291-0.1582)+(0.16186-0.15838)</f>
        <v>8.1900000000000028E-3</v>
      </c>
      <c r="H22" s="3">
        <f t="shared" si="6"/>
        <v>8.1900000000000029E-6</v>
      </c>
      <c r="I22">
        <v>0.01</v>
      </c>
      <c r="J22">
        <v>5.0000000000000001E-4</v>
      </c>
      <c r="K22" s="3">
        <f t="shared" si="12"/>
        <v>20</v>
      </c>
      <c r="L22">
        <v>2</v>
      </c>
      <c r="M22">
        <f>0.101+0.2</f>
        <v>0.30100000000000005</v>
      </c>
      <c r="N22" s="3">
        <f t="shared" si="7"/>
        <v>6.6445182724252483</v>
      </c>
      <c r="O22" s="18">
        <f t="shared" si="2"/>
        <v>114798.34880548682</v>
      </c>
      <c r="P22" s="19">
        <f t="shared" si="3"/>
        <v>30242.392487820271</v>
      </c>
      <c r="Q22" s="18">
        <f t="shared" si="4"/>
        <v>6.2471659582520749</v>
      </c>
      <c r="R22" s="19">
        <f t="shared" si="5"/>
        <v>1.6457488004999872</v>
      </c>
      <c r="S22" s="22">
        <v>4.0714999999999996E-3</v>
      </c>
      <c r="T22">
        <v>14</v>
      </c>
      <c r="U22" s="14">
        <f t="shared" si="8"/>
        <v>109.59748001354494</v>
      </c>
      <c r="V22" s="23">
        <f t="shared" si="9"/>
        <v>28.8722794424657</v>
      </c>
      <c r="W22" s="27">
        <f t="shared" si="10"/>
        <v>0.10959748001354494</v>
      </c>
      <c r="X22" s="28">
        <f t="shared" si="11"/>
        <v>2.88722794424657E-2</v>
      </c>
    </row>
    <row r="23" spans="1:24" x14ac:dyDescent="0.2">
      <c r="A23" t="s">
        <v>21</v>
      </c>
      <c r="B23" s="9">
        <v>14763.542761017025</v>
      </c>
      <c r="C23" s="8">
        <v>91.724841777730973</v>
      </c>
      <c r="D23" s="3">
        <f t="shared" si="0"/>
        <v>14.763542761017025</v>
      </c>
      <c r="E23" s="3">
        <f t="shared" si="1"/>
        <v>9.1724841777730978E-2</v>
      </c>
      <c r="F23">
        <v>9.7999999999999997E-3</v>
      </c>
      <c r="G23" s="3">
        <f>(0.16189-0.15613)+(0.16263-0.15724)</f>
        <v>1.1150000000000021E-2</v>
      </c>
      <c r="H23" s="3">
        <f t="shared" si="6"/>
        <v>1.115000000000002E-5</v>
      </c>
      <c r="I23">
        <v>0.01</v>
      </c>
      <c r="J23">
        <v>5.0000000000000001E-4</v>
      </c>
      <c r="K23" s="3">
        <f t="shared" si="12"/>
        <v>20</v>
      </c>
      <c r="L23">
        <v>2</v>
      </c>
      <c r="M23">
        <f>0.05+0.052</f>
        <v>0.10200000000000001</v>
      </c>
      <c r="N23" s="3">
        <f t="shared" si="7"/>
        <v>19.6078431372549</v>
      </c>
      <c r="O23" s="18">
        <f t="shared" si="2"/>
        <v>259520.57230128534</v>
      </c>
      <c r="P23" s="19">
        <f t="shared" si="3"/>
        <v>1612.3828689179586</v>
      </c>
      <c r="Q23" s="18">
        <f t="shared" si="4"/>
        <v>56.738321199202673</v>
      </c>
      <c r="R23" s="19">
        <f t="shared" si="5"/>
        <v>0.35251115663598565</v>
      </c>
      <c r="S23" s="22">
        <v>4.0714999999999996E-3</v>
      </c>
      <c r="T23">
        <v>14</v>
      </c>
      <c r="U23" s="14">
        <f t="shared" si="8"/>
        <v>995.39168083371658</v>
      </c>
      <c r="V23" s="23">
        <f t="shared" si="9"/>
        <v>6.1842977603197431</v>
      </c>
      <c r="W23" s="27">
        <f t="shared" si="10"/>
        <v>0.99539168083371654</v>
      </c>
      <c r="X23" s="28">
        <f t="shared" si="11"/>
        <v>6.184297760319743E-3</v>
      </c>
    </row>
    <row r="24" spans="1:24" x14ac:dyDescent="0.2">
      <c r="A24" t="s">
        <v>22</v>
      </c>
      <c r="B24" s="9">
        <v>3554.7666269913175</v>
      </c>
      <c r="C24" s="8">
        <v>407.07278412470311</v>
      </c>
      <c r="D24" s="3">
        <f t="shared" si="0"/>
        <v>3.5547666269913174</v>
      </c>
      <c r="E24" s="3">
        <f t="shared" si="1"/>
        <v>0.4070727841247031</v>
      </c>
      <c r="F24">
        <v>9.7999999999999997E-3</v>
      </c>
      <c r="G24" s="3">
        <f>(0.15957-0.15666)+(0.15947-0.1573)</f>
        <v>5.0800000000000012E-3</v>
      </c>
      <c r="H24" s="3">
        <f t="shared" si="6"/>
        <v>5.0800000000000013E-6</v>
      </c>
      <c r="I24">
        <v>0.01</v>
      </c>
      <c r="J24">
        <v>5.0000000000000001E-4</v>
      </c>
      <c r="K24" s="3">
        <f t="shared" si="12"/>
        <v>20</v>
      </c>
      <c r="L24">
        <v>2</v>
      </c>
      <c r="M24">
        <f>0.129+0.087</f>
        <v>0.216</v>
      </c>
      <c r="N24" s="3">
        <f t="shared" si="7"/>
        <v>9.2592592592592595</v>
      </c>
      <c r="O24" s="18">
        <f t="shared" si="2"/>
        <v>137152.41316738151</v>
      </c>
      <c r="P24" s="19">
        <f t="shared" si="3"/>
        <v>15705.957812685392</v>
      </c>
      <c r="Q24" s="18">
        <f t="shared" si="4"/>
        <v>6.4512431378731314</v>
      </c>
      <c r="R24" s="19">
        <f t="shared" si="5"/>
        <v>0.73876171933742418</v>
      </c>
      <c r="S24" s="22">
        <v>4.0714999999999996E-3</v>
      </c>
      <c r="T24">
        <v>35</v>
      </c>
      <c r="U24" s="14">
        <f t="shared" si="8"/>
        <v>45.271087439680933</v>
      </c>
      <c r="V24" s="23">
        <f t="shared" si="9"/>
        <v>5.184201816371111</v>
      </c>
      <c r="W24" s="27">
        <f t="shared" si="10"/>
        <v>4.5271087439680932E-2</v>
      </c>
      <c r="X24" s="28">
        <f t="shared" si="11"/>
        <v>5.1842018163711107E-3</v>
      </c>
    </row>
    <row r="25" spans="1:24" x14ac:dyDescent="0.2">
      <c r="A25" t="s">
        <v>23</v>
      </c>
      <c r="B25" s="9">
        <v>17719.163675147156</v>
      </c>
      <c r="C25" s="8">
        <v>198.82563284736236</v>
      </c>
      <c r="D25" s="3">
        <f t="shared" si="0"/>
        <v>17.719163675147158</v>
      </c>
      <c r="E25" s="3">
        <f t="shared" si="1"/>
        <v>0.19882563284736235</v>
      </c>
      <c r="F25">
        <v>9.7999999999999997E-3</v>
      </c>
      <c r="G25" s="3">
        <f>(0.16849-0.158)+(0.16767-0.15664)</f>
        <v>2.1520000000000011E-2</v>
      </c>
      <c r="H25" s="3">
        <f t="shared" si="6"/>
        <v>2.1520000000000011E-5</v>
      </c>
      <c r="I25">
        <v>0.01</v>
      </c>
      <c r="J25">
        <v>5.0000000000000001E-4</v>
      </c>
      <c r="K25" s="3">
        <f t="shared" si="12"/>
        <v>20</v>
      </c>
      <c r="L25">
        <v>2</v>
      </c>
      <c r="M25">
        <f>0.06+0.06</f>
        <v>0.12</v>
      </c>
      <c r="N25" s="3">
        <f t="shared" si="7"/>
        <v>16.666666666666668</v>
      </c>
      <c r="O25" s="18">
        <f t="shared" si="2"/>
        <v>161382.71748739967</v>
      </c>
      <c r="P25" s="19">
        <f t="shared" si="3"/>
        <v>1810.8654292789497</v>
      </c>
      <c r="Q25" s="18">
        <f t="shared" si="4"/>
        <v>57.882601338814055</v>
      </c>
      <c r="R25" s="19">
        <f t="shared" si="5"/>
        <v>0.64949706730138379</v>
      </c>
      <c r="S25" s="22">
        <v>4.0714999999999996E-3</v>
      </c>
      <c r="T25">
        <v>42</v>
      </c>
      <c r="U25" s="14">
        <f t="shared" si="8"/>
        <v>338.48880627131723</v>
      </c>
      <c r="V25" s="23">
        <f t="shared" si="9"/>
        <v>3.7981618293327246</v>
      </c>
      <c r="W25" s="27">
        <f t="shared" si="10"/>
        <v>0.33848880627131722</v>
      </c>
      <c r="X25" s="28">
        <f t="shared" si="11"/>
        <v>3.7981618293327244E-3</v>
      </c>
    </row>
    <row r="26" spans="1:24" x14ac:dyDescent="0.2">
      <c r="A26" t="s">
        <v>24</v>
      </c>
      <c r="B26" s="9">
        <v>9021.7989761680128</v>
      </c>
      <c r="C26" s="8">
        <v>1063.3690251382623</v>
      </c>
      <c r="D26" s="3">
        <f t="shared" si="0"/>
        <v>9.0217989761680126</v>
      </c>
      <c r="E26" s="3">
        <f t="shared" si="1"/>
        <v>1.0633690251382624</v>
      </c>
      <c r="F26">
        <v>9.7999999999999997E-3</v>
      </c>
      <c r="G26" s="3">
        <f>(0.16116-0.15484)+(0.1645-0.15653)</f>
        <v>1.4289999999999997E-2</v>
      </c>
      <c r="H26" s="3">
        <f t="shared" si="6"/>
        <v>1.4289999999999997E-5</v>
      </c>
      <c r="I26">
        <v>0.01</v>
      </c>
      <c r="J26">
        <v>5.0000000000000001E-4</v>
      </c>
      <c r="K26" s="3">
        <f t="shared" si="12"/>
        <v>20</v>
      </c>
      <c r="L26">
        <v>2</v>
      </c>
      <c r="M26">
        <f>0.1+0.151</f>
        <v>0.251</v>
      </c>
      <c r="N26" s="3">
        <f t="shared" si="7"/>
        <v>7.9681274900398407</v>
      </c>
      <c r="O26" s="18">
        <f t="shared" si="2"/>
        <v>123741.95936521559</v>
      </c>
      <c r="P26" s="19">
        <f t="shared" si="3"/>
        <v>14585.047510643766</v>
      </c>
      <c r="Q26" s="18">
        <f t="shared" si="4"/>
        <v>14.089821508597057</v>
      </c>
      <c r="R26" s="19">
        <f t="shared" si="5"/>
        <v>1.6607197524071666</v>
      </c>
      <c r="S26" s="22">
        <v>4.0714999999999996E-3</v>
      </c>
      <c r="T26">
        <v>21</v>
      </c>
      <c r="U26" s="14">
        <f t="shared" si="8"/>
        <v>164.79034296003061</v>
      </c>
      <c r="V26" s="23">
        <f t="shared" si="9"/>
        <v>19.423282075836877</v>
      </c>
      <c r="W26" s="27">
        <f t="shared" si="10"/>
        <v>0.16479034296003062</v>
      </c>
      <c r="X26" s="28">
        <f t="shared" si="11"/>
        <v>1.9423282075836875E-2</v>
      </c>
    </row>
    <row r="27" spans="1:24" ht="16" thickBot="1" x14ac:dyDescent="0.25">
      <c r="A27" t="s">
        <v>25</v>
      </c>
      <c r="B27" s="9">
        <v>8188.1398157009762</v>
      </c>
      <c r="C27" s="8">
        <v>172.53792841588984</v>
      </c>
      <c r="D27" s="3">
        <f t="shared" si="0"/>
        <v>8.1881398157009766</v>
      </c>
      <c r="E27" s="3">
        <f t="shared" si="1"/>
        <v>0.17253792841588983</v>
      </c>
      <c r="F27">
        <v>9.7999999999999997E-3</v>
      </c>
      <c r="G27" s="3">
        <f>(0.16048-0.15523)+(0.16104-0.15518)</f>
        <v>1.1109999999999981E-2</v>
      </c>
      <c r="H27" s="3">
        <f t="shared" si="6"/>
        <v>1.1109999999999982E-5</v>
      </c>
      <c r="I27">
        <v>0.01</v>
      </c>
      <c r="J27">
        <v>5.0000000000000001E-4</v>
      </c>
      <c r="K27" s="3">
        <f t="shared" si="12"/>
        <v>20</v>
      </c>
      <c r="L27">
        <v>2</v>
      </c>
      <c r="M27">
        <f>0.097+0.1</f>
        <v>0.19700000000000001</v>
      </c>
      <c r="N27" s="3">
        <f t="shared" si="7"/>
        <v>10.152284263959391</v>
      </c>
      <c r="O27" s="20">
        <f t="shared" si="2"/>
        <v>144453.23167213268</v>
      </c>
      <c r="P27" s="21">
        <f t="shared" si="3"/>
        <v>3043.873444600762</v>
      </c>
      <c r="Q27" s="20">
        <f t="shared" si="4"/>
        <v>16.293151308399914</v>
      </c>
      <c r="R27" s="21">
        <f t="shared" si="5"/>
        <v>0.34332420273618686</v>
      </c>
      <c r="S27" s="22">
        <v>4.0714999999999996E-3</v>
      </c>
      <c r="T27">
        <v>7</v>
      </c>
      <c r="U27" s="15">
        <f t="shared" si="8"/>
        <v>571.67949012824033</v>
      </c>
      <c r="V27" s="24">
        <f t="shared" si="9"/>
        <v>12.04625191614838</v>
      </c>
      <c r="W27" s="29">
        <f t="shared" si="10"/>
        <v>0.57167949012824038</v>
      </c>
      <c r="X27" s="30">
        <f t="shared" si="11"/>
        <v>1.204625191614838E-2</v>
      </c>
    </row>
    <row r="28" spans="1:24" x14ac:dyDescent="0.2">
      <c r="A28" t="s">
        <v>26</v>
      </c>
      <c r="B28" s="9">
        <v>10670.322572733859</v>
      </c>
      <c r="C28" s="8">
        <v>235.28075711593098</v>
      </c>
      <c r="D28" s="3">
        <f t="shared" si="0"/>
        <v>10.670322572733859</v>
      </c>
      <c r="E28" s="3">
        <f t="shared" si="1"/>
        <v>0.23528075711593099</v>
      </c>
    </row>
    <row r="29" spans="1:24" ht="16" thickBot="1" x14ac:dyDescent="0.25">
      <c r="A29" t="s">
        <v>27</v>
      </c>
      <c r="B29" s="10">
        <v>52.454305081559056</v>
      </c>
      <c r="C29" s="11">
        <v>0.77512068209244966</v>
      </c>
      <c r="D29" s="3">
        <f t="shared" si="0"/>
        <v>5.2454305081559058E-2</v>
      </c>
      <c r="E29" s="3">
        <f t="shared" si="1"/>
        <v>7.7512068209244971E-4</v>
      </c>
    </row>
    <row r="31" spans="1:24" x14ac:dyDescent="0.2">
      <c r="B31" s="1"/>
      <c r="C31" s="1"/>
      <c r="F31" s="1"/>
      <c r="I31" s="1"/>
      <c r="J31" s="1"/>
      <c r="L31" s="1"/>
      <c r="M31" s="1"/>
      <c r="N31" s="1"/>
      <c r="T31" s="1"/>
      <c r="U31" s="1"/>
      <c r="V31" s="1"/>
      <c r="W31" s="1"/>
      <c r="X31" s="1"/>
    </row>
    <row r="32" spans="1:24" x14ac:dyDescent="0.2">
      <c r="M32" s="1"/>
    </row>
    <row r="35" spans="1:1" x14ac:dyDescent="0.2">
      <c r="A35" s="3"/>
    </row>
    <row r="36" spans="1:1" x14ac:dyDescent="0.2">
      <c r="A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</dc:creator>
  <cp:lastModifiedBy>Wood, Cecelia</cp:lastModifiedBy>
  <dcterms:created xsi:type="dcterms:W3CDTF">2020-04-22T16:42:30Z</dcterms:created>
  <dcterms:modified xsi:type="dcterms:W3CDTF">2023-05-12T20:11:17Z</dcterms:modified>
</cp:coreProperties>
</file>