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wwoel\Desktop\Reservoirs_2\Data\DataAlreadyUploadedToEDI\EDIProductionFiles\MakeEMLFilteredChlorophyll\data\2022_data\chl_calculations\"/>
    </mc:Choice>
  </mc:AlternateContent>
  <xr:revisionPtr revIDLastSave="0" documentId="13_ncr:1_{0F6069F1-CA42-408F-8F66-F8B7CB913AC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alculations" sheetId="2" r:id="rId1"/>
    <sheet name="raw data" sheetId="7" r:id="rId2"/>
    <sheet name="rolling QA chart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1" i="2" l="1"/>
  <c r="AD11" i="2" s="1"/>
  <c r="AF11" i="2" s="1"/>
  <c r="AJ11" i="2" s="1"/>
  <c r="AC11" i="2"/>
  <c r="AG11" i="2"/>
  <c r="AK11" i="2" s="1"/>
  <c r="AH11" i="2"/>
  <c r="AM11" i="2"/>
  <c r="AN11" i="2"/>
  <c r="AP11" i="2"/>
  <c r="AQ11" i="2"/>
  <c r="AR11" i="2"/>
  <c r="AT11" i="2" s="1"/>
  <c r="AY11" i="2" s="1"/>
  <c r="BB11" i="2"/>
  <c r="AB12" i="2"/>
  <c r="AD12" i="2" s="1"/>
  <c r="AF12" i="2" s="1"/>
  <c r="AJ12" i="2" s="1"/>
  <c r="AC12" i="2"/>
  <c r="AP12" i="2"/>
  <c r="AT12" i="2" s="1"/>
  <c r="AY12" i="2" s="1"/>
  <c r="AQ12" i="2"/>
  <c r="AR12" i="2"/>
  <c r="AV12" i="2"/>
  <c r="AZ12" i="2" s="1"/>
  <c r="BB12" i="2"/>
  <c r="AB13" i="2"/>
  <c r="AD13" i="2" s="1"/>
  <c r="AF13" i="2" s="1"/>
  <c r="AJ13" i="2" s="1"/>
  <c r="AC13" i="2"/>
  <c r="AM13" i="2" s="1"/>
  <c r="AG13" i="2"/>
  <c r="AK13" i="2" s="1"/>
  <c r="AH13" i="2"/>
  <c r="AN13" i="2"/>
  <c r="AP13" i="2"/>
  <c r="AQ13" i="2"/>
  <c r="AR13" i="2"/>
  <c r="AT13" i="2"/>
  <c r="AY13" i="2" s="1"/>
  <c r="BB13" i="2"/>
  <c r="AB14" i="2"/>
  <c r="AD14" i="2" s="1"/>
  <c r="AF14" i="2" s="1"/>
  <c r="AJ14" i="2" s="1"/>
  <c r="AC14" i="2"/>
  <c r="AP14" i="2"/>
  <c r="AT14" i="2" s="1"/>
  <c r="AQ14" i="2"/>
  <c r="AR14" i="2"/>
  <c r="AU14" i="2" s="1"/>
  <c r="AV14" i="2"/>
  <c r="AZ14" i="2" s="1"/>
  <c r="AX14" i="2"/>
  <c r="AY14" i="2"/>
  <c r="BB14" i="2"/>
  <c r="AB15" i="2"/>
  <c r="AD15" i="2" s="1"/>
  <c r="AF15" i="2" s="1"/>
  <c r="AJ15" i="2" s="1"/>
  <c r="AC15" i="2"/>
  <c r="AM15" i="2" s="1"/>
  <c r="AG15" i="2"/>
  <c r="AK15" i="2" s="1"/>
  <c r="AH15" i="2"/>
  <c r="AN15" i="2"/>
  <c r="AP15" i="2"/>
  <c r="AQ15" i="2"/>
  <c r="AR15" i="2"/>
  <c r="AU15" i="2" s="1"/>
  <c r="AX15" i="2" s="1"/>
  <c r="AT15" i="2"/>
  <c r="AY15" i="2" s="1"/>
  <c r="BB15" i="2"/>
  <c r="AB16" i="2"/>
  <c r="AC16" i="2"/>
  <c r="AM16" i="2"/>
  <c r="AN16" i="2"/>
  <c r="AP16" i="2"/>
  <c r="AT16" i="2" s="1"/>
  <c r="AY16" i="2" s="1"/>
  <c r="AQ16" i="2"/>
  <c r="AR16" i="2"/>
  <c r="AU16" i="2" s="1"/>
  <c r="AX16" i="2" s="1"/>
  <c r="AV16" i="2"/>
  <c r="AZ16" i="2" s="1"/>
  <c r="BB16" i="2"/>
  <c r="AB17" i="2"/>
  <c r="AD17" i="2" s="1"/>
  <c r="AF17" i="2" s="1"/>
  <c r="AJ17" i="2" s="1"/>
  <c r="AC17" i="2"/>
  <c r="AM17" i="2" s="1"/>
  <c r="AG17" i="2"/>
  <c r="AK17" i="2" s="1"/>
  <c r="AH17" i="2"/>
  <c r="AN17" i="2"/>
  <c r="AP17" i="2"/>
  <c r="AQ17" i="2"/>
  <c r="AR17" i="2"/>
  <c r="AU17" i="2" s="1"/>
  <c r="AX17" i="2" s="1"/>
  <c r="BB17" i="2"/>
  <c r="AB18" i="2"/>
  <c r="AM18" i="2" s="1"/>
  <c r="AC18" i="2"/>
  <c r="AP18" i="2"/>
  <c r="AT18" i="2" s="1"/>
  <c r="AQ18" i="2"/>
  <c r="AR18" i="2"/>
  <c r="AU18" i="2" s="1"/>
  <c r="AX18" i="2" s="1"/>
  <c r="AV18" i="2"/>
  <c r="AZ18" i="2" s="1"/>
  <c r="AY18" i="2"/>
  <c r="BB18" i="2"/>
  <c r="AB19" i="2"/>
  <c r="AD19" i="2" s="1"/>
  <c r="AF19" i="2" s="1"/>
  <c r="AJ19" i="2" s="1"/>
  <c r="AC19" i="2"/>
  <c r="AM19" i="2" s="1"/>
  <c r="AG19" i="2"/>
  <c r="AK19" i="2" s="1"/>
  <c r="AH19" i="2"/>
  <c r="AN19" i="2"/>
  <c r="AP19" i="2"/>
  <c r="AQ19" i="2"/>
  <c r="AV19" i="2" s="1"/>
  <c r="AZ19" i="2" s="1"/>
  <c r="AR19" i="2"/>
  <c r="AU19" i="2" s="1"/>
  <c r="AX19" i="2" s="1"/>
  <c r="AT19" i="2"/>
  <c r="AY19" i="2" s="1"/>
  <c r="BB19" i="2"/>
  <c r="AB20" i="2"/>
  <c r="AC20" i="2"/>
  <c r="AP20" i="2"/>
  <c r="AT20" i="2" s="1"/>
  <c r="AY20" i="2" s="1"/>
  <c r="AQ20" i="2"/>
  <c r="AR20" i="2"/>
  <c r="AU20" i="2" s="1"/>
  <c r="AV20" i="2"/>
  <c r="AZ20" i="2" s="1"/>
  <c r="AX20" i="2"/>
  <c r="BB20" i="2"/>
  <c r="AB21" i="2"/>
  <c r="AD21" i="2" s="1"/>
  <c r="AF21" i="2" s="1"/>
  <c r="AJ21" i="2" s="1"/>
  <c r="AC21" i="2"/>
  <c r="AM21" i="2" s="1"/>
  <c r="AG21" i="2"/>
  <c r="AK21" i="2" s="1"/>
  <c r="AH21" i="2"/>
  <c r="AN21" i="2"/>
  <c r="AP21" i="2"/>
  <c r="AQ21" i="2"/>
  <c r="AV21" i="2" s="1"/>
  <c r="AZ21" i="2" s="1"/>
  <c r="AR21" i="2"/>
  <c r="AU21" i="2" s="1"/>
  <c r="AX21" i="2" s="1"/>
  <c r="AT21" i="2"/>
  <c r="AY21" i="2" s="1"/>
  <c r="BB21" i="2"/>
  <c r="AB22" i="2"/>
  <c r="AC22" i="2"/>
  <c r="AM22" i="2"/>
  <c r="AN22" i="2"/>
  <c r="AP22" i="2"/>
  <c r="AQ22" i="2"/>
  <c r="AT22" i="2" s="1"/>
  <c r="AY22" i="2" s="1"/>
  <c r="AR22" i="2"/>
  <c r="AU22" i="2" s="1"/>
  <c r="AX22" i="2" s="1"/>
  <c r="AV22" i="2"/>
  <c r="AZ22" i="2" s="1"/>
  <c r="BB22" i="2"/>
  <c r="AB23" i="2"/>
  <c r="AD23" i="2" s="1"/>
  <c r="AF23" i="2" s="1"/>
  <c r="AJ23" i="2" s="1"/>
  <c r="AC23" i="2"/>
  <c r="AM23" i="2" s="1"/>
  <c r="AG23" i="2"/>
  <c r="AK23" i="2" s="1"/>
  <c r="AH23" i="2"/>
  <c r="AN23" i="2"/>
  <c r="AP23" i="2"/>
  <c r="AQ23" i="2"/>
  <c r="AR23" i="2"/>
  <c r="AU23" i="2" s="1"/>
  <c r="AX23" i="2" s="1"/>
  <c r="AT23" i="2"/>
  <c r="AY23" i="2" s="1"/>
  <c r="BB23" i="2"/>
  <c r="AB24" i="2"/>
  <c r="AN24" i="2" s="1"/>
  <c r="AC24" i="2"/>
  <c r="AM24" i="2"/>
  <c r="AP24" i="2"/>
  <c r="AQ24" i="2"/>
  <c r="AT24" i="2" s="1"/>
  <c r="AR24" i="2"/>
  <c r="AU24" i="2" s="1"/>
  <c r="AX24" i="2" s="1"/>
  <c r="AV24" i="2"/>
  <c r="AZ24" i="2" s="1"/>
  <c r="AY24" i="2"/>
  <c r="BB24" i="2"/>
  <c r="AB25" i="2"/>
  <c r="AD25" i="2" s="1"/>
  <c r="AF25" i="2" s="1"/>
  <c r="AJ25" i="2" s="1"/>
  <c r="AC25" i="2"/>
  <c r="AM25" i="2" s="1"/>
  <c r="AG25" i="2"/>
  <c r="AK25" i="2" s="1"/>
  <c r="AH25" i="2"/>
  <c r="AN25" i="2"/>
  <c r="AP25" i="2"/>
  <c r="AQ25" i="2"/>
  <c r="AR25" i="2"/>
  <c r="AU25" i="2" s="1"/>
  <c r="AX25" i="2" s="1"/>
  <c r="BB25" i="2"/>
  <c r="AB26" i="2"/>
  <c r="AC26" i="2"/>
  <c r="AM26" i="2"/>
  <c r="AP26" i="2"/>
  <c r="AQ26" i="2"/>
  <c r="AT26" i="2" s="1"/>
  <c r="AY26" i="2" s="1"/>
  <c r="AR26" i="2"/>
  <c r="AU26" i="2" s="1"/>
  <c r="AV26" i="2"/>
  <c r="AZ26" i="2" s="1"/>
  <c r="AX26" i="2"/>
  <c r="BB26" i="2"/>
  <c r="AB27" i="2"/>
  <c r="AD27" i="2" s="1"/>
  <c r="AF27" i="2" s="1"/>
  <c r="AJ27" i="2" s="1"/>
  <c r="AC27" i="2"/>
  <c r="AM27" i="2" s="1"/>
  <c r="AG27" i="2"/>
  <c r="AK27" i="2" s="1"/>
  <c r="AH27" i="2"/>
  <c r="AN27" i="2"/>
  <c r="AP27" i="2"/>
  <c r="AQ27" i="2"/>
  <c r="AR27" i="2"/>
  <c r="AU27" i="2" s="1"/>
  <c r="AX27" i="2" s="1"/>
  <c r="BB27" i="2"/>
  <c r="AB28" i="2"/>
  <c r="AD28" i="2" s="1"/>
  <c r="AF28" i="2" s="1"/>
  <c r="AJ28" i="2" s="1"/>
  <c r="AC28" i="2"/>
  <c r="AP28" i="2"/>
  <c r="AT28" i="2" s="1"/>
  <c r="AY28" i="2" s="1"/>
  <c r="AQ28" i="2"/>
  <c r="AR28" i="2"/>
  <c r="AU28" i="2" s="1"/>
  <c r="AV28" i="2"/>
  <c r="AZ28" i="2" s="1"/>
  <c r="AX28" i="2"/>
  <c r="BB28" i="2"/>
  <c r="AB29" i="2"/>
  <c r="AD29" i="2" s="1"/>
  <c r="AF29" i="2" s="1"/>
  <c r="AJ29" i="2" s="1"/>
  <c r="AC29" i="2"/>
  <c r="AM29" i="2" s="1"/>
  <c r="AG29" i="2"/>
  <c r="AK29" i="2" s="1"/>
  <c r="AH29" i="2"/>
  <c r="AN29" i="2"/>
  <c r="AP29" i="2"/>
  <c r="AQ29" i="2"/>
  <c r="AV29" i="2" s="1"/>
  <c r="AZ29" i="2" s="1"/>
  <c r="AR29" i="2"/>
  <c r="AU29" i="2" s="1"/>
  <c r="AX29" i="2" s="1"/>
  <c r="AT29" i="2"/>
  <c r="AY29" i="2" s="1"/>
  <c r="BB29" i="2"/>
  <c r="AB30" i="2"/>
  <c r="AD30" i="2" s="1"/>
  <c r="AF30" i="2" s="1"/>
  <c r="AJ30" i="2" s="1"/>
  <c r="AC30" i="2"/>
  <c r="AN30" i="2"/>
  <c r="AP30" i="2"/>
  <c r="AT30" i="2" s="1"/>
  <c r="AQ30" i="2"/>
  <c r="AR30" i="2"/>
  <c r="AU30" i="2" s="1"/>
  <c r="AV30" i="2"/>
  <c r="AZ30" i="2" s="1"/>
  <c r="AX30" i="2"/>
  <c r="AY30" i="2"/>
  <c r="BB30" i="2"/>
  <c r="AB31" i="2"/>
  <c r="AD31" i="2" s="1"/>
  <c r="AF31" i="2" s="1"/>
  <c r="AJ31" i="2" s="1"/>
  <c r="AC31" i="2"/>
  <c r="AM31" i="2" s="1"/>
  <c r="AG31" i="2"/>
  <c r="AK31" i="2" s="1"/>
  <c r="AH31" i="2"/>
  <c r="AN31" i="2"/>
  <c r="AP31" i="2"/>
  <c r="AQ31" i="2"/>
  <c r="AV31" i="2" s="1"/>
  <c r="AZ31" i="2" s="1"/>
  <c r="AR31" i="2"/>
  <c r="AU31" i="2" s="1"/>
  <c r="AX31" i="2" s="1"/>
  <c r="AT31" i="2"/>
  <c r="AY31" i="2" s="1"/>
  <c r="BB31" i="2"/>
  <c r="AB32" i="2"/>
  <c r="AC32" i="2"/>
  <c r="AM32" i="2"/>
  <c r="AN32" i="2"/>
  <c r="AP32" i="2"/>
  <c r="AQ32" i="2"/>
  <c r="AT32" i="2" s="1"/>
  <c r="AY32" i="2" s="1"/>
  <c r="AR32" i="2"/>
  <c r="AU32" i="2" s="1"/>
  <c r="AX32" i="2" s="1"/>
  <c r="AV32" i="2"/>
  <c r="AZ32" i="2" s="1"/>
  <c r="BB32" i="2"/>
  <c r="AB33" i="2"/>
  <c r="AD33" i="2" s="1"/>
  <c r="AF33" i="2" s="1"/>
  <c r="AJ33" i="2" s="1"/>
  <c r="AC33" i="2"/>
  <c r="AM33" i="2" s="1"/>
  <c r="AG33" i="2"/>
  <c r="AK33" i="2" s="1"/>
  <c r="AH33" i="2"/>
  <c r="AN33" i="2"/>
  <c r="AP33" i="2"/>
  <c r="AQ33" i="2"/>
  <c r="AR33" i="2"/>
  <c r="AU33" i="2" s="1"/>
  <c r="AX33" i="2" s="1"/>
  <c r="AT33" i="2"/>
  <c r="AY33" i="2" s="1"/>
  <c r="BB33" i="2"/>
  <c r="AB34" i="2"/>
  <c r="AM34" i="2" s="1"/>
  <c r="AC34" i="2"/>
  <c r="AP34" i="2"/>
  <c r="AQ34" i="2"/>
  <c r="AT34" i="2" s="1"/>
  <c r="AR34" i="2"/>
  <c r="AU34" i="2" s="1"/>
  <c r="AX34" i="2" s="1"/>
  <c r="AV34" i="2"/>
  <c r="AZ34" i="2" s="1"/>
  <c r="AY34" i="2"/>
  <c r="BB34" i="2"/>
  <c r="AB35" i="2"/>
  <c r="AD35" i="2" s="1"/>
  <c r="AF35" i="2" s="1"/>
  <c r="AJ35" i="2" s="1"/>
  <c r="AC35" i="2"/>
  <c r="AM35" i="2" s="1"/>
  <c r="AG35" i="2"/>
  <c r="AK35" i="2" s="1"/>
  <c r="AH35" i="2"/>
  <c r="AN35" i="2"/>
  <c r="AP35" i="2"/>
  <c r="AQ35" i="2"/>
  <c r="AV35" i="2" s="1"/>
  <c r="AZ35" i="2" s="1"/>
  <c r="AR35" i="2"/>
  <c r="AU35" i="2" s="1"/>
  <c r="AX35" i="2" s="1"/>
  <c r="AT35" i="2"/>
  <c r="AY35" i="2" s="1"/>
  <c r="BB35" i="2"/>
  <c r="AB36" i="2"/>
  <c r="AC36" i="2"/>
  <c r="AP36" i="2"/>
  <c r="AQ36" i="2"/>
  <c r="AT36" i="2" s="1"/>
  <c r="AR36" i="2"/>
  <c r="AU36" i="2" s="1"/>
  <c r="AV36" i="2"/>
  <c r="AZ36" i="2" s="1"/>
  <c r="AX36" i="2"/>
  <c r="AY36" i="2"/>
  <c r="BB36" i="2"/>
  <c r="AB37" i="2"/>
  <c r="AD37" i="2" s="1"/>
  <c r="AF37" i="2" s="1"/>
  <c r="AJ37" i="2" s="1"/>
  <c r="AC37" i="2"/>
  <c r="AM37" i="2" s="1"/>
  <c r="AG37" i="2"/>
  <c r="AK37" i="2" s="1"/>
  <c r="AH37" i="2"/>
  <c r="AN37" i="2"/>
  <c r="AP37" i="2"/>
  <c r="AQ37" i="2"/>
  <c r="AV37" i="2" s="1"/>
  <c r="AZ37" i="2" s="1"/>
  <c r="AR37" i="2"/>
  <c r="AU37" i="2" s="1"/>
  <c r="AX37" i="2" s="1"/>
  <c r="AT37" i="2"/>
  <c r="AY37" i="2" s="1"/>
  <c r="BB37" i="2"/>
  <c r="AB38" i="2"/>
  <c r="AC38" i="2"/>
  <c r="AM38" i="2"/>
  <c r="AN38" i="2"/>
  <c r="AP38" i="2"/>
  <c r="AQ38" i="2"/>
  <c r="AT38" i="2" s="1"/>
  <c r="AY38" i="2" s="1"/>
  <c r="AR38" i="2"/>
  <c r="AU38" i="2" s="1"/>
  <c r="AX38" i="2" s="1"/>
  <c r="AV38" i="2"/>
  <c r="AZ38" i="2" s="1"/>
  <c r="BB38" i="2"/>
  <c r="AB39" i="2"/>
  <c r="AD39" i="2" s="1"/>
  <c r="AF39" i="2" s="1"/>
  <c r="AJ39" i="2" s="1"/>
  <c r="AC39" i="2"/>
  <c r="AM39" i="2" s="1"/>
  <c r="AG39" i="2"/>
  <c r="AK39" i="2" s="1"/>
  <c r="AH39" i="2"/>
  <c r="AN39" i="2"/>
  <c r="AP39" i="2"/>
  <c r="AQ39" i="2"/>
  <c r="AR39" i="2"/>
  <c r="AU39" i="2" s="1"/>
  <c r="AX39" i="2" s="1"/>
  <c r="AT39" i="2"/>
  <c r="AY39" i="2" s="1"/>
  <c r="BB39" i="2"/>
  <c r="AB40" i="2"/>
  <c r="AD40" i="2" s="1"/>
  <c r="AF40" i="2" s="1"/>
  <c r="AJ40" i="2" s="1"/>
  <c r="AC40" i="2"/>
  <c r="AM40" i="2"/>
  <c r="AP40" i="2"/>
  <c r="AQ40" i="2"/>
  <c r="AT40" i="2" s="1"/>
  <c r="AR40" i="2"/>
  <c r="AU40" i="2" s="1"/>
  <c r="AV40" i="2"/>
  <c r="AZ40" i="2" s="1"/>
  <c r="AX40" i="2"/>
  <c r="AY40" i="2"/>
  <c r="BB40" i="2"/>
  <c r="AB41" i="2"/>
  <c r="AD41" i="2" s="1"/>
  <c r="AF41" i="2" s="1"/>
  <c r="AJ41" i="2" s="1"/>
  <c r="AC41" i="2"/>
  <c r="AM41" i="2" s="1"/>
  <c r="AG41" i="2"/>
  <c r="AK41" i="2" s="1"/>
  <c r="AH41" i="2"/>
  <c r="AN41" i="2"/>
  <c r="AP41" i="2"/>
  <c r="AQ41" i="2"/>
  <c r="AR41" i="2"/>
  <c r="AU41" i="2" s="1"/>
  <c r="AX41" i="2" s="1"/>
  <c r="BB41" i="2"/>
  <c r="AB42" i="2"/>
  <c r="AC42" i="2"/>
  <c r="AM42" i="2"/>
  <c r="AN42" i="2"/>
  <c r="AP42" i="2"/>
  <c r="AQ42" i="2"/>
  <c r="AT42" i="2" s="1"/>
  <c r="AY42" i="2" s="1"/>
  <c r="AR42" i="2"/>
  <c r="AU42" i="2" s="1"/>
  <c r="AV42" i="2"/>
  <c r="AZ42" i="2" s="1"/>
  <c r="AX42" i="2"/>
  <c r="BB42" i="2"/>
  <c r="AB43" i="2"/>
  <c r="AD43" i="2" s="1"/>
  <c r="AF43" i="2" s="1"/>
  <c r="AJ43" i="2" s="1"/>
  <c r="AC43" i="2"/>
  <c r="AM43" i="2" s="1"/>
  <c r="AG43" i="2"/>
  <c r="AK43" i="2" s="1"/>
  <c r="AH43" i="2"/>
  <c r="AN43" i="2"/>
  <c r="AP43" i="2"/>
  <c r="AQ43" i="2"/>
  <c r="AR43" i="2"/>
  <c r="AU43" i="2" s="1"/>
  <c r="AX43" i="2" s="1"/>
  <c r="BB43" i="2"/>
  <c r="AB44" i="2"/>
  <c r="AD44" i="2" s="1"/>
  <c r="AF44" i="2" s="1"/>
  <c r="AJ44" i="2" s="1"/>
  <c r="AC44" i="2"/>
  <c r="AP44" i="2"/>
  <c r="AQ44" i="2"/>
  <c r="AT44" i="2" s="1"/>
  <c r="AY44" i="2" s="1"/>
  <c r="AR44" i="2"/>
  <c r="AU44" i="2" s="1"/>
  <c r="AX44" i="2" s="1"/>
  <c r="AV44" i="2"/>
  <c r="AZ44" i="2" s="1"/>
  <c r="BB44" i="2"/>
  <c r="AB45" i="2"/>
  <c r="AD45" i="2" s="1"/>
  <c r="AC45" i="2"/>
  <c r="AM45" i="2" s="1"/>
  <c r="AF45" i="2"/>
  <c r="AJ45" i="2" s="1"/>
  <c r="AG45" i="2"/>
  <c r="AK45" i="2" s="1"/>
  <c r="AH45" i="2"/>
  <c r="AN45" i="2"/>
  <c r="AP45" i="2"/>
  <c r="AQ45" i="2"/>
  <c r="AR45" i="2"/>
  <c r="AU45" i="2" s="1"/>
  <c r="AX45" i="2" s="1"/>
  <c r="AT45" i="2"/>
  <c r="AY45" i="2" s="1"/>
  <c r="BB45" i="2"/>
  <c r="AB46" i="2"/>
  <c r="AM46" i="2" s="1"/>
  <c r="AC46" i="2"/>
  <c r="AP46" i="2"/>
  <c r="AQ46" i="2"/>
  <c r="AT46" i="2" s="1"/>
  <c r="AY46" i="2" s="1"/>
  <c r="AR46" i="2"/>
  <c r="AU46" i="2" s="1"/>
  <c r="AV46" i="2"/>
  <c r="AZ46" i="2" s="1"/>
  <c r="AX46" i="2"/>
  <c r="BB46" i="2"/>
  <c r="AB10" i="2"/>
  <c r="BB10" i="2"/>
  <c r="AR10" i="2"/>
  <c r="AQ10" i="2"/>
  <c r="AP10" i="2"/>
  <c r="AC10" i="2"/>
  <c r="BB6" i="2"/>
  <c r="AR6" i="2"/>
  <c r="AQ6" i="2"/>
  <c r="AP6" i="2"/>
  <c r="AC6" i="2"/>
  <c r="AB6" i="2"/>
  <c r="BB5" i="2"/>
  <c r="AR5" i="2"/>
  <c r="AQ5" i="2"/>
  <c r="AP5" i="2"/>
  <c r="AC5" i="2"/>
  <c r="AB5" i="2"/>
  <c r="BB4" i="2"/>
  <c r="AR4" i="2"/>
  <c r="AQ4" i="2"/>
  <c r="AP4" i="2"/>
  <c r="AC4" i="2"/>
  <c r="AB4" i="2"/>
  <c r="AG26" i="2" l="1"/>
  <c r="AK26" i="2" s="1"/>
  <c r="AH26" i="2"/>
  <c r="AD20" i="2"/>
  <c r="AF20" i="2" s="1"/>
  <c r="AJ20" i="2" s="1"/>
  <c r="AV33" i="2"/>
  <c r="AZ33" i="2" s="1"/>
  <c r="AG32" i="2"/>
  <c r="AK32" i="2" s="1"/>
  <c r="AH32" i="2"/>
  <c r="AN28" i="2"/>
  <c r="AD26" i="2"/>
  <c r="AF26" i="2" s="1"/>
  <c r="AJ26" i="2" s="1"/>
  <c r="AV17" i="2"/>
  <c r="AZ17" i="2" s="1"/>
  <c r="AG16" i="2"/>
  <c r="AK16" i="2" s="1"/>
  <c r="AH16" i="2"/>
  <c r="AN12" i="2"/>
  <c r="AN44" i="2"/>
  <c r="AD36" i="2"/>
  <c r="AF36" i="2" s="1"/>
  <c r="AJ36" i="2" s="1"/>
  <c r="AV27" i="2"/>
  <c r="AZ27" i="2" s="1"/>
  <c r="AN46" i="2"/>
  <c r="AM44" i="2"/>
  <c r="AD42" i="2"/>
  <c r="AF42" i="2" s="1"/>
  <c r="AJ42" i="2" s="1"/>
  <c r="AV39" i="2"/>
  <c r="AZ39" i="2" s="1"/>
  <c r="AG38" i="2"/>
  <c r="AK38" i="2" s="1"/>
  <c r="AH38" i="2"/>
  <c r="AN34" i="2"/>
  <c r="AD32" i="2"/>
  <c r="AF32" i="2" s="1"/>
  <c r="AJ32" i="2" s="1"/>
  <c r="AM28" i="2"/>
  <c r="AV23" i="2"/>
  <c r="AZ23" i="2" s="1"/>
  <c r="AG22" i="2"/>
  <c r="AK22" i="2" s="1"/>
  <c r="AH22" i="2"/>
  <c r="AN18" i="2"/>
  <c r="AD16" i="2"/>
  <c r="AF16" i="2" s="1"/>
  <c r="AJ16" i="2" s="1"/>
  <c r="AU13" i="2"/>
  <c r="AX13" i="2" s="1"/>
  <c r="AV13" i="2"/>
  <c r="AZ13" i="2" s="1"/>
  <c r="AM12" i="2"/>
  <c r="AV43" i="2"/>
  <c r="AZ43" i="2" s="1"/>
  <c r="AG42" i="2"/>
  <c r="AK42" i="2" s="1"/>
  <c r="AH42" i="2"/>
  <c r="AV45" i="2"/>
  <c r="AZ45" i="2" s="1"/>
  <c r="AG44" i="2"/>
  <c r="AK44" i="2" s="1"/>
  <c r="AH44" i="2"/>
  <c r="AT41" i="2"/>
  <c r="AY41" i="2" s="1"/>
  <c r="AN40" i="2"/>
  <c r="AD38" i="2"/>
  <c r="AF38" i="2" s="1"/>
  <c r="AJ38" i="2" s="1"/>
  <c r="AG28" i="2"/>
  <c r="AK28" i="2" s="1"/>
  <c r="AH28" i="2"/>
  <c r="AT25" i="2"/>
  <c r="AY25" i="2" s="1"/>
  <c r="AD22" i="2"/>
  <c r="AF22" i="2" s="1"/>
  <c r="AJ22" i="2" s="1"/>
  <c r="AG12" i="2"/>
  <c r="AK12" i="2" s="1"/>
  <c r="AH12" i="2"/>
  <c r="AG18" i="2"/>
  <c r="AK18" i="2" s="1"/>
  <c r="AH18" i="2"/>
  <c r="AN14" i="2"/>
  <c r="AG46" i="2"/>
  <c r="AK46" i="2" s="1"/>
  <c r="AH46" i="2"/>
  <c r="AG34" i="2"/>
  <c r="AK34" i="2" s="1"/>
  <c r="AH34" i="2"/>
  <c r="AD46" i="2"/>
  <c r="AF46" i="2" s="1"/>
  <c r="AJ46" i="2" s="1"/>
  <c r="AV41" i="2"/>
  <c r="AZ41" i="2" s="1"/>
  <c r="AG40" i="2"/>
  <c r="AK40" i="2" s="1"/>
  <c r="AH40" i="2"/>
  <c r="AN36" i="2"/>
  <c r="AD34" i="2"/>
  <c r="AF34" i="2" s="1"/>
  <c r="AJ34" i="2" s="1"/>
  <c r="AM30" i="2"/>
  <c r="AV25" i="2"/>
  <c r="AZ25" i="2" s="1"/>
  <c r="AG24" i="2"/>
  <c r="AK24" i="2" s="1"/>
  <c r="AH24" i="2"/>
  <c r="AN20" i="2"/>
  <c r="AD18" i="2"/>
  <c r="AF18" i="2" s="1"/>
  <c r="AJ18" i="2" s="1"/>
  <c r="AM14" i="2"/>
  <c r="AT43" i="2"/>
  <c r="AY43" i="2" s="1"/>
  <c r="AM36" i="2"/>
  <c r="AG30" i="2"/>
  <c r="AK30" i="2" s="1"/>
  <c r="AH30" i="2"/>
  <c r="AT27" i="2"/>
  <c r="AY27" i="2" s="1"/>
  <c r="AN26" i="2"/>
  <c r="AD24" i="2"/>
  <c r="AF24" i="2" s="1"/>
  <c r="AJ24" i="2" s="1"/>
  <c r="AM20" i="2"/>
  <c r="AV15" i="2"/>
  <c r="AZ15" i="2" s="1"/>
  <c r="AG14" i="2"/>
  <c r="AK14" i="2" s="1"/>
  <c r="AH14" i="2"/>
  <c r="AG36" i="2"/>
  <c r="AK36" i="2" s="1"/>
  <c r="AH36" i="2"/>
  <c r="AG20" i="2"/>
  <c r="AK20" i="2" s="1"/>
  <c r="AH20" i="2"/>
  <c r="AT17" i="2"/>
  <c r="AY17" i="2" s="1"/>
  <c r="AU11" i="2"/>
  <c r="AX11" i="2" s="1"/>
  <c r="AV11" i="2"/>
  <c r="AZ11" i="2" s="1"/>
  <c r="AU12" i="2"/>
  <c r="AX12" i="2" s="1"/>
  <c r="AG5" i="2"/>
  <c r="AK5" i="2" s="1"/>
  <c r="AV5" i="2"/>
  <c r="AZ5" i="2" s="1"/>
  <c r="AU4" i="2"/>
  <c r="AX4" i="2" s="1"/>
  <c r="AV10" i="2"/>
  <c r="AZ10" i="2" s="1"/>
  <c r="AU6" i="2"/>
  <c r="AX6" i="2" s="1"/>
  <c r="AD5" i="2"/>
  <c r="AF5" i="2" s="1"/>
  <c r="AJ5" i="2" s="1"/>
  <c r="AD6" i="2"/>
  <c r="AF6" i="2" s="1"/>
  <c r="AJ6" i="2" s="1"/>
  <c r="AT10" i="2"/>
  <c r="AY10" i="2" s="1"/>
  <c r="AM4" i="2"/>
  <c r="AU10" i="2"/>
  <c r="AX10" i="2" s="1"/>
  <c r="AV6" i="2"/>
  <c r="AZ6" i="2" s="1"/>
  <c r="AV4" i="2"/>
  <c r="AZ4" i="2" s="1"/>
  <c r="AU5" i="2"/>
  <c r="AX5" i="2" s="1"/>
  <c r="AM10" i="2"/>
  <c r="AD10" i="2"/>
  <c r="AD4" i="2"/>
  <c r="AF4" i="2" s="1"/>
  <c r="AJ4" i="2" s="1"/>
  <c r="AG6" i="2"/>
  <c r="AK6" i="2" s="1"/>
  <c r="AT6" i="2"/>
  <c r="AY6" i="2" s="1"/>
  <c r="AM5" i="2"/>
  <c r="AG4" i="2"/>
  <c r="AK4" i="2" s="1"/>
  <c r="AT4" i="2"/>
  <c r="AY4" i="2" s="1"/>
  <c r="AM6" i="2"/>
  <c r="AT5" i="2"/>
  <c r="AY5" i="2" s="1"/>
  <c r="AM52" i="9" l="1"/>
  <c r="AM58" i="9" s="1"/>
  <c r="AG52" i="9"/>
  <c r="AG59" i="9" s="1"/>
  <c r="AF52" i="9"/>
  <c r="AF59" i="9" s="1"/>
  <c r="B52" i="9"/>
  <c r="AM51" i="9"/>
  <c r="AG51" i="9"/>
  <c r="AF51" i="9"/>
  <c r="B51" i="9"/>
  <c r="AM53" i="9" l="1"/>
  <c r="AF56" i="9"/>
  <c r="AF58" i="9"/>
  <c r="AG53" i="9"/>
  <c r="AG58" i="9"/>
  <c r="AM55" i="9"/>
  <c r="AG56" i="9"/>
  <c r="AF54" i="9"/>
  <c r="AM56" i="9"/>
  <c r="AG54" i="9"/>
  <c r="AF57" i="9"/>
  <c r="AM59" i="9"/>
  <c r="AM54" i="9"/>
  <c r="AG57" i="9"/>
  <c r="AF55" i="9"/>
  <c r="AM57" i="9"/>
  <c r="AG55" i="9"/>
  <c r="AF53" i="9"/>
  <c r="AC8" i="2" l="1"/>
  <c r="AB8" i="2"/>
  <c r="AH10" i="2" l="1"/>
  <c r="AN10" i="2"/>
  <c r="AH5" i="2"/>
  <c r="AH6" i="2"/>
  <c r="AH4" i="2"/>
  <c r="AG8" i="2"/>
  <c r="AG10" i="2" l="1"/>
  <c r="AK10" i="2" s="1"/>
  <c r="AH8" i="2"/>
  <c r="AD8" i="2" l="1"/>
  <c r="AF8" i="2" l="1"/>
  <c r="AF10" i="2" l="1"/>
  <c r="AJ10" i="2" s="1"/>
</calcChain>
</file>

<file path=xl/sharedStrings.xml><?xml version="1.0" encoding="utf-8"?>
<sst xmlns="http://schemas.openxmlformats.org/spreadsheetml/2006/main" count="445" uniqueCount="189">
  <si>
    <t>Sample ID</t>
  </si>
  <si>
    <t>Type</t>
  </si>
  <si>
    <t>WL750.0</t>
  </si>
  <si>
    <t>WL665.0</t>
  </si>
  <si>
    <t>WL664.0</t>
  </si>
  <si>
    <t>WL663.0</t>
  </si>
  <si>
    <t>WL647.0</t>
  </si>
  <si>
    <t>WL630.0</t>
  </si>
  <si>
    <t>WL490.0</t>
  </si>
  <si>
    <t>WL384.0</t>
  </si>
  <si>
    <t>Comments</t>
  </si>
  <si>
    <t>Unknown</t>
  </si>
  <si>
    <t>Date run</t>
  </si>
  <si>
    <t>Volume filtered (ml)</t>
  </si>
  <si>
    <t>Final volume of extract (ml)</t>
  </si>
  <si>
    <t>absorbance before acidification</t>
  </si>
  <si>
    <t>absorbance after acidification</t>
  </si>
  <si>
    <t>difference before and after</t>
  </si>
  <si>
    <t>Chlorophyll a in extract (ug/L from Arar)</t>
  </si>
  <si>
    <t>Pheopigment in extract (ug/L from Arar)</t>
  </si>
  <si>
    <t>Chlorophyll a Conc of original water sample in ug/L (or mg/m3-same thing- APHA)</t>
  </si>
  <si>
    <t>Pheopigment Conc of original water sample in ug/L (or mg/m3-same thing- APHA)</t>
  </si>
  <si>
    <t>Ratio before and after (1 = all pheo, 1.72 = all chla)</t>
  </si>
  <si>
    <t>ABS at 383 from Scytonemin</t>
  </si>
  <si>
    <t>ABS at 663 from Chl a</t>
  </si>
  <si>
    <t>ABS at 490 from Carotenoids</t>
  </si>
  <si>
    <t>Beers law calc of Chl a conc using α of 89.71</t>
  </si>
  <si>
    <t>Beers law calc of Scytonemin conc using α of 112.61</t>
  </si>
  <si>
    <t>use the value for beta carotene for carotenoids 262.0</t>
  </si>
  <si>
    <t>Calculate according to Jeffery and Humphrey trichromatic method as reported by Arar EPA 446</t>
  </si>
  <si>
    <t>Artificially set to 500 as per a typical sample</t>
  </si>
  <si>
    <t>problems if not 0.000 +- 0.005</t>
  </si>
  <si>
    <t>problems if negative</t>
  </si>
  <si>
    <t>BD if &lt;34</t>
  </si>
  <si>
    <t>problems if not between 1 and 1.72</t>
  </si>
  <si>
    <t>Chlorella reference material upstairs 29aug18</t>
  </si>
  <si>
    <t>ethanol_blank</t>
  </si>
  <si>
    <t>CV</t>
  </si>
  <si>
    <t>Mean</t>
  </si>
  <si>
    <t>Std</t>
  </si>
  <si>
    <t>Warning Limit</t>
  </si>
  <si>
    <t>Xbar - 2SD</t>
  </si>
  <si>
    <t>Xbar + 2SD</t>
  </si>
  <si>
    <t>Control Limit</t>
  </si>
  <si>
    <t>Xbar - 3SD</t>
  </si>
  <si>
    <t>Xbar + 3SD</t>
  </si>
  <si>
    <t>MDL</t>
  </si>
  <si>
    <t>STD x 3.14</t>
  </si>
  <si>
    <t>LOQ</t>
  </si>
  <si>
    <t>STD x 10</t>
  </si>
  <si>
    <t>Min</t>
  </si>
  <si>
    <t>Max</t>
  </si>
  <si>
    <t>problems if &lt;0.030  better if &gt;0.1</t>
  </si>
  <si>
    <t>MEAN FOR ETHANOL BLANKS</t>
  </si>
  <si>
    <t>Turbidity Corrected ABS 384</t>
  </si>
  <si>
    <t>Turbidity Corrected ABS 490</t>
  </si>
  <si>
    <t>Turbidity Corrected ABS 663</t>
  </si>
  <si>
    <t>before acidification (turbidity corrected)</t>
  </si>
  <si>
    <t>after acidification (turbidity corrected)</t>
  </si>
  <si>
    <t>Pheopigment in extract (ug/L) with ethanol blank correction</t>
  </si>
  <si>
    <t>BN_known_before</t>
  </si>
  <si>
    <t>BN_known_acid</t>
  </si>
  <si>
    <t>chlorella reference</t>
  </si>
  <si>
    <t>Ratio- ethanol blank corrected</t>
  </si>
  <si>
    <t>problems if &lt;0.030</t>
  </si>
  <si>
    <t>Chlorella reference material</t>
  </si>
  <si>
    <t>nd</t>
  </si>
  <si>
    <t>Chlorella reference material downstairs 28aug18</t>
  </si>
  <si>
    <t>chlorella_reference_1</t>
  </si>
  <si>
    <t>chlorella_reference_2</t>
  </si>
  <si>
    <t>chlorella_reference_3</t>
  </si>
  <si>
    <t>after_10</t>
  </si>
  <si>
    <t>after_11</t>
  </si>
  <si>
    <t>after_12</t>
  </si>
  <si>
    <t>after_13</t>
  </si>
  <si>
    <t>after_14</t>
  </si>
  <si>
    <t>after_15</t>
  </si>
  <si>
    <t>after_16</t>
  </si>
  <si>
    <t>after_17</t>
  </si>
  <si>
    <t>after_18</t>
  </si>
  <si>
    <t>after_19</t>
  </si>
  <si>
    <t>after_2</t>
  </si>
  <si>
    <t>after_20</t>
  </si>
  <si>
    <t>after_21</t>
  </si>
  <si>
    <t>after_22</t>
  </si>
  <si>
    <t>after_23</t>
  </si>
  <si>
    <t>after_24</t>
  </si>
  <si>
    <t>after_25</t>
  </si>
  <si>
    <t>after_26</t>
  </si>
  <si>
    <t>after_27</t>
  </si>
  <si>
    <t>after_28</t>
  </si>
  <si>
    <t>after_29</t>
  </si>
  <si>
    <t>after_3</t>
  </si>
  <si>
    <t>after_30</t>
  </si>
  <si>
    <t>after_31</t>
  </si>
  <si>
    <t>after_32</t>
  </si>
  <si>
    <t>after_33</t>
  </si>
  <si>
    <t>after_34</t>
  </si>
  <si>
    <t>after_35</t>
  </si>
  <si>
    <t>after_36</t>
  </si>
  <si>
    <t>after_37_2mlDilute</t>
  </si>
  <si>
    <t>after_38</t>
  </si>
  <si>
    <t>after_39</t>
  </si>
  <si>
    <t>after_4</t>
  </si>
  <si>
    <t>after_40</t>
  </si>
  <si>
    <t>after_5</t>
  </si>
  <si>
    <t>after_6</t>
  </si>
  <si>
    <t>after_7</t>
  </si>
  <si>
    <t>after_8</t>
  </si>
  <si>
    <t>after_9</t>
  </si>
  <si>
    <t>before_1</t>
  </si>
  <si>
    <t>before_10</t>
  </si>
  <si>
    <t>before_11</t>
  </si>
  <si>
    <t>before_12</t>
  </si>
  <si>
    <t>before_13</t>
  </si>
  <si>
    <t>before_14</t>
  </si>
  <si>
    <t>before_15</t>
  </si>
  <si>
    <t>before_16</t>
  </si>
  <si>
    <t>before_17</t>
  </si>
  <si>
    <t>before_18</t>
  </si>
  <si>
    <t>before_19</t>
  </si>
  <si>
    <t>before_2</t>
  </si>
  <si>
    <t>before_20</t>
  </si>
  <si>
    <t>before_21</t>
  </si>
  <si>
    <t>before_22</t>
  </si>
  <si>
    <t>before_23</t>
  </si>
  <si>
    <t>before_24</t>
  </si>
  <si>
    <t>before_25</t>
  </si>
  <si>
    <t>before_26</t>
  </si>
  <si>
    <t>before_27</t>
  </si>
  <si>
    <t>before_28</t>
  </si>
  <si>
    <t>before_29</t>
  </si>
  <si>
    <t>before_3</t>
  </si>
  <si>
    <t>before_30</t>
  </si>
  <si>
    <t>before_31</t>
  </si>
  <si>
    <t>before_32</t>
  </si>
  <si>
    <t>before_33</t>
  </si>
  <si>
    <t>before_34</t>
  </si>
  <si>
    <t>before_35</t>
  </si>
  <si>
    <t>before_36</t>
  </si>
  <si>
    <t>before_37_2mlDilute</t>
  </si>
  <si>
    <t>before_38</t>
  </si>
  <si>
    <t>before_39</t>
  </si>
  <si>
    <t>before_4</t>
  </si>
  <si>
    <t>before_40</t>
  </si>
  <si>
    <t>before_5</t>
  </si>
  <si>
    <t>before_6</t>
  </si>
  <si>
    <t>before_7</t>
  </si>
  <si>
    <t>before_8</t>
  </si>
  <si>
    <t>before_9_2</t>
  </si>
  <si>
    <t>EtOH_blank</t>
  </si>
  <si>
    <t>CL12 8/18/22</t>
  </si>
  <si>
    <t>CL094</t>
  </si>
  <si>
    <t>Max Creek (7) 6/17/22</t>
  </si>
  <si>
    <t>CL02 6/12</t>
  </si>
  <si>
    <t>CL02 7/14</t>
  </si>
  <si>
    <t>MC 2 7/14</t>
  </si>
  <si>
    <t>CL07 8/18/22</t>
  </si>
  <si>
    <t>CL10 6/17</t>
  </si>
  <si>
    <t>BRI 7/14</t>
  </si>
  <si>
    <t>CL02 8/18/22</t>
  </si>
  <si>
    <t>CL08 6/17</t>
  </si>
  <si>
    <t>CL08 7/14</t>
  </si>
  <si>
    <t>BR2 1/2 7/14</t>
  </si>
  <si>
    <t>CL09A 8/18/22</t>
  </si>
  <si>
    <t>CL09 6/17</t>
  </si>
  <si>
    <t>CL04 7/14</t>
  </si>
  <si>
    <t>BR 2/2 7/14</t>
  </si>
  <si>
    <t>Max Creek 8/18/22</t>
  </si>
  <si>
    <t>CL07 6/17</t>
  </si>
  <si>
    <t>CL12 7/14</t>
  </si>
  <si>
    <t>CL10 8/18/22</t>
  </si>
  <si>
    <t>CL12 6/17</t>
  </si>
  <si>
    <t>MC1 7/14</t>
  </si>
  <si>
    <t>Big Reed 8/18/22</t>
  </si>
  <si>
    <t>CL08 8/18/22</t>
  </si>
  <si>
    <t>Big Reed (7) 6/17</t>
  </si>
  <si>
    <t>Big Reed (1) 6/17</t>
  </si>
  <si>
    <t>Big Reed 2 8/18/22</t>
  </si>
  <si>
    <t>CL04 8/18/22</t>
  </si>
  <si>
    <t>CL04 6/17</t>
  </si>
  <si>
    <t>CL11 6/17</t>
  </si>
  <si>
    <t>CL10 7/14</t>
  </si>
  <si>
    <t>Max Creek 2 8/18/22</t>
  </si>
  <si>
    <t>CL11 8/18/22</t>
  </si>
  <si>
    <t>CL11 7/14</t>
  </si>
  <si>
    <t>Max Creek (1)</t>
  </si>
  <si>
    <t>CL01 7/14</t>
  </si>
  <si>
    <t>Max Creek (1) from bottom???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</si>
</sst>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00000"/>
    <numFmt numFmtId="166" formatCode="0.000"/>
    <numFmt numFmtId="167" formatCode="#,##0.000"/>
    <numFmt numFmtId="168" formatCode="[$-409]d\-mmm\-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25">
    <xf numFmtId="0" fontId="0" fillId="0" borderId="0" xfId="0"/>
    <xf numFmtId="0" fontId="1" fillId="0" borderId="0" xfId="1" applyAlignment="1">
      <alignment wrapText="1"/>
    </xf>
    <xf numFmtId="164" fontId="1" fillId="0" borderId="0" xfId="1" applyNumberFormat="1" applyAlignment="1">
      <alignment wrapText="1"/>
    </xf>
    <xf numFmtId="0" fontId="1" fillId="0" borderId="0" xfId="1"/>
    <xf numFmtId="164" fontId="1" fillId="0" borderId="0" xfId="1" applyNumberFormat="1"/>
    <xf numFmtId="165" fontId="1" fillId="0" borderId="0" xfId="1" applyNumberFormat="1" applyAlignment="1">
      <alignment wrapText="1"/>
    </xf>
    <xf numFmtId="166" fontId="1" fillId="0" borderId="0" xfId="1" applyNumberFormat="1"/>
    <xf numFmtId="1" fontId="1" fillId="0" borderId="0" xfId="1" applyNumberFormat="1"/>
    <xf numFmtId="2" fontId="1" fillId="0" borderId="0" xfId="1" applyNumberFormat="1"/>
    <xf numFmtId="15" fontId="1" fillId="0" borderId="0" xfId="1" applyNumberFormat="1"/>
    <xf numFmtId="166" fontId="3" fillId="0" borderId="0" xfId="2" applyNumberFormat="1" applyFont="1" applyAlignment="1">
      <alignment vertical="top"/>
    </xf>
    <xf numFmtId="0" fontId="4" fillId="0" borderId="0" xfId="0" applyFont="1"/>
    <xf numFmtId="0" fontId="1" fillId="0" borderId="0" xfId="3"/>
    <xf numFmtId="2" fontId="1" fillId="2" borderId="0" xfId="1" applyNumberFormat="1" applyFill="1"/>
    <xf numFmtId="0" fontId="0" fillId="2" borderId="0" xfId="0" applyFill="1"/>
    <xf numFmtId="0" fontId="1" fillId="2" borderId="0" xfId="1" applyFill="1"/>
    <xf numFmtId="166" fontId="1" fillId="2" borderId="0" xfId="1" applyNumberFormat="1" applyFill="1"/>
    <xf numFmtId="1" fontId="1" fillId="2" borderId="0" xfId="1" applyNumberFormat="1" applyFill="1"/>
    <xf numFmtId="164" fontId="1" fillId="2" borderId="0" xfId="1" applyNumberFormat="1" applyFill="1"/>
    <xf numFmtId="15" fontId="0" fillId="2" borderId="0" xfId="0" applyNumberFormat="1" applyFill="1"/>
    <xf numFmtId="166" fontId="0" fillId="2" borderId="0" xfId="0" applyNumberFormat="1" applyFill="1"/>
    <xf numFmtId="2" fontId="1" fillId="0" borderId="0" xfId="1" applyNumberFormat="1" applyAlignment="1">
      <alignment wrapText="1"/>
    </xf>
    <xf numFmtId="166" fontId="0" fillId="0" borderId="0" xfId="0" applyNumberFormat="1"/>
    <xf numFmtId="167" fontId="1" fillId="0" borderId="0" xfId="1" applyNumberFormat="1"/>
    <xf numFmtId="168" fontId="1" fillId="0" borderId="0" xfId="1" applyNumberFormat="1"/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6" xfId="2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chla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chart'!$AF$26:$AF$49</c:f>
              <c:numCache>
                <c:formatCode>0</c:formatCode>
                <c:ptCount val="24"/>
                <c:pt idx="0">
                  <c:v>377.01800000000003</c:v>
                </c:pt>
                <c:pt idx="1">
                  <c:v>431.7</c:v>
                </c:pt>
                <c:pt idx="2">
                  <c:v>489.26000000000005</c:v>
                </c:pt>
                <c:pt idx="3">
                  <c:v>460.47999999999979</c:v>
                </c:pt>
                <c:pt idx="4">
                  <c:v>546.81999999999994</c:v>
                </c:pt>
                <c:pt idx="5">
                  <c:v>489.26000000000005</c:v>
                </c:pt>
                <c:pt idx="6">
                  <c:v>429.60000000000019</c:v>
                </c:pt>
                <c:pt idx="7">
                  <c:v>658.72</c:v>
                </c:pt>
                <c:pt idx="8">
                  <c:v>658.72</c:v>
                </c:pt>
                <c:pt idx="9">
                  <c:v>572.80000000000007</c:v>
                </c:pt>
                <c:pt idx="10">
                  <c:v>572.80000000000007</c:v>
                </c:pt>
                <c:pt idx="11">
                  <c:v>544.16000000000008</c:v>
                </c:pt>
                <c:pt idx="12">
                  <c:v>544.16000000000008</c:v>
                </c:pt>
                <c:pt idx="13">
                  <c:v>515.5200000000001</c:v>
                </c:pt>
                <c:pt idx="14">
                  <c:v>448.69333333333338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E-4813-B6C6-6A266F3FA047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chart'!$AF$55,'rolling QA chart'!$AF$55)</c:f>
              <c:numCache>
                <c:formatCode>General</c:formatCode>
                <c:ptCount val="2"/>
                <c:pt idx="0">
                  <c:v>678.68706814408529</c:v>
                </c:pt>
                <c:pt idx="1">
                  <c:v>678.68706814408529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CE-4813-B6C6-6A266F3FA047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chart'!$AF$54,'rolling QA chart'!$AF$54)</c:f>
              <c:numCache>
                <c:formatCode>General</c:formatCode>
                <c:ptCount val="2"/>
                <c:pt idx="0">
                  <c:v>353.27444296702612</c:v>
                </c:pt>
                <c:pt idx="1">
                  <c:v>353.27444296702612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CE-4813-B6C6-6A266F3FA047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chart'!$AF$57,'rolling QA chart'!$AF$57)</c:f>
              <c:numCache>
                <c:formatCode>General</c:formatCode>
                <c:ptCount val="2"/>
                <c:pt idx="0">
                  <c:v>760.04022443835004</c:v>
                </c:pt>
                <c:pt idx="1">
                  <c:v>760.04022443835004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CE-4813-B6C6-6A266F3FA047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chart'!$AF$56,'rolling QA chart'!$AF$56)</c:f>
              <c:numCache>
                <c:formatCode>General</c:formatCode>
                <c:ptCount val="2"/>
                <c:pt idx="0">
                  <c:v>271.92128667276131</c:v>
                </c:pt>
                <c:pt idx="1">
                  <c:v>271.92128667276131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CE-4813-B6C6-6A266F3FA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pheopigment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chart'!$AG$26:$AG$49</c:f>
              <c:numCache>
                <c:formatCode>0</c:formatCode>
                <c:ptCount val="24"/>
                <c:pt idx="0">
                  <c:v>679.78359999999986</c:v>
                </c:pt>
                <c:pt idx="1">
                  <c:v>853.03919999999994</c:v>
                </c:pt>
                <c:pt idx="2">
                  <c:v>795.47919999999999</c:v>
                </c:pt>
                <c:pt idx="3">
                  <c:v>762.09440000000006</c:v>
                </c:pt>
                <c:pt idx="4">
                  <c:v>613.58960000000013</c:v>
                </c:pt>
                <c:pt idx="5">
                  <c:v>484.65519999999981</c:v>
                </c:pt>
                <c:pt idx="6">
                  <c:v>766.40639999999973</c:v>
                </c:pt>
                <c:pt idx="7">
                  <c:v>496.04480000000007</c:v>
                </c:pt>
                <c:pt idx="8">
                  <c:v>496.04480000000007</c:v>
                </c:pt>
                <c:pt idx="9">
                  <c:v>375.75679999999977</c:v>
                </c:pt>
                <c:pt idx="10">
                  <c:v>375.75679999999977</c:v>
                </c:pt>
                <c:pt idx="11">
                  <c:v>404.39679999999981</c:v>
                </c:pt>
                <c:pt idx="12">
                  <c:v>404.39679999999981</c:v>
                </c:pt>
                <c:pt idx="13">
                  <c:v>433.03679999999986</c:v>
                </c:pt>
                <c:pt idx="14">
                  <c:v>472.36906666666647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F-47F6-9FAD-5A67415AE2F8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chart'!$AG$55,'rolling QA chart'!$AG$55)</c:f>
              <c:numCache>
                <c:formatCode>General</c:formatCode>
                <c:ptCount val="2"/>
                <c:pt idx="0">
                  <c:v>897.20223643370105</c:v>
                </c:pt>
                <c:pt idx="1">
                  <c:v>897.20223643370105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DF-47F6-9FAD-5A67415AE2F8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chart'!$AG$54,'rolling QA chart'!$AG$54)</c:f>
              <c:numCache>
                <c:formatCode>General</c:formatCode>
                <c:ptCount val="2"/>
                <c:pt idx="0">
                  <c:v>224.51113245518769</c:v>
                </c:pt>
                <c:pt idx="1">
                  <c:v>224.51113245518769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DF-47F6-9FAD-5A67415AE2F8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chart'!$AG$57,'rolling QA chart'!$AG$57)</c:f>
              <c:numCache>
                <c:formatCode>General</c:formatCode>
                <c:ptCount val="2"/>
                <c:pt idx="0">
                  <c:v>1065.3750124283292</c:v>
                </c:pt>
                <c:pt idx="1">
                  <c:v>1065.3750124283292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DF-47F6-9FAD-5A67415AE2F8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chart'!$AG$56,'rolling QA chart'!$AG$56)</c:f>
              <c:numCache>
                <c:formatCode>General</c:formatCode>
                <c:ptCount val="2"/>
                <c:pt idx="0">
                  <c:v>56.338356460559339</c:v>
                </c:pt>
                <c:pt idx="1">
                  <c:v>56.338356460559339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DF-47F6-9FAD-5A67415AE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ratio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chart'!$AM$26:$AM$49</c:f>
              <c:numCache>
                <c:formatCode>0.00</c:formatCode>
                <c:ptCount val="24"/>
                <c:pt idx="0">
                  <c:v>1.2568627450980392</c:v>
                </c:pt>
                <c:pt idx="1">
                  <c:v>1.2419354838709677</c:v>
                </c:pt>
                <c:pt idx="2">
                  <c:v>1.2741935483870968</c:v>
                </c:pt>
                <c:pt idx="3">
                  <c:v>1.271186440677966</c:v>
                </c:pt>
                <c:pt idx="4">
                  <c:v>1.3392857142857142</c:v>
                </c:pt>
                <c:pt idx="5">
                  <c:v>1.3617021276595744</c:v>
                </c:pt>
                <c:pt idx="6">
                  <c:v>1.2586206896551726</c:v>
                </c:pt>
                <c:pt idx="7">
                  <c:v>1.4107142857142858</c:v>
                </c:pt>
                <c:pt idx="8">
                  <c:v>1.4107142857142858</c:v>
                </c:pt>
                <c:pt idx="9">
                  <c:v>1.4347826086956523</c:v>
                </c:pt>
                <c:pt idx="10">
                  <c:v>1.4347826086956523</c:v>
                </c:pt>
                <c:pt idx="11">
                  <c:v>1.4130434782608696</c:v>
                </c:pt>
                <c:pt idx="12">
                  <c:v>1.4130434782608696</c:v>
                </c:pt>
                <c:pt idx="13">
                  <c:v>1.3913043478260869</c:v>
                </c:pt>
                <c:pt idx="14">
                  <c:v>1.4047619047619047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E-42E8-A759-B2AD24B0861B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chart'!$AM$55,'rolling QA chart'!$AM$55)</c:f>
              <c:numCache>
                <c:formatCode>General</c:formatCode>
                <c:ptCount val="2"/>
                <c:pt idx="0">
                  <c:v>1.5008632922032075</c:v>
                </c:pt>
                <c:pt idx="1">
                  <c:v>1.5008632922032075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3E-42E8-A759-B2AD24B0861B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chart'!$AM$54,'rolling QA chart'!$AM$54)</c:f>
              <c:numCache>
                <c:formatCode>General</c:formatCode>
                <c:ptCount val="2"/>
                <c:pt idx="0">
                  <c:v>1.2080612074720116</c:v>
                </c:pt>
                <c:pt idx="1">
                  <c:v>1.2080612074720116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3E-42E8-A759-B2AD24B0861B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chart'!$AM$57,'rolling QA chart'!$AM$57)</c:f>
              <c:numCache>
                <c:formatCode>General</c:formatCode>
                <c:ptCount val="2"/>
                <c:pt idx="0">
                  <c:v>1.5740638133860065</c:v>
                </c:pt>
                <c:pt idx="1">
                  <c:v>1.5740638133860065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3E-42E8-A759-B2AD24B0861B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chart'!$AM$56,'rolling QA chart'!$AM$56)</c:f>
              <c:numCache>
                <c:formatCode>General</c:formatCode>
                <c:ptCount val="2"/>
                <c:pt idx="0">
                  <c:v>1.1348606862892126</c:v>
                </c:pt>
                <c:pt idx="1">
                  <c:v>1.1348606862892126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3E-42E8-A759-B2AD24B0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ax val="1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  <a:r>
                  <a:rPr lang="en-US" baseline="0"/>
                  <a:t> before/after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146050</xdr:rowOff>
    </xdr:from>
    <xdr:to>
      <xdr:col>6</xdr:col>
      <xdr:colOff>292100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501650</xdr:colOff>
      <xdr:row>1</xdr:row>
      <xdr:rowOff>25400</xdr:rowOff>
    </xdr:from>
    <xdr:to>
      <xdr:col>14</xdr:col>
      <xdr:colOff>247650</xdr:colOff>
      <xdr:row>21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558800</xdr:colOff>
      <xdr:row>1</xdr:row>
      <xdr:rowOff>38100</xdr:rowOff>
    </xdr:from>
    <xdr:to>
      <xdr:col>22</xdr:col>
      <xdr:colOff>304800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9"/>
  <sheetViews>
    <sheetView tabSelected="1" topLeftCell="AF18" workbookViewId="0">
      <selection activeCell="A43" sqref="A43:XFD43"/>
    </sheetView>
  </sheetViews>
  <sheetFormatPr defaultRowHeight="12.5" x14ac:dyDescent="0.25"/>
  <cols>
    <col min="1" max="1" width="27" style="3" customWidth="1"/>
    <col min="2" max="2" width="12" style="3" customWidth="1"/>
    <col min="3" max="15" width="10.7265625" style="3" customWidth="1"/>
    <col min="16" max="16" width="4.81640625" style="3" customWidth="1"/>
    <col min="17" max="18" width="23.6328125" style="3" customWidth="1"/>
    <col min="19" max="35" width="10.7265625" style="3" customWidth="1"/>
    <col min="36" max="37" width="10.7265625" style="4" customWidth="1"/>
    <col min="38" max="39" width="10.7265625" style="3" customWidth="1"/>
    <col min="40" max="49" width="8.7265625" style="3"/>
    <col min="50" max="50" width="12.08984375" style="3" bestFit="1" customWidth="1"/>
    <col min="51" max="252" width="8.7265625" style="3"/>
    <col min="253" max="254" width="18.54296875" style="3" customWidth="1"/>
    <col min="255" max="270" width="8.7265625" style="3"/>
    <col min="271" max="271" width="13.81640625" style="3" customWidth="1"/>
    <col min="272" max="272" width="16.81640625" style="3" customWidth="1"/>
    <col min="273" max="508" width="8.7265625" style="3"/>
    <col min="509" max="510" width="18.54296875" style="3" customWidth="1"/>
    <col min="511" max="526" width="8.7265625" style="3"/>
    <col min="527" max="527" width="13.81640625" style="3" customWidth="1"/>
    <col min="528" max="528" width="16.81640625" style="3" customWidth="1"/>
    <col min="529" max="764" width="8.7265625" style="3"/>
    <col min="765" max="766" width="18.54296875" style="3" customWidth="1"/>
    <col min="767" max="782" width="8.7265625" style="3"/>
    <col min="783" max="783" width="13.81640625" style="3" customWidth="1"/>
    <col min="784" max="784" width="16.81640625" style="3" customWidth="1"/>
    <col min="785" max="1020" width="8.7265625" style="3"/>
    <col min="1021" max="1022" width="18.54296875" style="3" customWidth="1"/>
    <col min="1023" max="1038" width="8.7265625" style="3"/>
    <col min="1039" max="1039" width="13.81640625" style="3" customWidth="1"/>
    <col min="1040" max="1040" width="16.81640625" style="3" customWidth="1"/>
    <col min="1041" max="1276" width="8.7265625" style="3"/>
    <col min="1277" max="1278" width="18.54296875" style="3" customWidth="1"/>
    <col min="1279" max="1294" width="8.7265625" style="3"/>
    <col min="1295" max="1295" width="13.81640625" style="3" customWidth="1"/>
    <col min="1296" max="1296" width="16.81640625" style="3" customWidth="1"/>
    <col min="1297" max="1532" width="8.7265625" style="3"/>
    <col min="1533" max="1534" width="18.54296875" style="3" customWidth="1"/>
    <col min="1535" max="1550" width="8.7265625" style="3"/>
    <col min="1551" max="1551" width="13.81640625" style="3" customWidth="1"/>
    <col min="1552" max="1552" width="16.81640625" style="3" customWidth="1"/>
    <col min="1553" max="1788" width="8.7265625" style="3"/>
    <col min="1789" max="1790" width="18.54296875" style="3" customWidth="1"/>
    <col min="1791" max="1806" width="8.7265625" style="3"/>
    <col min="1807" max="1807" width="13.81640625" style="3" customWidth="1"/>
    <col min="1808" max="1808" width="16.81640625" style="3" customWidth="1"/>
    <col min="1809" max="2044" width="8.7265625" style="3"/>
    <col min="2045" max="2046" width="18.54296875" style="3" customWidth="1"/>
    <col min="2047" max="2062" width="8.7265625" style="3"/>
    <col min="2063" max="2063" width="13.81640625" style="3" customWidth="1"/>
    <col min="2064" max="2064" width="16.81640625" style="3" customWidth="1"/>
    <col min="2065" max="2300" width="8.7265625" style="3"/>
    <col min="2301" max="2302" width="18.54296875" style="3" customWidth="1"/>
    <col min="2303" max="2318" width="8.7265625" style="3"/>
    <col min="2319" max="2319" width="13.81640625" style="3" customWidth="1"/>
    <col min="2320" max="2320" width="16.81640625" style="3" customWidth="1"/>
    <col min="2321" max="2556" width="8.7265625" style="3"/>
    <col min="2557" max="2558" width="18.54296875" style="3" customWidth="1"/>
    <col min="2559" max="2574" width="8.7265625" style="3"/>
    <col min="2575" max="2575" width="13.81640625" style="3" customWidth="1"/>
    <col min="2576" max="2576" width="16.81640625" style="3" customWidth="1"/>
    <col min="2577" max="2812" width="8.7265625" style="3"/>
    <col min="2813" max="2814" width="18.54296875" style="3" customWidth="1"/>
    <col min="2815" max="2830" width="8.7265625" style="3"/>
    <col min="2831" max="2831" width="13.81640625" style="3" customWidth="1"/>
    <col min="2832" max="2832" width="16.81640625" style="3" customWidth="1"/>
    <col min="2833" max="3068" width="8.7265625" style="3"/>
    <col min="3069" max="3070" width="18.54296875" style="3" customWidth="1"/>
    <col min="3071" max="3086" width="8.7265625" style="3"/>
    <col min="3087" max="3087" width="13.81640625" style="3" customWidth="1"/>
    <col min="3088" max="3088" width="16.81640625" style="3" customWidth="1"/>
    <col min="3089" max="3324" width="8.7265625" style="3"/>
    <col min="3325" max="3326" width="18.54296875" style="3" customWidth="1"/>
    <col min="3327" max="3342" width="8.7265625" style="3"/>
    <col min="3343" max="3343" width="13.81640625" style="3" customWidth="1"/>
    <col min="3344" max="3344" width="16.81640625" style="3" customWidth="1"/>
    <col min="3345" max="3580" width="8.7265625" style="3"/>
    <col min="3581" max="3582" width="18.54296875" style="3" customWidth="1"/>
    <col min="3583" max="3598" width="8.7265625" style="3"/>
    <col min="3599" max="3599" width="13.81640625" style="3" customWidth="1"/>
    <col min="3600" max="3600" width="16.81640625" style="3" customWidth="1"/>
    <col min="3601" max="3836" width="8.7265625" style="3"/>
    <col min="3837" max="3838" width="18.54296875" style="3" customWidth="1"/>
    <col min="3839" max="3854" width="8.7265625" style="3"/>
    <col min="3855" max="3855" width="13.81640625" style="3" customWidth="1"/>
    <col min="3856" max="3856" width="16.81640625" style="3" customWidth="1"/>
    <col min="3857" max="4092" width="8.7265625" style="3"/>
    <col min="4093" max="4094" width="18.54296875" style="3" customWidth="1"/>
    <col min="4095" max="4110" width="8.7265625" style="3"/>
    <col min="4111" max="4111" width="13.81640625" style="3" customWidth="1"/>
    <col min="4112" max="4112" width="16.81640625" style="3" customWidth="1"/>
    <col min="4113" max="4348" width="8.7265625" style="3"/>
    <col min="4349" max="4350" width="18.54296875" style="3" customWidth="1"/>
    <col min="4351" max="4366" width="8.7265625" style="3"/>
    <col min="4367" max="4367" width="13.81640625" style="3" customWidth="1"/>
    <col min="4368" max="4368" width="16.81640625" style="3" customWidth="1"/>
    <col min="4369" max="4604" width="8.7265625" style="3"/>
    <col min="4605" max="4606" width="18.54296875" style="3" customWidth="1"/>
    <col min="4607" max="4622" width="8.7265625" style="3"/>
    <col min="4623" max="4623" width="13.81640625" style="3" customWidth="1"/>
    <col min="4624" max="4624" width="16.81640625" style="3" customWidth="1"/>
    <col min="4625" max="4860" width="8.7265625" style="3"/>
    <col min="4861" max="4862" width="18.54296875" style="3" customWidth="1"/>
    <col min="4863" max="4878" width="8.7265625" style="3"/>
    <col min="4879" max="4879" width="13.81640625" style="3" customWidth="1"/>
    <col min="4880" max="4880" width="16.81640625" style="3" customWidth="1"/>
    <col min="4881" max="5116" width="8.7265625" style="3"/>
    <col min="5117" max="5118" width="18.54296875" style="3" customWidth="1"/>
    <col min="5119" max="5134" width="8.7265625" style="3"/>
    <col min="5135" max="5135" width="13.81640625" style="3" customWidth="1"/>
    <col min="5136" max="5136" width="16.81640625" style="3" customWidth="1"/>
    <col min="5137" max="5372" width="8.7265625" style="3"/>
    <col min="5373" max="5374" width="18.54296875" style="3" customWidth="1"/>
    <col min="5375" max="5390" width="8.7265625" style="3"/>
    <col min="5391" max="5391" width="13.81640625" style="3" customWidth="1"/>
    <col min="5392" max="5392" width="16.81640625" style="3" customWidth="1"/>
    <col min="5393" max="5628" width="8.7265625" style="3"/>
    <col min="5629" max="5630" width="18.54296875" style="3" customWidth="1"/>
    <col min="5631" max="5646" width="8.7265625" style="3"/>
    <col min="5647" max="5647" width="13.81640625" style="3" customWidth="1"/>
    <col min="5648" max="5648" width="16.81640625" style="3" customWidth="1"/>
    <col min="5649" max="5884" width="8.7265625" style="3"/>
    <col min="5885" max="5886" width="18.54296875" style="3" customWidth="1"/>
    <col min="5887" max="5902" width="8.7265625" style="3"/>
    <col min="5903" max="5903" width="13.81640625" style="3" customWidth="1"/>
    <col min="5904" max="5904" width="16.81640625" style="3" customWidth="1"/>
    <col min="5905" max="6140" width="8.7265625" style="3"/>
    <col min="6141" max="6142" width="18.54296875" style="3" customWidth="1"/>
    <col min="6143" max="6158" width="8.7265625" style="3"/>
    <col min="6159" max="6159" width="13.81640625" style="3" customWidth="1"/>
    <col min="6160" max="6160" width="16.81640625" style="3" customWidth="1"/>
    <col min="6161" max="6396" width="8.7265625" style="3"/>
    <col min="6397" max="6398" width="18.54296875" style="3" customWidth="1"/>
    <col min="6399" max="6414" width="8.7265625" style="3"/>
    <col min="6415" max="6415" width="13.81640625" style="3" customWidth="1"/>
    <col min="6416" max="6416" width="16.81640625" style="3" customWidth="1"/>
    <col min="6417" max="6652" width="8.7265625" style="3"/>
    <col min="6653" max="6654" width="18.54296875" style="3" customWidth="1"/>
    <col min="6655" max="6670" width="8.7265625" style="3"/>
    <col min="6671" max="6671" width="13.81640625" style="3" customWidth="1"/>
    <col min="6672" max="6672" width="16.81640625" style="3" customWidth="1"/>
    <col min="6673" max="6908" width="8.7265625" style="3"/>
    <col min="6909" max="6910" width="18.54296875" style="3" customWidth="1"/>
    <col min="6911" max="6926" width="8.7265625" style="3"/>
    <col min="6927" max="6927" width="13.81640625" style="3" customWidth="1"/>
    <col min="6928" max="6928" width="16.81640625" style="3" customWidth="1"/>
    <col min="6929" max="7164" width="8.7265625" style="3"/>
    <col min="7165" max="7166" width="18.54296875" style="3" customWidth="1"/>
    <col min="7167" max="7182" width="8.7265625" style="3"/>
    <col min="7183" max="7183" width="13.81640625" style="3" customWidth="1"/>
    <col min="7184" max="7184" width="16.81640625" style="3" customWidth="1"/>
    <col min="7185" max="7420" width="8.7265625" style="3"/>
    <col min="7421" max="7422" width="18.54296875" style="3" customWidth="1"/>
    <col min="7423" max="7438" width="8.7265625" style="3"/>
    <col min="7439" max="7439" width="13.81640625" style="3" customWidth="1"/>
    <col min="7440" max="7440" width="16.81640625" style="3" customWidth="1"/>
    <col min="7441" max="7676" width="8.7265625" style="3"/>
    <col min="7677" max="7678" width="18.54296875" style="3" customWidth="1"/>
    <col min="7679" max="7694" width="8.7265625" style="3"/>
    <col min="7695" max="7695" width="13.81640625" style="3" customWidth="1"/>
    <col min="7696" max="7696" width="16.81640625" style="3" customWidth="1"/>
    <col min="7697" max="7932" width="8.7265625" style="3"/>
    <col min="7933" max="7934" width="18.54296875" style="3" customWidth="1"/>
    <col min="7935" max="7950" width="8.7265625" style="3"/>
    <col min="7951" max="7951" width="13.81640625" style="3" customWidth="1"/>
    <col min="7952" max="7952" width="16.81640625" style="3" customWidth="1"/>
    <col min="7953" max="8188" width="8.7265625" style="3"/>
    <col min="8189" max="8190" width="18.54296875" style="3" customWidth="1"/>
    <col min="8191" max="8206" width="8.7265625" style="3"/>
    <col min="8207" max="8207" width="13.81640625" style="3" customWidth="1"/>
    <col min="8208" max="8208" width="16.81640625" style="3" customWidth="1"/>
    <col min="8209" max="8444" width="8.7265625" style="3"/>
    <col min="8445" max="8446" width="18.54296875" style="3" customWidth="1"/>
    <col min="8447" max="8462" width="8.7265625" style="3"/>
    <col min="8463" max="8463" width="13.81640625" style="3" customWidth="1"/>
    <col min="8464" max="8464" width="16.81640625" style="3" customWidth="1"/>
    <col min="8465" max="8700" width="8.7265625" style="3"/>
    <col min="8701" max="8702" width="18.54296875" style="3" customWidth="1"/>
    <col min="8703" max="8718" width="8.7265625" style="3"/>
    <col min="8719" max="8719" width="13.81640625" style="3" customWidth="1"/>
    <col min="8720" max="8720" width="16.81640625" style="3" customWidth="1"/>
    <col min="8721" max="8956" width="8.7265625" style="3"/>
    <col min="8957" max="8958" width="18.54296875" style="3" customWidth="1"/>
    <col min="8959" max="8974" width="8.7265625" style="3"/>
    <col min="8975" max="8975" width="13.81640625" style="3" customWidth="1"/>
    <col min="8976" max="8976" width="16.81640625" style="3" customWidth="1"/>
    <col min="8977" max="9212" width="8.7265625" style="3"/>
    <col min="9213" max="9214" width="18.54296875" style="3" customWidth="1"/>
    <col min="9215" max="9230" width="8.7265625" style="3"/>
    <col min="9231" max="9231" width="13.81640625" style="3" customWidth="1"/>
    <col min="9232" max="9232" width="16.81640625" style="3" customWidth="1"/>
    <col min="9233" max="9468" width="8.7265625" style="3"/>
    <col min="9469" max="9470" width="18.54296875" style="3" customWidth="1"/>
    <col min="9471" max="9486" width="8.7265625" style="3"/>
    <col min="9487" max="9487" width="13.81640625" style="3" customWidth="1"/>
    <col min="9488" max="9488" width="16.81640625" style="3" customWidth="1"/>
    <col min="9489" max="9724" width="8.7265625" style="3"/>
    <col min="9725" max="9726" width="18.54296875" style="3" customWidth="1"/>
    <col min="9727" max="9742" width="8.7265625" style="3"/>
    <col min="9743" max="9743" width="13.81640625" style="3" customWidth="1"/>
    <col min="9744" max="9744" width="16.81640625" style="3" customWidth="1"/>
    <col min="9745" max="9980" width="8.7265625" style="3"/>
    <col min="9981" max="9982" width="18.54296875" style="3" customWidth="1"/>
    <col min="9983" max="9998" width="8.7265625" style="3"/>
    <col min="9999" max="9999" width="13.81640625" style="3" customWidth="1"/>
    <col min="10000" max="10000" width="16.81640625" style="3" customWidth="1"/>
    <col min="10001" max="10236" width="8.7265625" style="3"/>
    <col min="10237" max="10238" width="18.54296875" style="3" customWidth="1"/>
    <col min="10239" max="10254" width="8.7265625" style="3"/>
    <col min="10255" max="10255" width="13.81640625" style="3" customWidth="1"/>
    <col min="10256" max="10256" width="16.81640625" style="3" customWidth="1"/>
    <col min="10257" max="10492" width="8.7265625" style="3"/>
    <col min="10493" max="10494" width="18.54296875" style="3" customWidth="1"/>
    <col min="10495" max="10510" width="8.7265625" style="3"/>
    <col min="10511" max="10511" width="13.81640625" style="3" customWidth="1"/>
    <col min="10512" max="10512" width="16.81640625" style="3" customWidth="1"/>
    <col min="10513" max="10748" width="8.7265625" style="3"/>
    <col min="10749" max="10750" width="18.54296875" style="3" customWidth="1"/>
    <col min="10751" max="10766" width="8.7265625" style="3"/>
    <col min="10767" max="10767" width="13.81640625" style="3" customWidth="1"/>
    <col min="10768" max="10768" width="16.81640625" style="3" customWidth="1"/>
    <col min="10769" max="11004" width="8.7265625" style="3"/>
    <col min="11005" max="11006" width="18.54296875" style="3" customWidth="1"/>
    <col min="11007" max="11022" width="8.7265625" style="3"/>
    <col min="11023" max="11023" width="13.81640625" style="3" customWidth="1"/>
    <col min="11024" max="11024" width="16.81640625" style="3" customWidth="1"/>
    <col min="11025" max="11260" width="8.7265625" style="3"/>
    <col min="11261" max="11262" width="18.54296875" style="3" customWidth="1"/>
    <col min="11263" max="11278" width="8.7265625" style="3"/>
    <col min="11279" max="11279" width="13.81640625" style="3" customWidth="1"/>
    <col min="11280" max="11280" width="16.81640625" style="3" customWidth="1"/>
    <col min="11281" max="11516" width="8.7265625" style="3"/>
    <col min="11517" max="11518" width="18.54296875" style="3" customWidth="1"/>
    <col min="11519" max="11534" width="8.7265625" style="3"/>
    <col min="11535" max="11535" width="13.81640625" style="3" customWidth="1"/>
    <col min="11536" max="11536" width="16.81640625" style="3" customWidth="1"/>
    <col min="11537" max="11772" width="8.7265625" style="3"/>
    <col min="11773" max="11774" width="18.54296875" style="3" customWidth="1"/>
    <col min="11775" max="11790" width="8.7265625" style="3"/>
    <col min="11791" max="11791" width="13.81640625" style="3" customWidth="1"/>
    <col min="11792" max="11792" width="16.81640625" style="3" customWidth="1"/>
    <col min="11793" max="12028" width="8.7265625" style="3"/>
    <col min="12029" max="12030" width="18.54296875" style="3" customWidth="1"/>
    <col min="12031" max="12046" width="8.7265625" style="3"/>
    <col min="12047" max="12047" width="13.81640625" style="3" customWidth="1"/>
    <col min="12048" max="12048" width="16.81640625" style="3" customWidth="1"/>
    <col min="12049" max="12284" width="8.7265625" style="3"/>
    <col min="12285" max="12286" width="18.54296875" style="3" customWidth="1"/>
    <col min="12287" max="12302" width="8.7265625" style="3"/>
    <col min="12303" max="12303" width="13.81640625" style="3" customWidth="1"/>
    <col min="12304" max="12304" width="16.81640625" style="3" customWidth="1"/>
    <col min="12305" max="12540" width="8.7265625" style="3"/>
    <col min="12541" max="12542" width="18.54296875" style="3" customWidth="1"/>
    <col min="12543" max="12558" width="8.7265625" style="3"/>
    <col min="12559" max="12559" width="13.81640625" style="3" customWidth="1"/>
    <col min="12560" max="12560" width="16.81640625" style="3" customWidth="1"/>
    <col min="12561" max="12796" width="8.7265625" style="3"/>
    <col min="12797" max="12798" width="18.54296875" style="3" customWidth="1"/>
    <col min="12799" max="12814" width="8.7265625" style="3"/>
    <col min="12815" max="12815" width="13.81640625" style="3" customWidth="1"/>
    <col min="12816" max="12816" width="16.81640625" style="3" customWidth="1"/>
    <col min="12817" max="13052" width="8.7265625" style="3"/>
    <col min="13053" max="13054" width="18.54296875" style="3" customWidth="1"/>
    <col min="13055" max="13070" width="8.7265625" style="3"/>
    <col min="13071" max="13071" width="13.81640625" style="3" customWidth="1"/>
    <col min="13072" max="13072" width="16.81640625" style="3" customWidth="1"/>
    <col min="13073" max="13308" width="8.7265625" style="3"/>
    <col min="13309" max="13310" width="18.54296875" style="3" customWidth="1"/>
    <col min="13311" max="13326" width="8.7265625" style="3"/>
    <col min="13327" max="13327" width="13.81640625" style="3" customWidth="1"/>
    <col min="13328" max="13328" width="16.81640625" style="3" customWidth="1"/>
    <col min="13329" max="13564" width="8.7265625" style="3"/>
    <col min="13565" max="13566" width="18.54296875" style="3" customWidth="1"/>
    <col min="13567" max="13582" width="8.7265625" style="3"/>
    <col min="13583" max="13583" width="13.81640625" style="3" customWidth="1"/>
    <col min="13584" max="13584" width="16.81640625" style="3" customWidth="1"/>
    <col min="13585" max="13820" width="8.7265625" style="3"/>
    <col min="13821" max="13822" width="18.54296875" style="3" customWidth="1"/>
    <col min="13823" max="13838" width="8.7265625" style="3"/>
    <col min="13839" max="13839" width="13.81640625" style="3" customWidth="1"/>
    <col min="13840" max="13840" width="16.81640625" style="3" customWidth="1"/>
    <col min="13841" max="14076" width="8.7265625" style="3"/>
    <col min="14077" max="14078" width="18.54296875" style="3" customWidth="1"/>
    <col min="14079" max="14094" width="8.7265625" style="3"/>
    <col min="14095" max="14095" width="13.81640625" style="3" customWidth="1"/>
    <col min="14096" max="14096" width="16.81640625" style="3" customWidth="1"/>
    <col min="14097" max="14332" width="8.7265625" style="3"/>
    <col min="14333" max="14334" width="18.54296875" style="3" customWidth="1"/>
    <col min="14335" max="14350" width="8.7265625" style="3"/>
    <col min="14351" max="14351" width="13.81640625" style="3" customWidth="1"/>
    <col min="14352" max="14352" width="16.81640625" style="3" customWidth="1"/>
    <col min="14353" max="14588" width="8.7265625" style="3"/>
    <col min="14589" max="14590" width="18.54296875" style="3" customWidth="1"/>
    <col min="14591" max="14606" width="8.7265625" style="3"/>
    <col min="14607" max="14607" width="13.81640625" style="3" customWidth="1"/>
    <col min="14608" max="14608" width="16.81640625" style="3" customWidth="1"/>
    <col min="14609" max="14844" width="8.7265625" style="3"/>
    <col min="14845" max="14846" width="18.54296875" style="3" customWidth="1"/>
    <col min="14847" max="14862" width="8.7265625" style="3"/>
    <col min="14863" max="14863" width="13.81640625" style="3" customWidth="1"/>
    <col min="14864" max="14864" width="16.81640625" style="3" customWidth="1"/>
    <col min="14865" max="15100" width="8.7265625" style="3"/>
    <col min="15101" max="15102" width="18.54296875" style="3" customWidth="1"/>
    <col min="15103" max="15118" width="8.7265625" style="3"/>
    <col min="15119" max="15119" width="13.81640625" style="3" customWidth="1"/>
    <col min="15120" max="15120" width="16.81640625" style="3" customWidth="1"/>
    <col min="15121" max="15356" width="8.7265625" style="3"/>
    <col min="15357" max="15358" width="18.54296875" style="3" customWidth="1"/>
    <col min="15359" max="15374" width="8.7265625" style="3"/>
    <col min="15375" max="15375" width="13.81640625" style="3" customWidth="1"/>
    <col min="15376" max="15376" width="16.81640625" style="3" customWidth="1"/>
    <col min="15377" max="15612" width="8.7265625" style="3"/>
    <col min="15613" max="15614" width="18.54296875" style="3" customWidth="1"/>
    <col min="15615" max="15630" width="8.7265625" style="3"/>
    <col min="15631" max="15631" width="13.81640625" style="3" customWidth="1"/>
    <col min="15632" max="15632" width="16.81640625" style="3" customWidth="1"/>
    <col min="15633" max="15868" width="8.7265625" style="3"/>
    <col min="15869" max="15870" width="18.54296875" style="3" customWidth="1"/>
    <col min="15871" max="15886" width="8.7265625" style="3"/>
    <col min="15887" max="15887" width="13.81640625" style="3" customWidth="1"/>
    <col min="15888" max="15888" width="16.81640625" style="3" customWidth="1"/>
    <col min="15889" max="16124" width="8.7265625" style="3"/>
    <col min="16125" max="16126" width="18.54296875" style="3" customWidth="1"/>
    <col min="16127" max="16142" width="8.7265625" style="3"/>
    <col min="16143" max="16143" width="13.81640625" style="3" customWidth="1"/>
    <col min="16144" max="16144" width="16.81640625" style="3" customWidth="1"/>
    <col min="16145" max="16384" width="8.7265625" style="3"/>
  </cols>
  <sheetData>
    <row r="1" spans="1:54" s="1" customFormat="1" ht="162.5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10</v>
      </c>
      <c r="H1" s="1" t="s">
        <v>15</v>
      </c>
      <c r="I1" s="1" t="s">
        <v>15</v>
      </c>
      <c r="J1" s="1" t="s">
        <v>15</v>
      </c>
      <c r="K1" s="1" t="s">
        <v>15</v>
      </c>
      <c r="L1" s="1" t="s">
        <v>15</v>
      </c>
      <c r="M1" s="1" t="s">
        <v>15</v>
      </c>
      <c r="N1" s="1" t="s">
        <v>15</v>
      </c>
      <c r="O1" s="1" t="s">
        <v>15</v>
      </c>
      <c r="S1" s="1" t="s">
        <v>16</v>
      </c>
      <c r="T1" s="1" t="s">
        <v>16</v>
      </c>
      <c r="U1" s="1" t="s">
        <v>16</v>
      </c>
      <c r="V1" s="1" t="s">
        <v>16</v>
      </c>
      <c r="W1" s="1" t="s">
        <v>16</v>
      </c>
      <c r="X1" s="1" t="s">
        <v>16</v>
      </c>
      <c r="Y1" s="1" t="s">
        <v>16</v>
      </c>
      <c r="Z1" s="1" t="s">
        <v>16</v>
      </c>
      <c r="AB1" s="1" t="s">
        <v>57</v>
      </c>
      <c r="AC1" s="1" t="s">
        <v>58</v>
      </c>
      <c r="AD1" s="1" t="s">
        <v>17</v>
      </c>
      <c r="AF1" s="1" t="s">
        <v>18</v>
      </c>
      <c r="AG1" s="1" t="s">
        <v>19</v>
      </c>
      <c r="AH1" s="1" t="s">
        <v>59</v>
      </c>
      <c r="AJ1" s="2" t="s">
        <v>20</v>
      </c>
      <c r="AK1" s="2" t="s">
        <v>21</v>
      </c>
      <c r="AM1" s="1" t="s">
        <v>22</v>
      </c>
      <c r="AN1" s="1" t="s">
        <v>63</v>
      </c>
      <c r="AP1" s="1" t="s">
        <v>54</v>
      </c>
      <c r="AQ1" s="1" t="s">
        <v>55</v>
      </c>
      <c r="AR1" s="1" t="s">
        <v>56</v>
      </c>
      <c r="AT1" s="1" t="s">
        <v>23</v>
      </c>
      <c r="AU1" s="1" t="s">
        <v>24</v>
      </c>
      <c r="AV1" s="1" t="s">
        <v>25</v>
      </c>
      <c r="AX1" s="1" t="s">
        <v>26</v>
      </c>
      <c r="AY1" s="1" t="s">
        <v>27</v>
      </c>
      <c r="AZ1" s="1" t="s">
        <v>28</v>
      </c>
      <c r="BB1" s="1" t="s">
        <v>29</v>
      </c>
    </row>
    <row r="2" spans="1:54" ht="14.5" x14ac:dyDescent="0.35">
      <c r="A2"/>
      <c r="B2"/>
      <c r="C2"/>
      <c r="D2"/>
      <c r="E2"/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B2" s="6"/>
      <c r="AC2" s="6"/>
      <c r="AD2" s="6"/>
      <c r="AE2" s="6"/>
      <c r="AF2" s="7"/>
      <c r="AG2" s="7"/>
      <c r="AH2" s="7"/>
      <c r="AM2" s="8"/>
      <c r="AP2" s="6"/>
      <c r="AQ2" s="6"/>
      <c r="AR2" s="6"/>
      <c r="AX2" s="7"/>
      <c r="AY2" s="7"/>
      <c r="AZ2" s="7"/>
    </row>
    <row r="3" spans="1:54" s="1" customFormat="1" ht="62.5" x14ac:dyDescent="0.25">
      <c r="C3" s="1" t="s">
        <v>30</v>
      </c>
      <c r="H3" s="1" t="s">
        <v>31</v>
      </c>
      <c r="J3" s="1" t="s">
        <v>52</v>
      </c>
      <c r="S3" s="1" t="s">
        <v>31</v>
      </c>
      <c r="U3" s="1" t="s">
        <v>52</v>
      </c>
      <c r="AD3" s="1" t="s">
        <v>32</v>
      </c>
      <c r="AF3" s="5" t="s">
        <v>33</v>
      </c>
      <c r="AG3" s="5" t="s">
        <v>33</v>
      </c>
      <c r="AH3" s="5"/>
      <c r="AJ3" s="2"/>
      <c r="AK3" s="2"/>
      <c r="AM3" s="1" t="s">
        <v>34</v>
      </c>
    </row>
    <row r="4" spans="1:54" ht="14.5" x14ac:dyDescent="0.35">
      <c r="A4" s="14" t="s">
        <v>36</v>
      </c>
      <c r="B4" s="15"/>
      <c r="C4" s="14">
        <v>500</v>
      </c>
      <c r="D4" s="15">
        <v>6</v>
      </c>
      <c r="E4" s="14"/>
      <c r="F4" t="s">
        <v>121</v>
      </c>
      <c r="G4" t="s">
        <v>11</v>
      </c>
      <c r="H4">
        <v>-2E-3</v>
      </c>
      <c r="I4">
        <v>-1E-3</v>
      </c>
      <c r="J4">
        <v>-1E-3</v>
      </c>
      <c r="K4">
        <v>-1E-3</v>
      </c>
      <c r="L4">
        <v>-1E-3</v>
      </c>
      <c r="M4">
        <v>-1E-3</v>
      </c>
      <c r="N4">
        <v>0</v>
      </c>
      <c r="O4">
        <v>2E-3</v>
      </c>
      <c r="P4"/>
      <c r="Q4">
        <v>2</v>
      </c>
      <c r="R4" t="s">
        <v>11</v>
      </c>
      <c r="S4">
        <v>-1E-3</v>
      </c>
      <c r="T4">
        <v>-2E-3</v>
      </c>
      <c r="U4">
        <v>-1E-3</v>
      </c>
      <c r="V4">
        <v>-2E-3</v>
      </c>
      <c r="W4">
        <v>-2E-3</v>
      </c>
      <c r="X4">
        <v>-2E-3</v>
      </c>
      <c r="Y4">
        <v>-1E-3</v>
      </c>
      <c r="Z4">
        <v>0</v>
      </c>
      <c r="AA4" s="16"/>
      <c r="AB4" s="16">
        <f>J4-H4</f>
        <v>1E-3</v>
      </c>
      <c r="AC4" s="16">
        <f>T4-S4</f>
        <v>-1E-3</v>
      </c>
      <c r="AD4" s="16">
        <f>AB4-AC4</f>
        <v>2E-3</v>
      </c>
      <c r="AE4" s="16"/>
      <c r="AF4" s="17">
        <f>1000*28.64*AD4</f>
        <v>57.28</v>
      </c>
      <c r="AG4" s="17">
        <f>1000*28.64*((1.72*AC4)-AB4)</f>
        <v>-77.900800000000004</v>
      </c>
      <c r="AH4" s="17">
        <f>1000*28.64*(1.72*(AC4-AC$8)-(AB4-AB$8))</f>
        <v>-551.4154666666667</v>
      </c>
      <c r="AI4" s="15"/>
      <c r="AJ4" s="13">
        <f>(AF4*D4/1000)/((C4/1000)*1)</f>
        <v>0.68735999999999997</v>
      </c>
      <c r="AK4" s="18">
        <f t="shared" ref="AK4:AK6" si="0">(AG4*D4/1000)/((C4/1000)*1)</f>
        <v>-0.93480960000000002</v>
      </c>
      <c r="AL4" s="15"/>
      <c r="AM4" s="13">
        <f>AB4/AC4</f>
        <v>-1</v>
      </c>
      <c r="AN4" s="15"/>
      <c r="AO4" s="15"/>
      <c r="AP4" s="16">
        <f>O4-H4</f>
        <v>4.0000000000000001E-3</v>
      </c>
      <c r="AQ4" s="16">
        <f>N4-H4</f>
        <v>2E-3</v>
      </c>
      <c r="AR4" s="16">
        <f>K4-H4</f>
        <v>1E-3</v>
      </c>
      <c r="AS4" s="15"/>
      <c r="AT4" s="15">
        <f t="shared" ref="AT4" si="1">(1.04*AP4)+(0.79*AR4)-(0.27*AQ4)</f>
        <v>4.4100000000000007E-3</v>
      </c>
      <c r="AU4" s="15">
        <f t="shared" ref="AU4" si="2">(1.02*AR4)-(0.27*AP4)+(0.01*AQ4)</f>
        <v>-3.9999999999999942E-5</v>
      </c>
      <c r="AV4" s="15">
        <f t="shared" ref="AV4" si="3">(1.02*AQ4)-(0.08*AP4)-(0.026*AR4)</f>
        <v>1.6940000000000002E-3</v>
      </c>
      <c r="AW4" s="15"/>
      <c r="AX4" s="17">
        <f t="shared" ref="AX4" si="4">1000000*AU4/(89.71*1)</f>
        <v>-0.44588117266748351</v>
      </c>
      <c r="AY4" s="17">
        <f t="shared" ref="AY4" si="5">1000000*AT4/(112.61*1)</f>
        <v>39.161708551638405</v>
      </c>
      <c r="AZ4" s="17">
        <f t="shared" ref="AZ4" si="6">1000000*AV4/(262*1)</f>
        <v>6.4656488549618327</v>
      </c>
      <c r="BA4" s="15"/>
      <c r="BB4" s="15">
        <f>1000*((11.85*(J4-H4))-(1.54*(L4-H4))-(0.08*(M4-H4)))</f>
        <v>10.229999999999999</v>
      </c>
    </row>
    <row r="5" spans="1:54" ht="14.5" x14ac:dyDescent="0.35">
      <c r="A5" s="14" t="s">
        <v>36</v>
      </c>
      <c r="B5" s="15"/>
      <c r="C5" s="14">
        <v>500</v>
      </c>
      <c r="D5" s="15">
        <v>6</v>
      </c>
      <c r="E5" s="14"/>
      <c r="F5" t="s">
        <v>111</v>
      </c>
      <c r="G5" t="s">
        <v>11</v>
      </c>
      <c r="H5">
        <v>-2E-3</v>
      </c>
      <c r="I5">
        <v>-1E-3</v>
      </c>
      <c r="J5">
        <v>-2E-3</v>
      </c>
      <c r="K5">
        <v>-2E-3</v>
      </c>
      <c r="L5">
        <v>-2E-3</v>
      </c>
      <c r="M5">
        <v>-2E-3</v>
      </c>
      <c r="N5">
        <v>-1E-3</v>
      </c>
      <c r="O5">
        <v>0</v>
      </c>
      <c r="P5"/>
      <c r="Q5" t="s">
        <v>71</v>
      </c>
      <c r="R5" t="s">
        <v>11</v>
      </c>
      <c r="S5">
        <v>-2E-3</v>
      </c>
      <c r="T5">
        <v>-2E-3</v>
      </c>
      <c r="U5">
        <v>-2E-3</v>
      </c>
      <c r="V5">
        <v>-2E-3</v>
      </c>
      <c r="W5">
        <v>-2E-3</v>
      </c>
      <c r="X5">
        <v>-2E-3</v>
      </c>
      <c r="Y5">
        <v>-2E-3</v>
      </c>
      <c r="Z5">
        <v>-1E-3</v>
      </c>
      <c r="AA5" s="15"/>
      <c r="AB5" s="16">
        <f t="shared" ref="AB5:AB6" si="7">J5-H5</f>
        <v>0</v>
      </c>
      <c r="AC5" s="16">
        <f>T18-S18</f>
        <v>3.1E-2</v>
      </c>
      <c r="AD5" s="16">
        <f>AB5-AC5</f>
        <v>-3.1E-2</v>
      </c>
      <c r="AE5" s="16"/>
      <c r="AF5" s="17">
        <f>1000*28.64*AD5</f>
        <v>-887.84</v>
      </c>
      <c r="AG5" s="17">
        <f>1000*28.64*((1.72*AC5)-AB5)</f>
        <v>1527.0848000000001</v>
      </c>
      <c r="AH5" s="17">
        <f>1000*28.64*(1.72*(AC5-AC$8)-(AB5-AB$8))</f>
        <v>1053.5701333333332</v>
      </c>
      <c r="AI5" s="15"/>
      <c r="AJ5" s="13">
        <f t="shared" ref="AJ5:AJ6" si="8">(AF5*D5/1000)/((C5/1000)*1)</f>
        <v>-10.65408</v>
      </c>
      <c r="AK5" s="18">
        <f t="shared" si="0"/>
        <v>18.325017599999999</v>
      </c>
      <c r="AL5" s="15"/>
      <c r="AM5" s="13">
        <f>AB5/AC5</f>
        <v>0</v>
      </c>
      <c r="AN5" s="15"/>
      <c r="AO5" s="15"/>
      <c r="AP5" s="16">
        <f>O5-H5</f>
        <v>2E-3</v>
      </c>
      <c r="AQ5" s="16">
        <f>N5-H5</f>
        <v>1E-3</v>
      </c>
      <c r="AR5" s="16">
        <f>K5-H5</f>
        <v>0</v>
      </c>
      <c r="AS5" s="15"/>
      <c r="AT5" s="15">
        <f>(1.04*AP5)+(0.79*AR5)-(0.27*AQ5)</f>
        <v>1.8100000000000002E-3</v>
      </c>
      <c r="AU5" s="15">
        <f>(1.02*AR5)-(0.27*AP5)+(0.01*AQ5)</f>
        <v>-5.2999999999999998E-4</v>
      </c>
      <c r="AV5" s="15">
        <f>(1.02*AQ5)-(0.08*AP5)-(0.026*AR5)</f>
        <v>8.6000000000000009E-4</v>
      </c>
      <c r="AW5" s="15"/>
      <c r="AX5" s="17">
        <f>1000000*AU5/(89.71*1)</f>
        <v>-5.9079255378441653</v>
      </c>
      <c r="AY5" s="17">
        <f>1000000*AT5/(112.61*1)</f>
        <v>16.073172897611226</v>
      </c>
      <c r="AZ5" s="17">
        <f>1000000*AV5/(262*1)</f>
        <v>3.2824427480916034</v>
      </c>
      <c r="BA5" s="15"/>
      <c r="BB5" s="15">
        <f>1000*((11.85*(J5-H5))-(1.54*(L5-H5))-(0.08*(M5-H5)))</f>
        <v>0</v>
      </c>
    </row>
    <row r="6" spans="1:54" ht="14.5" x14ac:dyDescent="0.35">
      <c r="A6" s="14" t="s">
        <v>36</v>
      </c>
      <c r="B6" s="19"/>
      <c r="C6" s="14">
        <v>500</v>
      </c>
      <c r="D6" s="15">
        <v>6</v>
      </c>
      <c r="E6" s="14"/>
      <c r="F6" t="s">
        <v>124</v>
      </c>
      <c r="G6" t="s">
        <v>11</v>
      </c>
      <c r="H6">
        <v>-3.0000000000000001E-3</v>
      </c>
      <c r="I6">
        <v>-2E-3</v>
      </c>
      <c r="J6">
        <v>-2E-3</v>
      </c>
      <c r="K6">
        <v>-2E-3</v>
      </c>
      <c r="L6">
        <v>-3.0000000000000001E-3</v>
      </c>
      <c r="M6">
        <v>-3.0000000000000001E-3</v>
      </c>
      <c r="N6">
        <v>-3.0000000000000001E-3</v>
      </c>
      <c r="O6">
        <v>-2E-3</v>
      </c>
      <c r="P6"/>
      <c r="Q6" t="s">
        <v>84</v>
      </c>
      <c r="R6" t="s">
        <v>11</v>
      </c>
      <c r="S6">
        <v>-2E-3</v>
      </c>
      <c r="T6">
        <v>-2E-3</v>
      </c>
      <c r="U6">
        <v>-2E-3</v>
      </c>
      <c r="V6">
        <v>-2E-3</v>
      </c>
      <c r="W6">
        <v>-3.0000000000000001E-3</v>
      </c>
      <c r="X6">
        <v>-3.0000000000000001E-3</v>
      </c>
      <c r="Y6">
        <v>-3.0000000000000001E-3</v>
      </c>
      <c r="Z6">
        <v>-3.0000000000000001E-3</v>
      </c>
      <c r="AA6" s="20"/>
      <c r="AB6" s="16">
        <f t="shared" si="7"/>
        <v>1E-3</v>
      </c>
      <c r="AC6" s="16">
        <f t="shared" ref="AC6" si="9">T6-S6</f>
        <v>0</v>
      </c>
      <c r="AD6" s="16">
        <f t="shared" ref="AD6" si="10">AB6-AC6</f>
        <v>1E-3</v>
      </c>
      <c r="AE6" s="16"/>
      <c r="AF6" s="17">
        <f>1000*28.64*AD6</f>
        <v>28.64</v>
      </c>
      <c r="AG6" s="17">
        <f>1000*28.64*((1.72*AC6)-AB6)</f>
        <v>-28.64</v>
      </c>
      <c r="AH6" s="17">
        <f>1000*28.64*(1.72*(AC6-AC$8)-(AB6-AB$8))</f>
        <v>-502.15466666666669</v>
      </c>
      <c r="AI6" s="15"/>
      <c r="AJ6" s="13">
        <f t="shared" si="8"/>
        <v>0.34367999999999999</v>
      </c>
      <c r="AK6" s="18">
        <f t="shared" si="0"/>
        <v>-0.34367999999999999</v>
      </c>
      <c r="AL6" s="15"/>
      <c r="AM6" s="13" t="e">
        <f>AB6/AC6</f>
        <v>#DIV/0!</v>
      </c>
      <c r="AN6" s="15"/>
      <c r="AO6" s="15"/>
      <c r="AP6" s="16">
        <f>O6-H6</f>
        <v>1E-3</v>
      </c>
      <c r="AQ6" s="16">
        <f>N6-H6</f>
        <v>0</v>
      </c>
      <c r="AR6" s="16">
        <f>K6-H6</f>
        <v>1E-3</v>
      </c>
      <c r="AS6" s="15"/>
      <c r="AT6" s="15">
        <f t="shared" ref="AT6" si="11">(1.04*AP6)+(0.79*AR6)-(0.27*AQ6)</f>
        <v>1.83E-3</v>
      </c>
      <c r="AU6" s="15">
        <f t="shared" ref="AU6" si="12">(1.02*AR6)-(0.27*AP6)+(0.01*AQ6)</f>
        <v>7.5000000000000002E-4</v>
      </c>
      <c r="AV6" s="15">
        <f t="shared" ref="AV6" si="13">(1.02*AQ6)-(0.08*AP6)-(0.026*AR6)</f>
        <v>-1.06E-4</v>
      </c>
      <c r="AW6" s="15"/>
      <c r="AX6" s="17">
        <f t="shared" ref="AX6" si="14">1000000*AU6/(89.71*1)</f>
        <v>8.3602719875153273</v>
      </c>
      <c r="AY6" s="17">
        <f t="shared" ref="AY6" si="15">1000000*AT6/(112.61*1)</f>
        <v>16.250777018026817</v>
      </c>
      <c r="AZ6" s="17">
        <f t="shared" ref="AZ6" si="16">1000000*AV6/(262*1)</f>
        <v>-0.40458015267175573</v>
      </c>
      <c r="BA6" s="15"/>
      <c r="BB6" s="15">
        <f>1000*((11.85*(J6-H6))-(1.54*(L6-H6))-(0.08*(M6-H6)))</f>
        <v>11.85</v>
      </c>
    </row>
    <row r="7" spans="1:54" ht="14.5" x14ac:dyDescent="0.35">
      <c r="A7" s="14"/>
      <c r="B7" s="19"/>
      <c r="C7" s="14"/>
      <c r="D7" s="15"/>
      <c r="E7" s="14"/>
      <c r="F7" s="14"/>
      <c r="G7" s="14"/>
      <c r="H7" s="14"/>
      <c r="I7" s="14"/>
      <c r="J7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20"/>
      <c r="AB7" s="16"/>
      <c r="AC7" s="16"/>
      <c r="AD7" s="16"/>
      <c r="AE7" s="16"/>
      <c r="AF7" s="17"/>
      <c r="AG7" s="17"/>
      <c r="AH7" s="17"/>
      <c r="AI7" s="15"/>
      <c r="AJ7" s="18"/>
      <c r="AK7" s="18"/>
      <c r="AL7" s="15"/>
      <c r="AM7" s="13"/>
      <c r="AN7" s="15"/>
      <c r="AO7" s="15"/>
      <c r="AP7" s="16"/>
      <c r="AQ7" s="16"/>
      <c r="AR7" s="16"/>
      <c r="AS7" s="15"/>
      <c r="AT7" s="15"/>
      <c r="AU7" s="15"/>
      <c r="AV7" s="15"/>
      <c r="AW7" s="15"/>
      <c r="AX7" s="17"/>
      <c r="AY7" s="17"/>
      <c r="AZ7" s="17"/>
      <c r="BA7" s="15"/>
      <c r="BB7" s="15"/>
    </row>
    <row r="8" spans="1:54" ht="14.5" x14ac:dyDescent="0.35">
      <c r="A8" s="14" t="s">
        <v>53</v>
      </c>
      <c r="B8" s="19"/>
      <c r="C8" s="14"/>
      <c r="D8" s="15"/>
      <c r="E8" s="14"/>
      <c r="F8" s="14"/>
      <c r="G8" s="14"/>
      <c r="H8" s="14"/>
      <c r="I8" s="14"/>
      <c r="J8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20"/>
      <c r="AB8" s="16">
        <f>AVERAGE(AB4:AB6)</f>
        <v>6.6666666666666664E-4</v>
      </c>
      <c r="AC8" s="16">
        <f t="shared" ref="AC8:AD8" si="17">AVERAGE(AC4:AC6)</f>
        <v>0.01</v>
      </c>
      <c r="AD8" s="16">
        <f t="shared" si="17"/>
        <v>-9.3333333333333324E-3</v>
      </c>
      <c r="AE8" s="16"/>
      <c r="AF8" s="16">
        <f>AVERAGE(AF4:AF6)</f>
        <v>-267.30666666666667</v>
      </c>
      <c r="AG8" s="16">
        <f t="shared" ref="AG8:AH8" si="18">AVERAGE(AG4:AG6)</f>
        <v>473.5146666666667</v>
      </c>
      <c r="AH8" s="16">
        <f t="shared" si="18"/>
        <v>0</v>
      </c>
      <c r="AI8" s="15"/>
      <c r="AJ8" s="18"/>
      <c r="AK8" s="18"/>
      <c r="AL8" s="15"/>
      <c r="AM8" s="13"/>
      <c r="AN8" s="15"/>
      <c r="AO8" s="15"/>
      <c r="AP8" s="16"/>
      <c r="AQ8" s="16"/>
      <c r="AR8" s="16"/>
      <c r="AS8" s="15"/>
      <c r="AT8" s="15"/>
      <c r="AU8" s="15"/>
      <c r="AV8" s="15"/>
      <c r="AW8" s="15"/>
      <c r="AX8" s="17"/>
      <c r="AY8" s="17"/>
      <c r="AZ8" s="17"/>
      <c r="BA8" s="15"/>
      <c r="BB8" s="15"/>
    </row>
    <row r="9" spans="1:54" ht="14.5" x14ac:dyDescent="0.35">
      <c r="A9"/>
      <c r="C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 s="6"/>
      <c r="AB9" s="6"/>
      <c r="AC9" s="6"/>
      <c r="AD9" s="6"/>
      <c r="AE9" s="6"/>
      <c r="AF9" s="7"/>
      <c r="AG9" s="7"/>
      <c r="AH9" s="7"/>
      <c r="AJ9" s="8"/>
      <c r="AM9" s="8"/>
      <c r="AP9" s="6"/>
      <c r="AQ9" s="6"/>
      <c r="AR9" s="6"/>
      <c r="AX9" s="7"/>
      <c r="AY9" s="7"/>
      <c r="AZ9" s="7"/>
    </row>
    <row r="10" spans="1:54" ht="14.5" x14ac:dyDescent="0.35">
      <c r="A10" s="3" t="s">
        <v>151</v>
      </c>
      <c r="B10" s="9"/>
      <c r="C10">
        <v>1030</v>
      </c>
      <c r="D10" s="3">
        <v>6</v>
      </c>
      <c r="E10"/>
      <c r="F10" t="s">
        <v>110</v>
      </c>
      <c r="G10" t="s">
        <v>11</v>
      </c>
      <c r="H10">
        <v>3.0000000000000001E-3</v>
      </c>
      <c r="I10">
        <v>4.4999999999999998E-2</v>
      </c>
      <c r="J10">
        <v>4.3999999999999997E-2</v>
      </c>
      <c r="K10">
        <v>4.2999999999999997E-2</v>
      </c>
      <c r="L10">
        <v>1.7999999999999999E-2</v>
      </c>
      <c r="M10">
        <v>1.2999999999999999E-2</v>
      </c>
      <c r="N10">
        <v>0.04</v>
      </c>
      <c r="O10">
        <v>9.8000000000000004E-2</v>
      </c>
      <c r="P10"/>
      <c r="Q10">
        <v>1</v>
      </c>
      <c r="R10" t="s">
        <v>11</v>
      </c>
      <c r="S10">
        <v>3.0000000000000001E-3</v>
      </c>
      <c r="T10">
        <v>3.5999999999999997E-2</v>
      </c>
      <c r="U10">
        <v>3.5000000000000003E-2</v>
      </c>
      <c r="V10">
        <v>3.4000000000000002E-2</v>
      </c>
      <c r="W10">
        <v>1.4999999999999999E-2</v>
      </c>
      <c r="X10">
        <v>0.01</v>
      </c>
      <c r="Y10">
        <v>3.5000000000000003E-2</v>
      </c>
      <c r="Z10">
        <v>9.2999999999999999E-2</v>
      </c>
      <c r="AA10" s="6"/>
      <c r="AB10" s="6">
        <f>J10-H10</f>
        <v>4.0999999999999995E-2</v>
      </c>
      <c r="AC10" s="6">
        <f>T10-S10</f>
        <v>3.2999999999999995E-2</v>
      </c>
      <c r="AD10" s="6">
        <f t="shared" ref="AD10:AD15" si="19">AB10-AC10</f>
        <v>8.0000000000000002E-3</v>
      </c>
      <c r="AE10" s="6"/>
      <c r="AF10" s="7">
        <f>(1000*28.64*AD10)-AF$8</f>
        <v>496.42666666666668</v>
      </c>
      <c r="AG10" s="7">
        <f>(1000*28.64*((1.72*AC10)-AB10))-AG$8</f>
        <v>-22.148266666666814</v>
      </c>
      <c r="AH10" s="7">
        <f>1000*28.64*(1.72*(AC10-AC$8)-(AB10-AB$8))</f>
        <v>-22.148266666666892</v>
      </c>
      <c r="AJ10" s="8">
        <f t="shared" ref="AJ10:AJ15" si="20">(AF10*D10/1000)/((C10/1000)*1)</f>
        <v>2.8918058252427183</v>
      </c>
      <c r="AK10" s="4">
        <f>(AG10*D10/1000)/((C10/1000)*1)</f>
        <v>-0.12901902912621444</v>
      </c>
      <c r="AM10" s="8">
        <f>AB10/AC10</f>
        <v>1.2424242424242424</v>
      </c>
      <c r="AN10" s="8">
        <f>(AB10-AB$8)/(AC10-AC$8)</f>
        <v>1.7536231884057973</v>
      </c>
      <c r="AP10" s="6">
        <f t="shared" ref="AP10:AP15" si="21">O10-H10</f>
        <v>9.5000000000000001E-2</v>
      </c>
      <c r="AQ10" s="6">
        <f t="shared" ref="AQ10:AQ15" si="22">N10-H10</f>
        <v>3.6999999999999998E-2</v>
      </c>
      <c r="AR10" s="6">
        <f t="shared" ref="AR10:AR15" si="23">K10-H10</f>
        <v>3.9999999999999994E-2</v>
      </c>
      <c r="AT10" s="3">
        <f t="shared" ref="AT10:AT15" si="24">(1.04*AP10)+(0.79*AR10)-(0.27*AQ10)</f>
        <v>0.12040999999999999</v>
      </c>
      <c r="AU10" s="3">
        <f t="shared" ref="AU10:AU15" si="25">(1.02*AR10)-(0.27*AP10)+(0.01*AQ10)</f>
        <v>1.5519999999999994E-2</v>
      </c>
      <c r="AV10" s="3">
        <f t="shared" ref="AV10:AV15" si="26">(1.02*AQ10)-(0.08*AP10)-(0.026*AR10)</f>
        <v>2.9099999999999997E-2</v>
      </c>
      <c r="AX10" s="7">
        <f t="shared" ref="AX10:AX15" si="27">1000000*AU10/(89.71*1)</f>
        <v>173.00189499498379</v>
      </c>
      <c r="AY10" s="7">
        <f t="shared" ref="AY10:AY15" si="28">1000000*AT10/(112.61*1)</f>
        <v>1069.2656069620814</v>
      </c>
      <c r="AZ10" s="7">
        <f t="shared" ref="AZ10:AZ15" si="29">1000000*AV10/(262*1)</f>
        <v>111.06870229007632</v>
      </c>
      <c r="BB10" s="3">
        <f t="shared" ref="BB10:BB15" si="30">1000*((11.85*(J10-H10))-(1.54*(L10-H10))-(0.08*(M10-H10)))</f>
        <v>461.94999999999993</v>
      </c>
    </row>
    <row r="11" spans="1:54" ht="14.5" x14ac:dyDescent="0.35">
      <c r="A11" s="14" t="s">
        <v>152</v>
      </c>
      <c r="B11" s="9"/>
      <c r="C11">
        <v>1012</v>
      </c>
      <c r="D11" s="3">
        <v>6</v>
      </c>
      <c r="E11"/>
      <c r="F11" t="s">
        <v>132</v>
      </c>
      <c r="G11" t="s">
        <v>11</v>
      </c>
      <c r="H11">
        <v>2E-3</v>
      </c>
      <c r="I11">
        <v>7.3999999999999996E-2</v>
      </c>
      <c r="J11">
        <v>7.3999999999999996E-2</v>
      </c>
      <c r="K11">
        <v>7.1999999999999995E-2</v>
      </c>
      <c r="L11">
        <v>2.7E-2</v>
      </c>
      <c r="M11">
        <v>1.7999999999999999E-2</v>
      </c>
      <c r="N11">
        <v>4.5999999999999999E-2</v>
      </c>
      <c r="O11">
        <v>0.104</v>
      </c>
      <c r="P11"/>
      <c r="Q11">
        <v>3</v>
      </c>
      <c r="R11" t="s">
        <v>11</v>
      </c>
      <c r="S11">
        <v>2E-3</v>
      </c>
      <c r="T11">
        <v>4.9000000000000002E-2</v>
      </c>
      <c r="U11">
        <v>4.9000000000000002E-2</v>
      </c>
      <c r="V11">
        <v>4.8000000000000001E-2</v>
      </c>
      <c r="W11">
        <v>1.9E-2</v>
      </c>
      <c r="X11">
        <v>1.0999999999999999E-2</v>
      </c>
      <c r="Y11">
        <v>4.1000000000000002E-2</v>
      </c>
      <c r="Z11">
        <v>0.109</v>
      </c>
      <c r="AB11" s="6">
        <f t="shared" ref="AB11:AB49" si="31">J11-H11</f>
        <v>7.1999999999999995E-2</v>
      </c>
      <c r="AC11" s="6">
        <f t="shared" ref="AC11:AC49" si="32">T11-S11</f>
        <v>4.7E-2</v>
      </c>
      <c r="AD11" s="6">
        <f t="shared" ref="AD11:AD49" si="33">AB11-AC11</f>
        <v>2.4999999999999994E-2</v>
      </c>
      <c r="AE11" s="6"/>
      <c r="AF11" s="7">
        <f t="shared" ref="AF11:AF49" si="34">(1000*28.64*AD11)-AF$8</f>
        <v>983.30666666666662</v>
      </c>
      <c r="AG11" s="7">
        <f t="shared" ref="AG11:AG49" si="35">(1000*28.64*((1.72*AC11)-AB11))-AG$8</f>
        <v>-220.33706666666669</v>
      </c>
      <c r="AH11" s="7">
        <f t="shared" ref="AH11:AH49" si="36">1000*28.64*(1.72*(AC11-AC$8)-(AB11-AB$8))</f>
        <v>-220.33706666666657</v>
      </c>
      <c r="AJ11" s="8">
        <f t="shared" ref="AJ11:AJ49" si="37">(AF11*D11/1000)/((C11/1000)*1)</f>
        <v>5.8298814229249016</v>
      </c>
      <c r="AK11" s="4">
        <f t="shared" ref="AK11:AK49" si="38">(AG11*D11/1000)/((C11/1000)*1)</f>
        <v>-1.3063462450592886</v>
      </c>
      <c r="AM11" s="8">
        <f t="shared" ref="AM11:AM49" si="39">AB11/AC11</f>
        <v>1.5319148936170213</v>
      </c>
      <c r="AN11" s="8">
        <f t="shared" ref="AN11:AN49" si="40">(AB11-AB$8)/(AC11-AC$8)</f>
        <v>1.927927927927928</v>
      </c>
      <c r="AP11" s="6">
        <f t="shared" ref="AP11:AP49" si="41">O11-H11</f>
        <v>0.10199999999999999</v>
      </c>
      <c r="AQ11" s="6">
        <f t="shared" ref="AQ11:AQ49" si="42">N11-H11</f>
        <v>4.3999999999999997E-2</v>
      </c>
      <c r="AR11" s="6">
        <f t="shared" ref="AR11:AR49" si="43">K11-H11</f>
        <v>6.9999999999999993E-2</v>
      </c>
      <c r="AT11" s="3">
        <f t="shared" ref="AT11:AT49" si="44">(1.04*AP11)+(0.79*AR11)-(0.27*AQ11)</f>
        <v>0.14949999999999999</v>
      </c>
      <c r="AU11" s="3">
        <f t="shared" ref="AU11:AU49" si="45">(1.02*AR11)-(0.27*AP11)+(0.01*AQ11)</f>
        <v>4.4299999999999999E-2</v>
      </c>
      <c r="AV11" s="3">
        <f t="shared" ref="AV11:AV49" si="46">(1.02*AQ11)-(0.08*AP11)-(0.026*AR11)</f>
        <v>3.4899999999999994E-2</v>
      </c>
      <c r="AX11" s="7">
        <f t="shared" ref="AX11:AX49" si="47">1000000*AU11/(89.71*1)</f>
        <v>493.81339872923871</v>
      </c>
      <c r="AY11" s="7">
        <f t="shared" ref="AY11:AY49" si="48">1000000*AT11/(112.61*1)</f>
        <v>1327.5908001065625</v>
      </c>
      <c r="AZ11" s="7">
        <f t="shared" ref="AZ11:AZ49" si="49">1000000*AV11/(262*1)</f>
        <v>133.20610687022898</v>
      </c>
      <c r="BB11" s="3">
        <f t="shared" ref="BB11:BB49" si="50">1000*((11.85*(J11-H11))-(1.54*(L11-H11))-(0.08*(M11-H11)))</f>
        <v>813.42000000000007</v>
      </c>
    </row>
    <row r="12" spans="1:54" ht="14.5" x14ac:dyDescent="0.35">
      <c r="A12" s="14" t="s">
        <v>153</v>
      </c>
      <c r="B12" t="s">
        <v>188</v>
      </c>
      <c r="C12">
        <v>1064</v>
      </c>
      <c r="D12" s="3">
        <v>6</v>
      </c>
      <c r="E12"/>
      <c r="F12" t="s">
        <v>143</v>
      </c>
      <c r="G12" t="s">
        <v>11</v>
      </c>
      <c r="H12">
        <v>1E-3</v>
      </c>
      <c r="I12">
        <v>8.9999999999999993E-3</v>
      </c>
      <c r="J12">
        <v>8.9999999999999993E-3</v>
      </c>
      <c r="K12">
        <v>8.9999999999999993E-3</v>
      </c>
      <c r="L12">
        <v>4.0000000000000001E-3</v>
      </c>
      <c r="M12">
        <v>3.0000000000000001E-3</v>
      </c>
      <c r="N12">
        <v>0.01</v>
      </c>
      <c r="O12">
        <v>2.4E-2</v>
      </c>
      <c r="P12"/>
      <c r="Q12">
        <v>4</v>
      </c>
      <c r="R12" t="s">
        <v>11</v>
      </c>
      <c r="S12">
        <v>1E-3</v>
      </c>
      <c r="T12">
        <v>6.0000000000000001E-3</v>
      </c>
      <c r="U12">
        <v>6.0000000000000001E-3</v>
      </c>
      <c r="V12">
        <v>6.0000000000000001E-3</v>
      </c>
      <c r="W12">
        <v>3.0000000000000001E-3</v>
      </c>
      <c r="X12">
        <v>2E-3</v>
      </c>
      <c r="Y12">
        <v>7.0000000000000001E-3</v>
      </c>
      <c r="Z12">
        <v>2.1000000000000001E-2</v>
      </c>
      <c r="AB12" s="6">
        <f t="shared" si="31"/>
        <v>8.0000000000000002E-3</v>
      </c>
      <c r="AC12" s="6">
        <f t="shared" si="32"/>
        <v>5.0000000000000001E-3</v>
      </c>
      <c r="AD12" s="6">
        <f t="shared" si="33"/>
        <v>3.0000000000000001E-3</v>
      </c>
      <c r="AE12" s="6"/>
      <c r="AF12" s="7">
        <f t="shared" si="34"/>
        <v>353.22666666666669</v>
      </c>
      <c r="AG12" s="7">
        <f t="shared" si="35"/>
        <v>-456.33066666666673</v>
      </c>
      <c r="AH12" s="7">
        <f t="shared" si="36"/>
        <v>-456.33066666666667</v>
      </c>
      <c r="AJ12" s="8">
        <f t="shared" si="37"/>
        <v>1.99187969924812</v>
      </c>
      <c r="AK12" s="4">
        <f t="shared" si="38"/>
        <v>-2.573293233082707</v>
      </c>
      <c r="AM12" s="8">
        <f t="shared" si="39"/>
        <v>1.6</v>
      </c>
      <c r="AN12" s="8">
        <f t="shared" si="40"/>
        <v>-1.4666666666666666</v>
      </c>
      <c r="AP12" s="6">
        <f t="shared" si="41"/>
        <v>2.3E-2</v>
      </c>
      <c r="AQ12" s="6">
        <f t="shared" si="42"/>
        <v>9.0000000000000011E-3</v>
      </c>
      <c r="AR12" s="6">
        <f t="shared" si="43"/>
        <v>8.0000000000000002E-3</v>
      </c>
      <c r="AT12" s="3">
        <f t="shared" si="44"/>
        <v>2.7809999999999998E-2</v>
      </c>
      <c r="AU12" s="3">
        <f t="shared" si="45"/>
        <v>2.0400000000000001E-3</v>
      </c>
      <c r="AV12" s="3">
        <f t="shared" si="46"/>
        <v>7.1320000000000012E-3</v>
      </c>
      <c r="AX12" s="7">
        <f t="shared" si="47"/>
        <v>22.739939806041694</v>
      </c>
      <c r="AY12" s="7">
        <f t="shared" si="48"/>
        <v>246.95852943788293</v>
      </c>
      <c r="AZ12" s="7">
        <f t="shared" si="49"/>
        <v>27.221374045801529</v>
      </c>
      <c r="BB12" s="3">
        <f t="shared" si="50"/>
        <v>90.02</v>
      </c>
    </row>
    <row r="13" spans="1:54" ht="14.5" x14ac:dyDescent="0.35">
      <c r="A13" s="14" t="s">
        <v>154</v>
      </c>
      <c r="B13" s="9"/>
      <c r="C13">
        <v>1038</v>
      </c>
      <c r="D13" s="3">
        <v>6</v>
      </c>
      <c r="F13" t="s">
        <v>145</v>
      </c>
      <c r="G13" t="s">
        <v>11</v>
      </c>
      <c r="H13">
        <v>1E-3</v>
      </c>
      <c r="I13">
        <v>0.30299999999999999</v>
      </c>
      <c r="J13">
        <v>0.30199999999999999</v>
      </c>
      <c r="K13">
        <v>0.29699999999999999</v>
      </c>
      <c r="L13">
        <v>9.5000000000000001E-2</v>
      </c>
      <c r="M13">
        <v>7.3999999999999996E-2</v>
      </c>
      <c r="N13">
        <v>0.19700000000000001</v>
      </c>
      <c r="O13">
        <v>0.36899999999999999</v>
      </c>
      <c r="P13"/>
      <c r="Q13">
        <v>5</v>
      </c>
      <c r="R13" t="s">
        <v>11</v>
      </c>
      <c r="S13">
        <v>1E-3</v>
      </c>
      <c r="T13">
        <v>0.184</v>
      </c>
      <c r="U13">
        <v>0.18099999999999999</v>
      </c>
      <c r="V13">
        <v>0.17599999999999999</v>
      </c>
      <c r="W13">
        <v>5.5E-2</v>
      </c>
      <c r="X13">
        <v>2.9000000000000001E-2</v>
      </c>
      <c r="Y13">
        <v>0.183</v>
      </c>
      <c r="Z13">
        <v>0.42299999999999999</v>
      </c>
      <c r="AB13" s="6">
        <f t="shared" si="31"/>
        <v>0.30099999999999999</v>
      </c>
      <c r="AC13" s="6">
        <f t="shared" si="32"/>
        <v>0.183</v>
      </c>
      <c r="AD13" s="6">
        <f t="shared" si="33"/>
        <v>0.11799999999999999</v>
      </c>
      <c r="AE13" s="6"/>
      <c r="AF13" s="7">
        <f t="shared" si="34"/>
        <v>3646.8266666666668</v>
      </c>
      <c r="AG13" s="7">
        <f t="shared" si="35"/>
        <v>-79.428266666666843</v>
      </c>
      <c r="AH13" s="7">
        <f t="shared" si="36"/>
        <v>-79.428266666667142</v>
      </c>
      <c r="AJ13" s="8">
        <f t="shared" si="37"/>
        <v>21.079922928709053</v>
      </c>
      <c r="AK13" s="4">
        <f t="shared" si="38"/>
        <v>-0.45912292870905685</v>
      </c>
      <c r="AM13" s="8">
        <f t="shared" si="39"/>
        <v>1.644808743169399</v>
      </c>
      <c r="AN13" s="8">
        <f t="shared" si="40"/>
        <v>1.7360308285163779</v>
      </c>
      <c r="AP13" s="6">
        <f t="shared" si="41"/>
        <v>0.36799999999999999</v>
      </c>
      <c r="AQ13" s="6">
        <f t="shared" si="42"/>
        <v>0.19600000000000001</v>
      </c>
      <c r="AR13" s="6">
        <f t="shared" si="43"/>
        <v>0.29599999999999999</v>
      </c>
      <c r="AT13" s="3">
        <f t="shared" si="44"/>
        <v>0.56364000000000003</v>
      </c>
      <c r="AU13" s="3">
        <f t="shared" si="45"/>
        <v>0.20451999999999995</v>
      </c>
      <c r="AV13" s="3">
        <f t="shared" si="46"/>
        <v>0.16278400000000001</v>
      </c>
      <c r="AX13" s="7">
        <f t="shared" si="47"/>
        <v>2279.7904358488458</v>
      </c>
      <c r="AY13" s="7">
        <f t="shared" si="48"/>
        <v>5005.2393215522598</v>
      </c>
      <c r="AZ13" s="7">
        <f t="shared" si="49"/>
        <v>621.3129770992366</v>
      </c>
      <c r="BB13" s="3">
        <f t="shared" si="50"/>
        <v>3416.25</v>
      </c>
    </row>
    <row r="14" spans="1:54" ht="14.5" x14ac:dyDescent="0.35">
      <c r="A14" s="14" t="s">
        <v>155</v>
      </c>
      <c r="B14" s="9"/>
      <c r="C14">
        <v>1059</v>
      </c>
      <c r="D14" s="3">
        <v>6</v>
      </c>
      <c r="E14"/>
      <c r="F14" t="s">
        <v>146</v>
      </c>
      <c r="G14" t="s">
        <v>11</v>
      </c>
      <c r="H14">
        <v>0</v>
      </c>
      <c r="I14">
        <v>0.191</v>
      </c>
      <c r="J14">
        <v>0.191</v>
      </c>
      <c r="K14">
        <v>0.188</v>
      </c>
      <c r="L14">
        <v>6.0999999999999999E-2</v>
      </c>
      <c r="M14">
        <v>4.4999999999999998E-2</v>
      </c>
      <c r="N14">
        <v>0.112</v>
      </c>
      <c r="O14">
        <v>0.23300000000000001</v>
      </c>
      <c r="P14"/>
      <c r="Q14">
        <v>6</v>
      </c>
      <c r="R14" t="s">
        <v>11</v>
      </c>
      <c r="S14">
        <v>1E-3</v>
      </c>
      <c r="T14">
        <v>0.11700000000000001</v>
      </c>
      <c r="U14">
        <v>0.115</v>
      </c>
      <c r="V14">
        <v>0.112</v>
      </c>
      <c r="W14">
        <v>3.5999999999999997E-2</v>
      </c>
      <c r="X14">
        <v>1.9E-2</v>
      </c>
      <c r="Y14">
        <v>0.10299999999999999</v>
      </c>
      <c r="Z14">
        <v>0.26100000000000001</v>
      </c>
      <c r="AB14" s="6">
        <f t="shared" si="31"/>
        <v>0.191</v>
      </c>
      <c r="AC14" s="6">
        <f t="shared" si="32"/>
        <v>0.11600000000000001</v>
      </c>
      <c r="AD14" s="6">
        <f t="shared" si="33"/>
        <v>7.4999999999999997E-2</v>
      </c>
      <c r="AE14" s="6"/>
      <c r="AF14" s="7">
        <f t="shared" si="34"/>
        <v>2415.3066666666668</v>
      </c>
      <c r="AG14" s="7">
        <f t="shared" si="35"/>
        <v>-229.5018666666667</v>
      </c>
      <c r="AH14" s="7">
        <f t="shared" si="36"/>
        <v>-229.50186666666619</v>
      </c>
      <c r="AJ14" s="8">
        <f t="shared" si="37"/>
        <v>13.684457034938623</v>
      </c>
      <c r="AK14" s="4">
        <f t="shared" si="38"/>
        <v>-1.3002938621340889</v>
      </c>
      <c r="AM14" s="8">
        <f t="shared" si="39"/>
        <v>1.646551724137931</v>
      </c>
      <c r="AN14" s="8">
        <f t="shared" si="40"/>
        <v>1.7955974842767293</v>
      </c>
      <c r="AP14" s="6">
        <f t="shared" si="41"/>
        <v>0.23300000000000001</v>
      </c>
      <c r="AQ14" s="6">
        <f t="shared" si="42"/>
        <v>0.112</v>
      </c>
      <c r="AR14" s="6">
        <f t="shared" si="43"/>
        <v>0.188</v>
      </c>
      <c r="AT14" s="3">
        <f t="shared" si="44"/>
        <v>0.36060000000000003</v>
      </c>
      <c r="AU14" s="3">
        <f t="shared" si="45"/>
        <v>0.12997000000000003</v>
      </c>
      <c r="AV14" s="3">
        <f t="shared" si="46"/>
        <v>9.0712000000000001E-2</v>
      </c>
      <c r="AX14" s="7">
        <f t="shared" si="47"/>
        <v>1448.7794002898231</v>
      </c>
      <c r="AY14" s="7">
        <f t="shared" si="48"/>
        <v>3202.2022910931537</v>
      </c>
      <c r="AZ14" s="7">
        <f t="shared" si="49"/>
        <v>346.2290076335878</v>
      </c>
      <c r="BB14" s="3">
        <f t="shared" si="50"/>
        <v>2165.81</v>
      </c>
    </row>
    <row r="15" spans="1:54" ht="14.5" x14ac:dyDescent="0.35">
      <c r="A15" s="14" t="s">
        <v>156</v>
      </c>
      <c r="B15" s="9"/>
      <c r="C15">
        <v>1082</v>
      </c>
      <c r="D15" s="3">
        <v>6</v>
      </c>
      <c r="E15"/>
      <c r="F15" t="s">
        <v>147</v>
      </c>
      <c r="G15" t="s">
        <v>11</v>
      </c>
      <c r="H15">
        <v>-3.0000000000000001E-3</v>
      </c>
      <c r="I15">
        <v>0.01</v>
      </c>
      <c r="J15">
        <v>0.01</v>
      </c>
      <c r="K15">
        <v>8.9999999999999993E-3</v>
      </c>
      <c r="L15">
        <v>2E-3</v>
      </c>
      <c r="M15">
        <v>1E-3</v>
      </c>
      <c r="N15">
        <v>7.0000000000000001E-3</v>
      </c>
      <c r="O15">
        <v>0.04</v>
      </c>
      <c r="P15"/>
      <c r="Q15">
        <v>7</v>
      </c>
      <c r="R15" t="s">
        <v>11</v>
      </c>
      <c r="S15">
        <v>-1E-3</v>
      </c>
      <c r="T15">
        <v>7.0000000000000001E-3</v>
      </c>
      <c r="U15">
        <v>7.0000000000000001E-3</v>
      </c>
      <c r="V15">
        <v>7.0000000000000001E-3</v>
      </c>
      <c r="W15">
        <v>3.0000000000000001E-3</v>
      </c>
      <c r="X15">
        <v>2E-3</v>
      </c>
      <c r="Y15">
        <v>0.01</v>
      </c>
      <c r="Z15">
        <v>3.9E-2</v>
      </c>
      <c r="AB15" s="6">
        <f t="shared" si="31"/>
        <v>1.3000000000000001E-2</v>
      </c>
      <c r="AC15" s="6">
        <f t="shared" si="32"/>
        <v>8.0000000000000002E-3</v>
      </c>
      <c r="AD15" s="6">
        <f t="shared" si="33"/>
        <v>5.000000000000001E-3</v>
      </c>
      <c r="AE15" s="6"/>
      <c r="AF15" s="7">
        <f t="shared" si="34"/>
        <v>410.50666666666666</v>
      </c>
      <c r="AG15" s="7">
        <f t="shared" si="35"/>
        <v>-451.74826666666672</v>
      </c>
      <c r="AH15" s="7">
        <f t="shared" si="36"/>
        <v>-451.74826666666667</v>
      </c>
      <c r="AJ15" s="8">
        <f t="shared" si="37"/>
        <v>2.2763770794824398</v>
      </c>
      <c r="AK15" s="4">
        <f t="shared" si="38"/>
        <v>-2.5050735674676528</v>
      </c>
      <c r="AM15" s="8">
        <f t="shared" si="39"/>
        <v>1.625</v>
      </c>
      <c r="AN15" s="8">
        <f t="shared" si="40"/>
        <v>-6.166666666666667</v>
      </c>
      <c r="AP15" s="6">
        <f t="shared" si="41"/>
        <v>4.3000000000000003E-2</v>
      </c>
      <c r="AQ15" s="6">
        <f t="shared" si="42"/>
        <v>0.01</v>
      </c>
      <c r="AR15" s="6">
        <f t="shared" si="43"/>
        <v>1.2E-2</v>
      </c>
      <c r="AT15" s="3">
        <f t="shared" si="44"/>
        <v>5.1500000000000004E-2</v>
      </c>
      <c r="AU15" s="3">
        <f t="shared" si="45"/>
        <v>7.2999999999999866E-4</v>
      </c>
      <c r="AV15" s="3">
        <f t="shared" si="46"/>
        <v>6.4480000000000006E-3</v>
      </c>
      <c r="AX15" s="7">
        <f t="shared" si="47"/>
        <v>8.1373314011815712</v>
      </c>
      <c r="AY15" s="7">
        <f t="shared" si="48"/>
        <v>457.33061007015368</v>
      </c>
      <c r="AZ15" s="7">
        <f t="shared" si="49"/>
        <v>24.610687022900766</v>
      </c>
      <c r="BB15" s="3">
        <f t="shared" si="50"/>
        <v>146.03000000000003</v>
      </c>
    </row>
    <row r="16" spans="1:54" ht="14.5" x14ac:dyDescent="0.35">
      <c r="A16" s="14" t="s">
        <v>157</v>
      </c>
      <c r="B16" s="9"/>
      <c r="C16">
        <v>1002</v>
      </c>
      <c r="D16" s="3">
        <v>6</v>
      </c>
      <c r="E16"/>
      <c r="F16" t="s">
        <v>148</v>
      </c>
      <c r="G16" t="s">
        <v>11</v>
      </c>
      <c r="H16">
        <v>5.0000000000000001E-3</v>
      </c>
      <c r="I16">
        <v>0.20899999999999999</v>
      </c>
      <c r="J16">
        <v>0.20899999999999999</v>
      </c>
      <c r="K16">
        <v>0.20499999999999999</v>
      </c>
      <c r="L16">
        <v>7.2999999999999995E-2</v>
      </c>
      <c r="M16">
        <v>5.0999999999999997E-2</v>
      </c>
      <c r="N16">
        <v>0.106</v>
      </c>
      <c r="O16">
        <v>0.246</v>
      </c>
      <c r="P16"/>
      <c r="Q16">
        <v>8</v>
      </c>
      <c r="R16" t="s">
        <v>11</v>
      </c>
      <c r="S16">
        <v>0</v>
      </c>
      <c r="T16">
        <v>0.126</v>
      </c>
      <c r="U16">
        <v>0.124</v>
      </c>
      <c r="V16">
        <v>0.121</v>
      </c>
      <c r="W16">
        <v>4.1000000000000002E-2</v>
      </c>
      <c r="X16">
        <v>1.9E-2</v>
      </c>
      <c r="Y16">
        <v>9.4E-2</v>
      </c>
      <c r="Z16">
        <v>0.27100000000000002</v>
      </c>
      <c r="AB16" s="6">
        <f t="shared" si="31"/>
        <v>0.20399999999999999</v>
      </c>
      <c r="AC16" s="6">
        <f t="shared" si="32"/>
        <v>0.126</v>
      </c>
      <c r="AD16" s="6">
        <f t="shared" si="33"/>
        <v>7.7999999999999986E-2</v>
      </c>
      <c r="AE16" s="6"/>
      <c r="AF16" s="7">
        <f t="shared" si="34"/>
        <v>2501.2266666666665</v>
      </c>
      <c r="AG16" s="7">
        <f t="shared" si="35"/>
        <v>-109.21386666666643</v>
      </c>
      <c r="AH16" s="7">
        <f t="shared" si="36"/>
        <v>-109.21386666666592</v>
      </c>
      <c r="AJ16" s="8">
        <f t="shared" si="37"/>
        <v>14.977405189620757</v>
      </c>
      <c r="AK16" s="4">
        <f t="shared" si="38"/>
        <v>-0.65397524950099661</v>
      </c>
      <c r="AM16" s="8">
        <f t="shared" si="39"/>
        <v>1.6190476190476188</v>
      </c>
      <c r="AN16" s="8">
        <f t="shared" si="40"/>
        <v>1.7528735632183905</v>
      </c>
      <c r="AP16" s="6">
        <f t="shared" si="41"/>
        <v>0.24099999999999999</v>
      </c>
      <c r="AQ16" s="6">
        <f t="shared" si="42"/>
        <v>0.10099999999999999</v>
      </c>
      <c r="AR16" s="6">
        <f t="shared" si="43"/>
        <v>0.19999999999999998</v>
      </c>
      <c r="AT16" s="3">
        <f t="shared" si="44"/>
        <v>0.38136999999999999</v>
      </c>
      <c r="AU16" s="3">
        <f t="shared" si="45"/>
        <v>0.13994000000000001</v>
      </c>
      <c r="AV16" s="3">
        <f t="shared" si="46"/>
        <v>7.8540000000000013E-2</v>
      </c>
      <c r="AX16" s="7">
        <f t="shared" si="47"/>
        <v>1559.9152825771932</v>
      </c>
      <c r="AY16" s="7">
        <f t="shared" si="48"/>
        <v>3386.6441701447475</v>
      </c>
      <c r="AZ16" s="7">
        <f t="shared" si="49"/>
        <v>299.77099236641226</v>
      </c>
      <c r="BB16" s="3">
        <f t="shared" si="50"/>
        <v>2308.9999999999995</v>
      </c>
    </row>
    <row r="17" spans="1:54" ht="14.5" x14ac:dyDescent="0.35">
      <c r="A17" s="14" t="s">
        <v>158</v>
      </c>
      <c r="B17" s="9"/>
      <c r="C17">
        <v>1090</v>
      </c>
      <c r="D17" s="3">
        <v>6</v>
      </c>
      <c r="E17"/>
      <c r="F17" t="s">
        <v>149</v>
      </c>
      <c r="G17" t="s">
        <v>11</v>
      </c>
      <c r="H17">
        <v>6.0000000000000001E-3</v>
      </c>
      <c r="I17">
        <v>9.2999999999999999E-2</v>
      </c>
      <c r="J17">
        <v>9.2999999999999999E-2</v>
      </c>
      <c r="K17">
        <v>9.1999999999999998E-2</v>
      </c>
      <c r="L17">
        <v>0.04</v>
      </c>
      <c r="M17">
        <v>2.7E-2</v>
      </c>
      <c r="N17">
        <v>5.3999999999999999E-2</v>
      </c>
      <c r="O17">
        <v>0.115</v>
      </c>
      <c r="P17"/>
      <c r="Q17">
        <v>9</v>
      </c>
      <c r="R17" t="s">
        <v>11</v>
      </c>
      <c r="S17">
        <v>5.0000000000000001E-3</v>
      </c>
      <c r="T17">
        <v>5.8999999999999997E-2</v>
      </c>
      <c r="U17">
        <v>5.8999999999999997E-2</v>
      </c>
      <c r="V17">
        <v>5.8000000000000003E-2</v>
      </c>
      <c r="W17">
        <v>2.7E-2</v>
      </c>
      <c r="X17">
        <v>1.6E-2</v>
      </c>
      <c r="Y17">
        <v>4.7E-2</v>
      </c>
      <c r="Z17">
        <v>0.125</v>
      </c>
      <c r="AB17" s="6">
        <f t="shared" si="31"/>
        <v>8.6999999999999994E-2</v>
      </c>
      <c r="AC17" s="6">
        <f t="shared" si="32"/>
        <v>5.3999999999999999E-2</v>
      </c>
      <c r="AD17" s="6">
        <f t="shared" si="33"/>
        <v>3.2999999999999995E-2</v>
      </c>
      <c r="AE17" s="6"/>
      <c r="AF17" s="7">
        <f t="shared" si="34"/>
        <v>1212.4266666666665</v>
      </c>
      <c r="AG17" s="7">
        <f t="shared" si="35"/>
        <v>-305.11146666666639</v>
      </c>
      <c r="AH17" s="7">
        <f t="shared" si="36"/>
        <v>-305.11146666666667</v>
      </c>
      <c r="AJ17" s="8">
        <f t="shared" si="37"/>
        <v>6.6739082568807326</v>
      </c>
      <c r="AK17" s="4">
        <f t="shared" si="38"/>
        <v>-1.6795126605504571</v>
      </c>
      <c r="AM17" s="8">
        <f t="shared" si="39"/>
        <v>1.6111111111111109</v>
      </c>
      <c r="AN17" s="8">
        <f t="shared" si="40"/>
        <v>1.9621212121212122</v>
      </c>
      <c r="AP17" s="6">
        <f t="shared" si="41"/>
        <v>0.109</v>
      </c>
      <c r="AQ17" s="6">
        <f t="shared" si="42"/>
        <v>4.8000000000000001E-2</v>
      </c>
      <c r="AR17" s="6">
        <f t="shared" si="43"/>
        <v>8.5999999999999993E-2</v>
      </c>
      <c r="AT17" s="3">
        <f t="shared" si="44"/>
        <v>0.16834000000000002</v>
      </c>
      <c r="AU17" s="3">
        <f t="shared" si="45"/>
        <v>5.8769999999999996E-2</v>
      </c>
      <c r="AV17" s="3">
        <f t="shared" si="46"/>
        <v>3.8004000000000003E-2</v>
      </c>
      <c r="AX17" s="7">
        <f t="shared" si="47"/>
        <v>655.11091294170103</v>
      </c>
      <c r="AY17" s="7">
        <f t="shared" si="48"/>
        <v>1494.893881538052</v>
      </c>
      <c r="AZ17" s="7">
        <f t="shared" si="49"/>
        <v>145.05343511450383</v>
      </c>
      <c r="BB17" s="3">
        <f t="shared" si="50"/>
        <v>976.90999999999985</v>
      </c>
    </row>
    <row r="18" spans="1:54" ht="14.5" x14ac:dyDescent="0.35">
      <c r="A18" s="14" t="s">
        <v>159</v>
      </c>
      <c r="B18" s="9"/>
      <c r="C18">
        <v>1062</v>
      </c>
      <c r="D18" s="3">
        <v>6</v>
      </c>
      <c r="E18"/>
      <c r="F18" t="s">
        <v>112</v>
      </c>
      <c r="G18" t="s">
        <v>11</v>
      </c>
      <c r="H18">
        <v>6.0000000000000001E-3</v>
      </c>
      <c r="I18">
        <v>4.7E-2</v>
      </c>
      <c r="J18">
        <v>4.7E-2</v>
      </c>
      <c r="K18">
        <v>4.5999999999999999E-2</v>
      </c>
      <c r="L18">
        <v>2.1999999999999999E-2</v>
      </c>
      <c r="M18">
        <v>1.7000000000000001E-2</v>
      </c>
      <c r="N18">
        <v>5.0999999999999997E-2</v>
      </c>
      <c r="O18">
        <v>0.114</v>
      </c>
      <c r="P18"/>
      <c r="Q18" t="s">
        <v>72</v>
      </c>
      <c r="R18" t="s">
        <v>11</v>
      </c>
      <c r="S18">
        <v>6.0000000000000001E-3</v>
      </c>
      <c r="T18">
        <v>3.6999999999999998E-2</v>
      </c>
      <c r="U18">
        <v>3.5999999999999997E-2</v>
      </c>
      <c r="V18">
        <v>3.5999999999999997E-2</v>
      </c>
      <c r="W18">
        <v>1.7999999999999999E-2</v>
      </c>
      <c r="X18">
        <v>1.4E-2</v>
      </c>
      <c r="Y18">
        <v>4.5999999999999999E-2</v>
      </c>
      <c r="Z18">
        <v>0.107</v>
      </c>
      <c r="AB18" s="6">
        <f t="shared" si="31"/>
        <v>4.1000000000000002E-2</v>
      </c>
      <c r="AC18" s="6">
        <f t="shared" si="32"/>
        <v>3.1E-2</v>
      </c>
      <c r="AD18" s="6">
        <f t="shared" si="33"/>
        <v>1.0000000000000002E-2</v>
      </c>
      <c r="AE18" s="6"/>
      <c r="AF18" s="7">
        <f t="shared" si="34"/>
        <v>553.70666666666671</v>
      </c>
      <c r="AG18" s="7">
        <f t="shared" si="35"/>
        <v>-120.66986666666679</v>
      </c>
      <c r="AH18" s="7">
        <f t="shared" si="36"/>
        <v>-120.66986666666685</v>
      </c>
      <c r="AJ18" s="8">
        <f t="shared" si="37"/>
        <v>3.1282862523540489</v>
      </c>
      <c r="AK18" s="4">
        <f t="shared" si="38"/>
        <v>-0.68175065913371069</v>
      </c>
      <c r="AM18" s="8">
        <f t="shared" si="39"/>
        <v>1.3225806451612905</v>
      </c>
      <c r="AN18" s="8">
        <f t="shared" si="40"/>
        <v>1.9206349206349207</v>
      </c>
      <c r="AP18" s="6">
        <f t="shared" si="41"/>
        <v>0.108</v>
      </c>
      <c r="AQ18" s="6">
        <f t="shared" si="42"/>
        <v>4.4999999999999998E-2</v>
      </c>
      <c r="AR18" s="6">
        <f t="shared" si="43"/>
        <v>0.04</v>
      </c>
      <c r="AT18" s="3">
        <f t="shared" si="44"/>
        <v>0.13177</v>
      </c>
      <c r="AU18" s="3">
        <f t="shared" si="45"/>
        <v>1.2090000000000002E-2</v>
      </c>
      <c r="AV18" s="3">
        <f t="shared" si="46"/>
        <v>3.6219999999999995E-2</v>
      </c>
      <c r="AX18" s="7">
        <f t="shared" si="47"/>
        <v>134.76758443874709</v>
      </c>
      <c r="AY18" s="7">
        <f t="shared" si="48"/>
        <v>1170.1447473581386</v>
      </c>
      <c r="AZ18" s="7">
        <f t="shared" si="49"/>
        <v>138.24427480916029</v>
      </c>
      <c r="BB18" s="3">
        <f t="shared" si="50"/>
        <v>460.33000000000004</v>
      </c>
    </row>
    <row r="19" spans="1:54" ht="14.5" x14ac:dyDescent="0.35">
      <c r="A19" s="14" t="s">
        <v>160</v>
      </c>
      <c r="B19" s="9"/>
      <c r="C19">
        <v>1032</v>
      </c>
      <c r="D19" s="3">
        <v>6</v>
      </c>
      <c r="E19"/>
      <c r="F19" t="s">
        <v>113</v>
      </c>
      <c r="G19" t="s">
        <v>11</v>
      </c>
      <c r="H19">
        <v>1E-3</v>
      </c>
      <c r="I19">
        <v>0.109</v>
      </c>
      <c r="J19">
        <v>0.109</v>
      </c>
      <c r="K19">
        <v>0.107</v>
      </c>
      <c r="L19">
        <v>3.5999999999999997E-2</v>
      </c>
      <c r="M19">
        <v>2.8000000000000001E-2</v>
      </c>
      <c r="N19">
        <v>6.3E-2</v>
      </c>
      <c r="O19">
        <v>0.13700000000000001</v>
      </c>
      <c r="P19"/>
      <c r="Q19" t="s">
        <v>73</v>
      </c>
      <c r="R19" t="s">
        <v>11</v>
      </c>
      <c r="S19">
        <v>2E-3</v>
      </c>
      <c r="T19">
        <v>6.8000000000000005E-2</v>
      </c>
      <c r="U19">
        <v>6.7000000000000004E-2</v>
      </c>
      <c r="V19">
        <v>6.5000000000000002E-2</v>
      </c>
      <c r="W19">
        <v>2.1999999999999999E-2</v>
      </c>
      <c r="X19">
        <v>1.2999999999999999E-2</v>
      </c>
      <c r="Y19">
        <v>0.06</v>
      </c>
      <c r="Z19">
        <v>0.152</v>
      </c>
      <c r="AB19" s="6">
        <f t="shared" si="31"/>
        <v>0.108</v>
      </c>
      <c r="AC19" s="6">
        <f t="shared" si="32"/>
        <v>6.6000000000000003E-2</v>
      </c>
      <c r="AD19" s="6">
        <f t="shared" si="33"/>
        <v>4.1999999999999996E-2</v>
      </c>
      <c r="AE19" s="6"/>
      <c r="AF19" s="7">
        <f t="shared" si="34"/>
        <v>1470.1866666666665</v>
      </c>
      <c r="AG19" s="7">
        <f t="shared" si="35"/>
        <v>-315.42186666666635</v>
      </c>
      <c r="AH19" s="7">
        <f t="shared" si="36"/>
        <v>-315.42186666666669</v>
      </c>
      <c r="AJ19" s="8">
        <f t="shared" si="37"/>
        <v>8.5475968992248053</v>
      </c>
      <c r="AK19" s="4">
        <f t="shared" si="38"/>
        <v>-1.833848062015502</v>
      </c>
      <c r="AM19" s="8">
        <f t="shared" si="39"/>
        <v>1.6363636363636362</v>
      </c>
      <c r="AN19" s="8">
        <f t="shared" si="40"/>
        <v>1.9166666666666667</v>
      </c>
      <c r="AP19" s="6">
        <f t="shared" si="41"/>
        <v>0.13600000000000001</v>
      </c>
      <c r="AQ19" s="6">
        <f t="shared" si="42"/>
        <v>6.2E-2</v>
      </c>
      <c r="AR19" s="6">
        <f t="shared" si="43"/>
        <v>0.106</v>
      </c>
      <c r="AT19" s="3">
        <f t="shared" si="44"/>
        <v>0.20843999999999999</v>
      </c>
      <c r="AU19" s="3">
        <f t="shared" si="45"/>
        <v>7.2019999999999987E-2</v>
      </c>
      <c r="AV19" s="3">
        <f t="shared" si="46"/>
        <v>4.9604000000000002E-2</v>
      </c>
      <c r="AX19" s="7">
        <f t="shared" si="47"/>
        <v>802.80905138780508</v>
      </c>
      <c r="AY19" s="7">
        <f t="shared" si="48"/>
        <v>1850.990142971317</v>
      </c>
      <c r="AZ19" s="7">
        <f t="shared" si="49"/>
        <v>189.32824427480915</v>
      </c>
      <c r="BB19" s="3">
        <f t="shared" si="50"/>
        <v>1223.74</v>
      </c>
    </row>
    <row r="20" spans="1:54" ht="14.5" x14ac:dyDescent="0.35">
      <c r="A20" s="14" t="s">
        <v>161</v>
      </c>
      <c r="B20" s="9"/>
      <c r="C20">
        <v>1050</v>
      </c>
      <c r="D20" s="3">
        <v>6</v>
      </c>
      <c r="E20"/>
      <c r="F20" t="s">
        <v>114</v>
      </c>
      <c r="G20" t="s">
        <v>11</v>
      </c>
      <c r="H20">
        <v>1E-3</v>
      </c>
      <c r="I20">
        <v>0.159</v>
      </c>
      <c r="J20">
        <v>0.158</v>
      </c>
      <c r="K20">
        <v>0.156</v>
      </c>
      <c r="L20">
        <v>5.8000000000000003E-2</v>
      </c>
      <c r="M20">
        <v>3.6999999999999998E-2</v>
      </c>
      <c r="N20">
        <v>9.0999999999999998E-2</v>
      </c>
      <c r="O20">
        <v>0.20799999999999999</v>
      </c>
      <c r="P20"/>
      <c r="Q20" t="s">
        <v>74</v>
      </c>
      <c r="R20" t="s">
        <v>11</v>
      </c>
      <c r="S20">
        <v>1E-3</v>
      </c>
      <c r="T20">
        <v>0.10100000000000001</v>
      </c>
      <c r="U20">
        <v>0.1</v>
      </c>
      <c r="V20">
        <v>9.8000000000000004E-2</v>
      </c>
      <c r="W20">
        <v>3.6999999999999998E-2</v>
      </c>
      <c r="X20">
        <v>1.7000000000000001E-2</v>
      </c>
      <c r="Y20">
        <v>0.08</v>
      </c>
      <c r="Z20">
        <v>0.223</v>
      </c>
      <c r="AB20" s="6">
        <f t="shared" si="31"/>
        <v>0.157</v>
      </c>
      <c r="AC20" s="6">
        <f t="shared" si="32"/>
        <v>0.1</v>
      </c>
      <c r="AD20" s="6">
        <f t="shared" si="33"/>
        <v>5.6999999999999995E-2</v>
      </c>
      <c r="AE20" s="6"/>
      <c r="AF20" s="7">
        <f t="shared" si="34"/>
        <v>1899.7866666666664</v>
      </c>
      <c r="AG20" s="7">
        <f t="shared" si="35"/>
        <v>-43.914666666666335</v>
      </c>
      <c r="AH20" s="7">
        <f t="shared" si="36"/>
        <v>-43.914666666665802</v>
      </c>
      <c r="AJ20" s="8">
        <f t="shared" si="37"/>
        <v>10.855923809523807</v>
      </c>
      <c r="AK20" s="4">
        <f t="shared" si="38"/>
        <v>-0.25094095238095049</v>
      </c>
      <c r="AM20" s="8">
        <f t="shared" si="39"/>
        <v>1.5699999999999998</v>
      </c>
      <c r="AN20" s="8">
        <f t="shared" si="40"/>
        <v>1.7370370370370367</v>
      </c>
      <c r="AP20" s="6">
        <f t="shared" si="41"/>
        <v>0.20699999999999999</v>
      </c>
      <c r="AQ20" s="6">
        <f t="shared" si="42"/>
        <v>0.09</v>
      </c>
      <c r="AR20" s="6">
        <f t="shared" si="43"/>
        <v>0.155</v>
      </c>
      <c r="AT20" s="3">
        <f t="shared" si="44"/>
        <v>0.31342999999999999</v>
      </c>
      <c r="AU20" s="3">
        <f t="shared" si="45"/>
        <v>0.10310999999999999</v>
      </c>
      <c r="AV20" s="3">
        <f t="shared" si="46"/>
        <v>7.1209999999999996E-2</v>
      </c>
      <c r="AX20" s="7">
        <f t="shared" si="47"/>
        <v>1149.3701928436074</v>
      </c>
      <c r="AY20" s="7">
        <f t="shared" si="48"/>
        <v>2783.3229730929756</v>
      </c>
      <c r="AZ20" s="7">
        <f t="shared" si="49"/>
        <v>271.79389312977099</v>
      </c>
      <c r="BB20" s="3">
        <f t="shared" si="50"/>
        <v>1769.79</v>
      </c>
    </row>
    <row r="21" spans="1:54" ht="14.5" x14ac:dyDescent="0.35">
      <c r="A21" s="14" t="s">
        <v>162</v>
      </c>
      <c r="B21" s="9"/>
      <c r="C21">
        <v>1032</v>
      </c>
      <c r="D21" s="3">
        <v>6</v>
      </c>
      <c r="E21"/>
      <c r="F21" t="s">
        <v>115</v>
      </c>
      <c r="G21" t="s">
        <v>11</v>
      </c>
      <c r="H21">
        <v>0</v>
      </c>
      <c r="I21">
        <v>0.219</v>
      </c>
      <c r="J21">
        <v>0.218</v>
      </c>
      <c r="K21">
        <v>0.214</v>
      </c>
      <c r="L21">
        <v>7.0999999999999994E-2</v>
      </c>
      <c r="M21">
        <v>0.05</v>
      </c>
      <c r="N21">
        <v>0.121</v>
      </c>
      <c r="O21">
        <v>0.30199999999999999</v>
      </c>
      <c r="P21"/>
      <c r="Q21" t="s">
        <v>75</v>
      </c>
      <c r="R21" t="s">
        <v>11</v>
      </c>
      <c r="S21">
        <v>0</v>
      </c>
      <c r="T21">
        <v>0.14199999999999999</v>
      </c>
      <c r="U21">
        <v>0.14000000000000001</v>
      </c>
      <c r="V21">
        <v>0.13600000000000001</v>
      </c>
      <c r="W21">
        <v>4.4999999999999998E-2</v>
      </c>
      <c r="X21">
        <v>2.3E-2</v>
      </c>
      <c r="Y21">
        <v>0.113</v>
      </c>
      <c r="Z21">
        <v>0.32600000000000001</v>
      </c>
      <c r="AB21" s="6">
        <f t="shared" si="31"/>
        <v>0.218</v>
      </c>
      <c r="AC21" s="6">
        <f t="shared" si="32"/>
        <v>0.14199999999999999</v>
      </c>
      <c r="AD21" s="6">
        <f t="shared" si="33"/>
        <v>7.6000000000000012E-2</v>
      </c>
      <c r="AE21" s="6"/>
      <c r="AF21" s="7">
        <f t="shared" si="34"/>
        <v>2443.9466666666672</v>
      </c>
      <c r="AG21" s="7">
        <f t="shared" si="35"/>
        <v>277.99893333333284</v>
      </c>
      <c r="AH21" s="7">
        <f t="shared" si="36"/>
        <v>277.99893333333262</v>
      </c>
      <c r="AJ21" s="8">
        <f t="shared" si="37"/>
        <v>14.208992248062019</v>
      </c>
      <c r="AK21" s="4">
        <f t="shared" si="38"/>
        <v>1.6162728682170513</v>
      </c>
      <c r="AM21" s="8">
        <f t="shared" si="39"/>
        <v>1.535211267605634</v>
      </c>
      <c r="AN21" s="8">
        <f t="shared" si="40"/>
        <v>1.6464646464646466</v>
      </c>
      <c r="AP21" s="6">
        <f t="shared" si="41"/>
        <v>0.30199999999999999</v>
      </c>
      <c r="AQ21" s="6">
        <f t="shared" si="42"/>
        <v>0.121</v>
      </c>
      <c r="AR21" s="6">
        <f t="shared" si="43"/>
        <v>0.214</v>
      </c>
      <c r="AT21" s="3">
        <f t="shared" si="44"/>
        <v>0.45047000000000004</v>
      </c>
      <c r="AU21" s="3">
        <f t="shared" si="45"/>
        <v>0.13794999999999999</v>
      </c>
      <c r="AV21" s="3">
        <f t="shared" si="46"/>
        <v>9.3696000000000002E-2</v>
      </c>
      <c r="AX21" s="7">
        <f t="shared" si="47"/>
        <v>1537.7326942369859</v>
      </c>
      <c r="AY21" s="7">
        <f t="shared" si="48"/>
        <v>4000.266406180624</v>
      </c>
      <c r="AZ21" s="7">
        <f t="shared" si="49"/>
        <v>357.61832061068702</v>
      </c>
      <c r="BB21" s="3">
        <f t="shared" si="50"/>
        <v>2469.96</v>
      </c>
    </row>
    <row r="22" spans="1:54" ht="14.5" x14ac:dyDescent="0.35">
      <c r="A22" s="14" t="s">
        <v>163</v>
      </c>
      <c r="B22" s="9"/>
      <c r="C22">
        <v>1002</v>
      </c>
      <c r="D22" s="3">
        <v>6</v>
      </c>
      <c r="E22"/>
      <c r="F22" t="s">
        <v>116</v>
      </c>
      <c r="G22" t="s">
        <v>11</v>
      </c>
      <c r="H22">
        <v>4.0000000000000001E-3</v>
      </c>
      <c r="I22">
        <v>2.5999999999999999E-2</v>
      </c>
      <c r="J22">
        <v>2.5000000000000001E-2</v>
      </c>
      <c r="K22">
        <v>2.5000000000000001E-2</v>
      </c>
      <c r="L22">
        <v>1.2999999999999999E-2</v>
      </c>
      <c r="M22">
        <v>1.0999999999999999E-2</v>
      </c>
      <c r="N22">
        <v>3.1E-2</v>
      </c>
      <c r="O22">
        <v>6.8000000000000005E-2</v>
      </c>
      <c r="P22"/>
      <c r="Q22" t="s">
        <v>76</v>
      </c>
      <c r="R22" t="s">
        <v>11</v>
      </c>
      <c r="S22">
        <v>4.0000000000000001E-3</v>
      </c>
      <c r="T22">
        <v>0.02</v>
      </c>
      <c r="U22">
        <v>0.02</v>
      </c>
      <c r="V22">
        <v>0.02</v>
      </c>
      <c r="W22">
        <v>1.0999999999999999E-2</v>
      </c>
      <c r="X22">
        <v>8.9999999999999993E-3</v>
      </c>
      <c r="Y22">
        <v>2.7E-2</v>
      </c>
      <c r="Z22">
        <v>6.3E-2</v>
      </c>
      <c r="AB22" s="6">
        <f t="shared" si="31"/>
        <v>2.1000000000000001E-2</v>
      </c>
      <c r="AC22" s="6">
        <f t="shared" si="32"/>
        <v>1.6E-2</v>
      </c>
      <c r="AD22" s="6">
        <f t="shared" si="33"/>
        <v>5.000000000000001E-3</v>
      </c>
      <c r="AE22" s="6"/>
      <c r="AF22" s="7">
        <f t="shared" si="34"/>
        <v>410.50666666666666</v>
      </c>
      <c r="AG22" s="7">
        <f t="shared" si="35"/>
        <v>-286.78186666666676</v>
      </c>
      <c r="AH22" s="7">
        <f t="shared" si="36"/>
        <v>-286.78186666666676</v>
      </c>
      <c r="AJ22" s="8">
        <f t="shared" si="37"/>
        <v>2.4581237524950099</v>
      </c>
      <c r="AK22" s="4">
        <f t="shared" si="38"/>
        <v>-1.7172566866267474</v>
      </c>
      <c r="AM22" s="8">
        <f t="shared" si="39"/>
        <v>1.3125</v>
      </c>
      <c r="AN22" s="8">
        <f t="shared" si="40"/>
        <v>3.3888888888888893</v>
      </c>
      <c r="AP22" s="6">
        <f t="shared" si="41"/>
        <v>6.4000000000000001E-2</v>
      </c>
      <c r="AQ22" s="6">
        <f t="shared" si="42"/>
        <v>2.7E-2</v>
      </c>
      <c r="AR22" s="6">
        <f t="shared" si="43"/>
        <v>2.1000000000000001E-2</v>
      </c>
      <c r="AT22" s="3">
        <f t="shared" si="44"/>
        <v>7.5859999999999997E-2</v>
      </c>
      <c r="AU22" s="3">
        <f t="shared" si="45"/>
        <v>4.4100000000000016E-3</v>
      </c>
      <c r="AV22" s="3">
        <f t="shared" si="46"/>
        <v>2.1873999999999998E-2</v>
      </c>
      <c r="AX22" s="7">
        <f t="shared" si="47"/>
        <v>49.158399286590146</v>
      </c>
      <c r="AY22" s="7">
        <f t="shared" si="48"/>
        <v>673.65242873634668</v>
      </c>
      <c r="AZ22" s="7">
        <f t="shared" si="49"/>
        <v>83.48854961832059</v>
      </c>
      <c r="BB22" s="3">
        <f t="shared" si="50"/>
        <v>234.43</v>
      </c>
    </row>
    <row r="23" spans="1:54" ht="14.5" x14ac:dyDescent="0.35">
      <c r="A23" s="14" t="s">
        <v>164</v>
      </c>
      <c r="B23" s="9"/>
      <c r="C23">
        <v>1022</v>
      </c>
      <c r="D23" s="3">
        <v>6</v>
      </c>
      <c r="E23"/>
      <c r="F23" t="s">
        <v>117</v>
      </c>
      <c r="G23" t="s">
        <v>11</v>
      </c>
      <c r="H23">
        <v>3.0000000000000001E-3</v>
      </c>
      <c r="I23">
        <v>0.04</v>
      </c>
      <c r="J23">
        <v>0.04</v>
      </c>
      <c r="K23">
        <v>3.9E-2</v>
      </c>
      <c r="L23">
        <v>1.7000000000000001E-2</v>
      </c>
      <c r="M23">
        <v>1.2999999999999999E-2</v>
      </c>
      <c r="N23">
        <v>2.9000000000000001E-2</v>
      </c>
      <c r="O23">
        <v>7.0999999999999994E-2</v>
      </c>
      <c r="P23"/>
      <c r="Q23" t="s">
        <v>77</v>
      </c>
      <c r="R23" t="s">
        <v>11</v>
      </c>
      <c r="S23">
        <v>3.0000000000000001E-3</v>
      </c>
      <c r="T23">
        <v>2.8000000000000001E-2</v>
      </c>
      <c r="U23">
        <v>2.8000000000000001E-2</v>
      </c>
      <c r="V23">
        <v>2.7E-2</v>
      </c>
      <c r="W23">
        <v>1.2E-2</v>
      </c>
      <c r="X23">
        <v>8.0000000000000002E-3</v>
      </c>
      <c r="Y23">
        <v>2.5000000000000001E-2</v>
      </c>
      <c r="Z23">
        <v>7.0000000000000007E-2</v>
      </c>
      <c r="AB23" s="6">
        <f t="shared" si="31"/>
        <v>3.6999999999999998E-2</v>
      </c>
      <c r="AC23" s="6">
        <f t="shared" si="32"/>
        <v>2.5000000000000001E-2</v>
      </c>
      <c r="AD23" s="6">
        <f t="shared" si="33"/>
        <v>1.1999999999999997E-2</v>
      </c>
      <c r="AE23" s="6"/>
      <c r="AF23" s="7">
        <f t="shared" si="34"/>
        <v>610.98666666666657</v>
      </c>
      <c r="AG23" s="7">
        <f t="shared" si="35"/>
        <v>-301.67466666666655</v>
      </c>
      <c r="AH23" s="7">
        <f t="shared" si="36"/>
        <v>-301.67466666666655</v>
      </c>
      <c r="AJ23" s="8">
        <f t="shared" si="37"/>
        <v>3.587005870841486</v>
      </c>
      <c r="AK23" s="4">
        <f t="shared" si="38"/>
        <v>-1.7710841487279836</v>
      </c>
      <c r="AM23" s="8">
        <f t="shared" si="39"/>
        <v>1.4799999999999998</v>
      </c>
      <c r="AN23" s="8">
        <f t="shared" si="40"/>
        <v>2.4222222222222216</v>
      </c>
      <c r="AP23" s="6">
        <f t="shared" si="41"/>
        <v>6.7999999999999991E-2</v>
      </c>
      <c r="AQ23" s="6">
        <f t="shared" si="42"/>
        <v>2.6000000000000002E-2</v>
      </c>
      <c r="AR23" s="6">
        <f t="shared" si="43"/>
        <v>3.5999999999999997E-2</v>
      </c>
      <c r="AT23" s="3">
        <f t="shared" si="44"/>
        <v>9.214E-2</v>
      </c>
      <c r="AU23" s="3">
        <f t="shared" si="45"/>
        <v>1.8619999999999998E-2</v>
      </c>
      <c r="AV23" s="3">
        <f t="shared" si="46"/>
        <v>2.0144000000000002E-2</v>
      </c>
      <c r="AX23" s="7">
        <f t="shared" si="47"/>
        <v>207.55768587671383</v>
      </c>
      <c r="AY23" s="7">
        <f t="shared" si="48"/>
        <v>818.2221827546399</v>
      </c>
      <c r="AZ23" s="7">
        <f t="shared" si="49"/>
        <v>76.885496183206115</v>
      </c>
      <c r="BB23" s="3">
        <f t="shared" si="50"/>
        <v>416.08999999999992</v>
      </c>
    </row>
    <row r="24" spans="1:54" ht="14.5" x14ac:dyDescent="0.35">
      <c r="A24" s="14" t="s">
        <v>165</v>
      </c>
      <c r="B24" s="9"/>
      <c r="C24">
        <v>1088</v>
      </c>
      <c r="D24" s="3">
        <v>6</v>
      </c>
      <c r="E24"/>
      <c r="F24" t="s">
        <v>118</v>
      </c>
      <c r="G24" t="s">
        <v>11</v>
      </c>
      <c r="H24">
        <v>0</v>
      </c>
      <c r="I24">
        <v>0.16700000000000001</v>
      </c>
      <c r="J24">
        <v>0.16600000000000001</v>
      </c>
      <c r="K24">
        <v>0.16400000000000001</v>
      </c>
      <c r="L24">
        <v>6.3E-2</v>
      </c>
      <c r="M24">
        <v>3.6999999999999998E-2</v>
      </c>
      <c r="N24">
        <v>8.2000000000000003E-2</v>
      </c>
      <c r="O24">
        <v>0.19600000000000001</v>
      </c>
      <c r="P24"/>
      <c r="Q24" t="s">
        <v>78</v>
      </c>
      <c r="R24" t="s">
        <v>11</v>
      </c>
      <c r="S24">
        <v>0</v>
      </c>
      <c r="T24">
        <v>0.105</v>
      </c>
      <c r="U24">
        <v>0.104</v>
      </c>
      <c r="V24">
        <v>0.10100000000000001</v>
      </c>
      <c r="W24">
        <v>0.04</v>
      </c>
      <c r="X24">
        <v>1.7000000000000001E-2</v>
      </c>
      <c r="Y24">
        <v>7.2999999999999995E-2</v>
      </c>
      <c r="Z24">
        <v>0.216</v>
      </c>
      <c r="AB24" s="6">
        <f t="shared" si="31"/>
        <v>0.16600000000000001</v>
      </c>
      <c r="AC24" s="6">
        <f t="shared" si="32"/>
        <v>0.105</v>
      </c>
      <c r="AD24" s="6">
        <f t="shared" si="33"/>
        <v>6.1000000000000013E-2</v>
      </c>
      <c r="AE24" s="6"/>
      <c r="AF24" s="7">
        <f t="shared" si="34"/>
        <v>2014.346666666667</v>
      </c>
      <c r="AG24" s="7">
        <f t="shared" si="35"/>
        <v>-55.370666666667432</v>
      </c>
      <c r="AH24" s="7">
        <f t="shared" si="36"/>
        <v>-55.370666666666928</v>
      </c>
      <c r="AJ24" s="8">
        <f t="shared" si="37"/>
        <v>11.108529411764707</v>
      </c>
      <c r="AK24" s="4">
        <f t="shared" si="38"/>
        <v>-0.30535294117647477</v>
      </c>
      <c r="AM24" s="8">
        <f t="shared" si="39"/>
        <v>1.5809523809523811</v>
      </c>
      <c r="AN24" s="8">
        <f t="shared" si="40"/>
        <v>1.7403508771929823</v>
      </c>
      <c r="AP24" s="6">
        <f t="shared" si="41"/>
        <v>0.19600000000000001</v>
      </c>
      <c r="AQ24" s="6">
        <f t="shared" si="42"/>
        <v>8.2000000000000003E-2</v>
      </c>
      <c r="AR24" s="6">
        <f t="shared" si="43"/>
        <v>0.16400000000000001</v>
      </c>
      <c r="AT24" s="3">
        <f t="shared" si="44"/>
        <v>0.31126000000000004</v>
      </c>
      <c r="AU24" s="3">
        <f t="shared" si="45"/>
        <v>0.11518</v>
      </c>
      <c r="AV24" s="3">
        <f t="shared" si="46"/>
        <v>6.3696000000000003E-2</v>
      </c>
      <c r="AX24" s="7">
        <f t="shared" si="47"/>
        <v>1283.9148366960205</v>
      </c>
      <c r="AY24" s="7">
        <f t="shared" si="48"/>
        <v>2764.0529260278845</v>
      </c>
      <c r="AZ24" s="7">
        <f t="shared" si="49"/>
        <v>243.1145038167939</v>
      </c>
      <c r="BB24" s="3">
        <f t="shared" si="50"/>
        <v>1867.12</v>
      </c>
    </row>
    <row r="25" spans="1:54" ht="14.5" x14ac:dyDescent="0.35">
      <c r="A25" s="14" t="s">
        <v>166</v>
      </c>
      <c r="B25" s="9"/>
      <c r="C25">
        <v>1062</v>
      </c>
      <c r="D25" s="3">
        <v>6</v>
      </c>
      <c r="E25"/>
      <c r="F25" t="s">
        <v>119</v>
      </c>
      <c r="G25" t="s">
        <v>11</v>
      </c>
      <c r="H25">
        <v>-1E-3</v>
      </c>
      <c r="I25">
        <v>0.193</v>
      </c>
      <c r="J25">
        <v>0.192</v>
      </c>
      <c r="K25">
        <v>0.189</v>
      </c>
      <c r="L25">
        <v>0.06</v>
      </c>
      <c r="M25">
        <v>4.2999999999999997E-2</v>
      </c>
      <c r="N25">
        <v>0.11600000000000001</v>
      </c>
      <c r="O25">
        <v>0.23899999999999999</v>
      </c>
      <c r="P25"/>
      <c r="Q25" t="s">
        <v>79</v>
      </c>
      <c r="R25" t="s">
        <v>11</v>
      </c>
      <c r="S25">
        <v>0</v>
      </c>
      <c r="T25">
        <v>0.11799999999999999</v>
      </c>
      <c r="U25">
        <v>0.11600000000000001</v>
      </c>
      <c r="V25">
        <v>0.112</v>
      </c>
      <c r="W25">
        <v>3.5000000000000003E-2</v>
      </c>
      <c r="X25">
        <v>1.7000000000000001E-2</v>
      </c>
      <c r="Y25">
        <v>0.107</v>
      </c>
      <c r="Z25">
        <v>0.26600000000000001</v>
      </c>
      <c r="AB25" s="6">
        <f t="shared" si="31"/>
        <v>0.193</v>
      </c>
      <c r="AC25" s="6">
        <f t="shared" si="32"/>
        <v>0.11799999999999999</v>
      </c>
      <c r="AD25" s="6">
        <f t="shared" si="33"/>
        <v>7.5000000000000011E-2</v>
      </c>
      <c r="AE25" s="6"/>
      <c r="AF25" s="7">
        <f t="shared" si="34"/>
        <v>2415.3066666666673</v>
      </c>
      <c r="AG25" s="7">
        <f t="shared" si="35"/>
        <v>-188.26026666666758</v>
      </c>
      <c r="AH25" s="7">
        <f t="shared" si="36"/>
        <v>-188.26026666666627</v>
      </c>
      <c r="AJ25" s="8">
        <f t="shared" si="37"/>
        <v>13.645800376647836</v>
      </c>
      <c r="AK25" s="4">
        <f t="shared" si="38"/>
        <v>-1.0636173258003818</v>
      </c>
      <c r="AM25" s="8">
        <f t="shared" si="39"/>
        <v>1.6355932203389831</v>
      </c>
      <c r="AN25" s="8">
        <f t="shared" si="40"/>
        <v>1.7808641975308641</v>
      </c>
      <c r="AP25" s="6">
        <f t="shared" si="41"/>
        <v>0.24</v>
      </c>
      <c r="AQ25" s="6">
        <f t="shared" si="42"/>
        <v>0.11700000000000001</v>
      </c>
      <c r="AR25" s="6">
        <f t="shared" si="43"/>
        <v>0.19</v>
      </c>
      <c r="AT25" s="3">
        <f t="shared" si="44"/>
        <v>0.36810999999999999</v>
      </c>
      <c r="AU25" s="3">
        <f t="shared" si="45"/>
        <v>0.13017000000000001</v>
      </c>
      <c r="AV25" s="3">
        <f t="shared" si="46"/>
        <v>9.5200000000000021E-2</v>
      </c>
      <c r="AX25" s="7">
        <f t="shared" si="47"/>
        <v>1451.0088061531605</v>
      </c>
      <c r="AY25" s="7">
        <f t="shared" si="48"/>
        <v>3268.8926383092089</v>
      </c>
      <c r="AZ25" s="7">
        <f t="shared" si="49"/>
        <v>363.35877862595424</v>
      </c>
      <c r="BB25" s="3">
        <f t="shared" si="50"/>
        <v>2189.59</v>
      </c>
    </row>
    <row r="26" spans="1:54" ht="14.5" x14ac:dyDescent="0.35">
      <c r="A26" s="14" t="s">
        <v>167</v>
      </c>
      <c r="B26" s="9"/>
      <c r="C26"/>
      <c r="D26" s="3">
        <v>6</v>
      </c>
      <c r="E26"/>
      <c r="F26" t="s">
        <v>120</v>
      </c>
      <c r="G26" t="s">
        <v>11</v>
      </c>
      <c r="H26">
        <v>5.0000000000000001E-3</v>
      </c>
      <c r="I26">
        <v>2.7E-2</v>
      </c>
      <c r="J26">
        <v>2.7E-2</v>
      </c>
      <c r="K26">
        <v>2.8000000000000001E-2</v>
      </c>
      <c r="L26">
        <v>1.4999999999999999E-2</v>
      </c>
      <c r="M26">
        <v>1.2E-2</v>
      </c>
      <c r="N26">
        <v>3.3000000000000002E-2</v>
      </c>
      <c r="O26">
        <v>7.1999999999999995E-2</v>
      </c>
      <c r="P26"/>
      <c r="Q26" t="s">
        <v>80</v>
      </c>
      <c r="R26" t="s">
        <v>11</v>
      </c>
      <c r="S26">
        <v>5.0000000000000001E-3</v>
      </c>
      <c r="T26">
        <v>2.1000000000000001E-2</v>
      </c>
      <c r="U26">
        <v>2.1000000000000001E-2</v>
      </c>
      <c r="V26">
        <v>2.1000000000000001E-2</v>
      </c>
      <c r="W26">
        <v>1.2E-2</v>
      </c>
      <c r="X26">
        <v>0.01</v>
      </c>
      <c r="Y26">
        <v>2.9000000000000001E-2</v>
      </c>
      <c r="Z26">
        <v>6.6000000000000003E-2</v>
      </c>
      <c r="AB26" s="6">
        <f t="shared" si="31"/>
        <v>2.1999999999999999E-2</v>
      </c>
      <c r="AC26" s="6">
        <f t="shared" si="32"/>
        <v>1.6E-2</v>
      </c>
      <c r="AD26" s="6">
        <f t="shared" si="33"/>
        <v>5.9999999999999984E-3</v>
      </c>
      <c r="AE26" s="6"/>
      <c r="AF26" s="7">
        <f t="shared" si="34"/>
        <v>439.14666666666665</v>
      </c>
      <c r="AG26" s="7">
        <f t="shared" si="35"/>
        <v>-315.42186666666669</v>
      </c>
      <c r="AH26" s="7">
        <f t="shared" si="36"/>
        <v>-315.42186666666669</v>
      </c>
      <c r="AJ26" s="8" t="e">
        <f t="shared" si="37"/>
        <v>#DIV/0!</v>
      </c>
      <c r="AK26" s="4" t="e">
        <f t="shared" si="38"/>
        <v>#DIV/0!</v>
      </c>
      <c r="AM26" s="8">
        <f t="shared" si="39"/>
        <v>1.375</v>
      </c>
      <c r="AN26" s="8">
        <f t="shared" si="40"/>
        <v>3.5555555555555554</v>
      </c>
      <c r="AP26" s="6">
        <f t="shared" si="41"/>
        <v>6.699999999999999E-2</v>
      </c>
      <c r="AQ26" s="6">
        <f t="shared" si="42"/>
        <v>2.8000000000000001E-2</v>
      </c>
      <c r="AR26" s="6">
        <f t="shared" si="43"/>
        <v>2.3E-2</v>
      </c>
      <c r="AT26" s="3">
        <f t="shared" si="44"/>
        <v>8.029E-2</v>
      </c>
      <c r="AU26" s="3">
        <f t="shared" si="45"/>
        <v>5.6500000000000031E-3</v>
      </c>
      <c r="AV26" s="3">
        <f t="shared" si="46"/>
        <v>2.2602000000000001E-2</v>
      </c>
      <c r="AX26" s="7">
        <f t="shared" si="47"/>
        <v>62.980715639282167</v>
      </c>
      <c r="AY26" s="7">
        <f t="shared" si="48"/>
        <v>712.99174140840069</v>
      </c>
      <c r="AZ26" s="7">
        <f t="shared" si="49"/>
        <v>86.267175572519079</v>
      </c>
      <c r="BB26" s="3">
        <f t="shared" si="50"/>
        <v>244.73999999999998</v>
      </c>
    </row>
    <row r="27" spans="1:54" ht="14.5" x14ac:dyDescent="0.35">
      <c r="A27" s="14" t="s">
        <v>168</v>
      </c>
      <c r="B27" s="9"/>
      <c r="C27">
        <v>1034</v>
      </c>
      <c r="D27" s="3">
        <v>6</v>
      </c>
      <c r="E27"/>
      <c r="F27" t="s">
        <v>122</v>
      </c>
      <c r="G27" t="s">
        <v>11</v>
      </c>
      <c r="H27">
        <v>-1E-3</v>
      </c>
      <c r="I27">
        <v>1.9E-2</v>
      </c>
      <c r="J27">
        <v>1.7999999999999999E-2</v>
      </c>
      <c r="K27">
        <v>1.7999999999999999E-2</v>
      </c>
      <c r="L27">
        <v>7.0000000000000001E-3</v>
      </c>
      <c r="M27">
        <v>5.0000000000000001E-3</v>
      </c>
      <c r="N27">
        <v>1.7000000000000001E-2</v>
      </c>
      <c r="O27">
        <v>7.0000000000000007E-2</v>
      </c>
      <c r="P27"/>
      <c r="Q27" t="s">
        <v>82</v>
      </c>
      <c r="R27" t="s">
        <v>11</v>
      </c>
      <c r="S27">
        <v>-1E-3</v>
      </c>
      <c r="T27">
        <v>1.0999999999999999E-2</v>
      </c>
      <c r="U27">
        <v>1.0999999999999999E-2</v>
      </c>
      <c r="V27">
        <v>1.0999999999999999E-2</v>
      </c>
      <c r="W27">
        <v>4.0000000000000001E-3</v>
      </c>
      <c r="X27">
        <v>3.0000000000000001E-3</v>
      </c>
      <c r="Y27">
        <v>1.2999999999999999E-2</v>
      </c>
      <c r="Z27">
        <v>0.06</v>
      </c>
      <c r="AB27" s="6">
        <f t="shared" si="31"/>
        <v>1.9E-2</v>
      </c>
      <c r="AC27" s="6">
        <f t="shared" si="32"/>
        <v>1.2E-2</v>
      </c>
      <c r="AD27" s="6">
        <f t="shared" si="33"/>
        <v>6.9999999999999993E-3</v>
      </c>
      <c r="AE27" s="6"/>
      <c r="AF27" s="7">
        <f t="shared" si="34"/>
        <v>467.78666666666663</v>
      </c>
      <c r="AG27" s="7">
        <f t="shared" si="35"/>
        <v>-426.54506666666674</v>
      </c>
      <c r="AH27" s="7">
        <f t="shared" si="36"/>
        <v>-426.54506666666668</v>
      </c>
      <c r="AJ27" s="8">
        <f t="shared" si="37"/>
        <v>2.7144294003868472</v>
      </c>
      <c r="AK27" s="4">
        <f t="shared" si="38"/>
        <v>-2.4751164410058029</v>
      </c>
      <c r="AM27" s="8">
        <f t="shared" si="39"/>
        <v>1.5833333333333333</v>
      </c>
      <c r="AN27" s="8">
        <f t="shared" si="40"/>
        <v>9.1666666666666661</v>
      </c>
      <c r="AP27" s="6">
        <f t="shared" si="41"/>
        <v>7.1000000000000008E-2</v>
      </c>
      <c r="AQ27" s="6">
        <f t="shared" si="42"/>
        <v>1.8000000000000002E-2</v>
      </c>
      <c r="AR27" s="6">
        <f t="shared" si="43"/>
        <v>1.9E-2</v>
      </c>
      <c r="AT27" s="3">
        <f t="shared" si="44"/>
        <v>8.3990000000000009E-2</v>
      </c>
      <c r="AU27" s="3">
        <f t="shared" si="45"/>
        <v>3.8999999999999842E-4</v>
      </c>
      <c r="AV27" s="3">
        <f t="shared" si="46"/>
        <v>1.2186000000000001E-2</v>
      </c>
      <c r="AX27" s="7">
        <f t="shared" si="47"/>
        <v>4.3473414335079523</v>
      </c>
      <c r="AY27" s="7">
        <f t="shared" si="48"/>
        <v>745.84850368528566</v>
      </c>
      <c r="AZ27" s="7">
        <f t="shared" si="49"/>
        <v>46.511450381679388</v>
      </c>
      <c r="BB27" s="3">
        <f t="shared" si="50"/>
        <v>212.35</v>
      </c>
    </row>
    <row r="28" spans="1:54" ht="14.5" x14ac:dyDescent="0.35">
      <c r="A28" s="14" t="s">
        <v>169</v>
      </c>
      <c r="B28" s="9"/>
      <c r="C28">
        <v>1092</v>
      </c>
      <c r="D28" s="3">
        <v>6</v>
      </c>
      <c r="E28"/>
      <c r="F28" t="s">
        <v>123</v>
      </c>
      <c r="G28" t="s">
        <v>11</v>
      </c>
      <c r="H28">
        <v>-1E-3</v>
      </c>
      <c r="I28">
        <v>0.249</v>
      </c>
      <c r="J28">
        <v>0.248</v>
      </c>
      <c r="K28">
        <v>0.24399999999999999</v>
      </c>
      <c r="L28">
        <v>7.4999999999999997E-2</v>
      </c>
      <c r="M28">
        <v>5.6000000000000001E-2</v>
      </c>
      <c r="N28">
        <v>0.14299999999999999</v>
      </c>
      <c r="O28">
        <v>0.29299999999999998</v>
      </c>
      <c r="P28"/>
      <c r="Q28" t="s">
        <v>83</v>
      </c>
      <c r="R28" t="s">
        <v>11</v>
      </c>
      <c r="S28">
        <v>0</v>
      </c>
      <c r="T28">
        <v>0.151</v>
      </c>
      <c r="U28">
        <v>0.14799999999999999</v>
      </c>
      <c r="V28">
        <v>0.14399999999999999</v>
      </c>
      <c r="W28">
        <v>4.2999999999999997E-2</v>
      </c>
      <c r="X28">
        <v>2.1000000000000001E-2</v>
      </c>
      <c r="Y28">
        <v>0.13400000000000001</v>
      </c>
      <c r="Z28">
        <v>0.33100000000000002</v>
      </c>
      <c r="AB28" s="6">
        <f t="shared" si="31"/>
        <v>0.249</v>
      </c>
      <c r="AC28" s="6">
        <f t="shared" si="32"/>
        <v>0.151</v>
      </c>
      <c r="AD28" s="6">
        <f t="shared" si="33"/>
        <v>9.8000000000000004E-2</v>
      </c>
      <c r="AE28" s="6"/>
      <c r="AF28" s="7">
        <f t="shared" si="34"/>
        <v>3074.0266666666671</v>
      </c>
      <c r="AG28" s="7">
        <f t="shared" si="35"/>
        <v>-166.49386666666646</v>
      </c>
      <c r="AH28" s="7">
        <f t="shared" si="36"/>
        <v>-166.49386666666678</v>
      </c>
      <c r="AJ28" s="8">
        <f t="shared" si="37"/>
        <v>16.890256410256413</v>
      </c>
      <c r="AK28" s="4">
        <f t="shared" si="38"/>
        <v>-0.9148014652014641</v>
      </c>
      <c r="AM28" s="8">
        <f t="shared" si="39"/>
        <v>1.6490066225165563</v>
      </c>
      <c r="AN28" s="8">
        <f t="shared" si="40"/>
        <v>1.7612293144208038</v>
      </c>
      <c r="AP28" s="6">
        <f t="shared" si="41"/>
        <v>0.29399999999999998</v>
      </c>
      <c r="AQ28" s="6">
        <f t="shared" si="42"/>
        <v>0.14399999999999999</v>
      </c>
      <c r="AR28" s="6">
        <f t="shared" si="43"/>
        <v>0.245</v>
      </c>
      <c r="AT28" s="3">
        <f t="shared" si="44"/>
        <v>0.46043000000000001</v>
      </c>
      <c r="AU28" s="3">
        <f t="shared" si="45"/>
        <v>0.17196</v>
      </c>
      <c r="AV28" s="3">
        <f t="shared" si="46"/>
        <v>0.11698999999999998</v>
      </c>
      <c r="AX28" s="7">
        <f t="shared" si="47"/>
        <v>1916.8431612975144</v>
      </c>
      <c r="AY28" s="7">
        <f t="shared" si="48"/>
        <v>4088.7132581475889</v>
      </c>
      <c r="AZ28" s="7">
        <f t="shared" si="49"/>
        <v>446.52671755725186</v>
      </c>
      <c r="BB28" s="3">
        <f t="shared" si="50"/>
        <v>2829.05</v>
      </c>
    </row>
    <row r="29" spans="1:54" ht="14.5" x14ac:dyDescent="0.35">
      <c r="A29" s="14" t="s">
        <v>170</v>
      </c>
      <c r="B29" s="9"/>
      <c r="C29">
        <v>1032</v>
      </c>
      <c r="D29" s="3">
        <v>6</v>
      </c>
      <c r="E29"/>
      <c r="F29" t="s">
        <v>125</v>
      </c>
      <c r="G29" t="s">
        <v>11</v>
      </c>
      <c r="H29">
        <v>2E-3</v>
      </c>
      <c r="I29">
        <v>4.1000000000000002E-2</v>
      </c>
      <c r="J29">
        <v>4.1000000000000002E-2</v>
      </c>
      <c r="K29">
        <v>0.04</v>
      </c>
      <c r="L29">
        <v>1.4999999999999999E-2</v>
      </c>
      <c r="M29">
        <v>0.01</v>
      </c>
      <c r="N29">
        <v>0.03</v>
      </c>
      <c r="O29">
        <v>7.6999999999999999E-2</v>
      </c>
      <c r="P29"/>
      <c r="Q29" t="s">
        <v>85</v>
      </c>
      <c r="R29" t="s">
        <v>11</v>
      </c>
      <c r="S29">
        <v>2E-3</v>
      </c>
      <c r="T29">
        <v>0.03</v>
      </c>
      <c r="U29">
        <v>0.03</v>
      </c>
      <c r="V29">
        <v>2.9000000000000001E-2</v>
      </c>
      <c r="W29">
        <v>1.2E-2</v>
      </c>
      <c r="X29">
        <v>7.0000000000000001E-3</v>
      </c>
      <c r="Y29">
        <v>2.5999999999999999E-2</v>
      </c>
      <c r="Z29">
        <v>7.2999999999999995E-2</v>
      </c>
      <c r="AB29" s="6">
        <f t="shared" si="31"/>
        <v>3.9E-2</v>
      </c>
      <c r="AC29" s="6">
        <f t="shared" si="32"/>
        <v>2.7999999999999997E-2</v>
      </c>
      <c r="AD29" s="6">
        <f t="shared" si="33"/>
        <v>1.1000000000000003E-2</v>
      </c>
      <c r="AE29" s="6"/>
      <c r="AF29" s="7">
        <f t="shared" si="34"/>
        <v>582.34666666666681</v>
      </c>
      <c r="AG29" s="7">
        <f t="shared" si="35"/>
        <v>-211.17226666666687</v>
      </c>
      <c r="AH29" s="7">
        <f t="shared" si="36"/>
        <v>-211.17226666666684</v>
      </c>
      <c r="AJ29" s="8">
        <f t="shared" si="37"/>
        <v>3.3857364341085279</v>
      </c>
      <c r="AK29" s="4">
        <f t="shared" si="38"/>
        <v>-1.2277457364341096</v>
      </c>
      <c r="AM29" s="8">
        <f t="shared" si="39"/>
        <v>1.392857142857143</v>
      </c>
      <c r="AN29" s="8">
        <f t="shared" si="40"/>
        <v>2.1296296296296302</v>
      </c>
      <c r="AP29" s="6">
        <f t="shared" si="41"/>
        <v>7.4999999999999997E-2</v>
      </c>
      <c r="AQ29" s="6">
        <f t="shared" si="42"/>
        <v>2.7999999999999997E-2</v>
      </c>
      <c r="AR29" s="6">
        <f t="shared" si="43"/>
        <v>3.7999999999999999E-2</v>
      </c>
      <c r="AT29" s="3">
        <f t="shared" si="44"/>
        <v>0.10046000000000001</v>
      </c>
      <c r="AU29" s="3">
        <f t="shared" si="45"/>
        <v>1.8790000000000001E-2</v>
      </c>
      <c r="AV29" s="3">
        <f t="shared" si="46"/>
        <v>2.1571999999999997E-2</v>
      </c>
      <c r="AX29" s="7">
        <f t="shared" si="47"/>
        <v>209.45268086055069</v>
      </c>
      <c r="AY29" s="7">
        <f t="shared" si="48"/>
        <v>892.10549684752698</v>
      </c>
      <c r="AZ29" s="7">
        <f t="shared" si="49"/>
        <v>82.33587786259541</v>
      </c>
      <c r="BB29" s="3">
        <f t="shared" si="50"/>
        <v>441.49000000000007</v>
      </c>
    </row>
    <row r="30" spans="1:54" ht="14.5" x14ac:dyDescent="0.35">
      <c r="A30" s="14" t="s">
        <v>171</v>
      </c>
      <c r="B30" s="9"/>
      <c r="C30">
        <v>1068</v>
      </c>
      <c r="D30" s="3">
        <v>6</v>
      </c>
      <c r="E30"/>
      <c r="F30" t="s">
        <v>126</v>
      </c>
      <c r="G30" t="s">
        <v>11</v>
      </c>
      <c r="H30">
        <v>2E-3</v>
      </c>
      <c r="I30">
        <v>2.9000000000000001E-2</v>
      </c>
      <c r="J30">
        <v>2.9000000000000001E-2</v>
      </c>
      <c r="K30">
        <v>2.8000000000000001E-2</v>
      </c>
      <c r="L30">
        <v>1.0999999999999999E-2</v>
      </c>
      <c r="M30">
        <v>8.0000000000000002E-3</v>
      </c>
      <c r="N30">
        <v>2.4E-2</v>
      </c>
      <c r="O30">
        <v>6.0999999999999999E-2</v>
      </c>
      <c r="P30"/>
      <c r="Q30" t="s">
        <v>86</v>
      </c>
      <c r="R30" t="s">
        <v>11</v>
      </c>
      <c r="S30">
        <v>2E-3</v>
      </c>
      <c r="T30">
        <v>2.1999999999999999E-2</v>
      </c>
      <c r="U30">
        <v>2.1999999999999999E-2</v>
      </c>
      <c r="V30">
        <v>2.1000000000000001E-2</v>
      </c>
      <c r="W30">
        <v>8.9999999999999993E-3</v>
      </c>
      <c r="X30">
        <v>6.0000000000000001E-3</v>
      </c>
      <c r="Y30">
        <v>2.1000000000000001E-2</v>
      </c>
      <c r="Z30">
        <v>5.8000000000000003E-2</v>
      </c>
      <c r="AB30" s="6">
        <f t="shared" si="31"/>
        <v>2.7000000000000003E-2</v>
      </c>
      <c r="AC30" s="6">
        <f t="shared" si="32"/>
        <v>1.9999999999999997E-2</v>
      </c>
      <c r="AD30" s="6">
        <f t="shared" si="33"/>
        <v>7.0000000000000062E-3</v>
      </c>
      <c r="AE30" s="6"/>
      <c r="AF30" s="7">
        <f t="shared" si="34"/>
        <v>467.78666666666686</v>
      </c>
      <c r="AG30" s="7">
        <f t="shared" si="35"/>
        <v>-261.578666666667</v>
      </c>
      <c r="AH30" s="7">
        <f t="shared" si="36"/>
        <v>-261.57866666666695</v>
      </c>
      <c r="AJ30" s="8">
        <f t="shared" si="37"/>
        <v>2.628014981273409</v>
      </c>
      <c r="AK30" s="4">
        <f t="shared" si="38"/>
        <v>-1.4695430711610504</v>
      </c>
      <c r="AM30" s="8">
        <f t="shared" si="39"/>
        <v>1.3500000000000003</v>
      </c>
      <c r="AN30" s="8">
        <f t="shared" si="40"/>
        <v>2.6333333333333346</v>
      </c>
      <c r="AP30" s="6">
        <f t="shared" si="41"/>
        <v>5.8999999999999997E-2</v>
      </c>
      <c r="AQ30" s="6">
        <f t="shared" si="42"/>
        <v>2.1999999999999999E-2</v>
      </c>
      <c r="AR30" s="6">
        <f t="shared" si="43"/>
        <v>2.6000000000000002E-2</v>
      </c>
      <c r="AT30" s="3">
        <f t="shared" si="44"/>
        <v>7.596E-2</v>
      </c>
      <c r="AU30" s="3">
        <f t="shared" si="45"/>
        <v>1.0810000000000002E-2</v>
      </c>
      <c r="AV30" s="3">
        <f t="shared" si="46"/>
        <v>1.7044E-2</v>
      </c>
      <c r="AX30" s="7">
        <f t="shared" si="47"/>
        <v>120.49938691338761</v>
      </c>
      <c r="AY30" s="7">
        <f t="shared" si="48"/>
        <v>674.54044933842465</v>
      </c>
      <c r="AZ30" s="7">
        <f t="shared" si="49"/>
        <v>65.053435114503813</v>
      </c>
      <c r="BB30" s="3">
        <f t="shared" si="50"/>
        <v>305.61000000000007</v>
      </c>
    </row>
    <row r="31" spans="1:54" ht="14.5" x14ac:dyDescent="0.35">
      <c r="A31" s="3" t="s">
        <v>172</v>
      </c>
      <c r="B31" s="9"/>
      <c r="C31">
        <v>1110</v>
      </c>
      <c r="D31" s="3">
        <v>6</v>
      </c>
      <c r="F31" t="s">
        <v>127</v>
      </c>
      <c r="G31" t="s">
        <v>11</v>
      </c>
      <c r="H31">
        <v>0</v>
      </c>
      <c r="I31">
        <v>2.5999999999999999E-2</v>
      </c>
      <c r="J31">
        <v>2.5999999999999999E-2</v>
      </c>
      <c r="K31">
        <v>2.5000000000000001E-2</v>
      </c>
      <c r="L31">
        <v>8.9999999999999993E-3</v>
      </c>
      <c r="M31">
        <v>7.0000000000000001E-3</v>
      </c>
      <c r="N31">
        <v>1.7999999999999999E-2</v>
      </c>
      <c r="O31">
        <v>4.5999999999999999E-2</v>
      </c>
      <c r="P31"/>
      <c r="Q31" t="s">
        <v>87</v>
      </c>
      <c r="S31">
        <v>0</v>
      </c>
      <c r="T31">
        <v>1.7999999999999999E-2</v>
      </c>
      <c r="U31">
        <v>1.7999999999999999E-2</v>
      </c>
      <c r="V31">
        <v>1.7000000000000001E-2</v>
      </c>
      <c r="W31">
        <v>6.0000000000000001E-3</v>
      </c>
      <c r="X31">
        <v>4.0000000000000001E-3</v>
      </c>
      <c r="Y31">
        <v>1.4999999999999999E-2</v>
      </c>
      <c r="Z31">
        <v>4.3999999999999997E-2</v>
      </c>
      <c r="AB31" s="6">
        <f t="shared" si="31"/>
        <v>2.5999999999999999E-2</v>
      </c>
      <c r="AC31" s="6">
        <f t="shared" si="32"/>
        <v>1.7999999999999999E-2</v>
      </c>
      <c r="AD31" s="6">
        <f t="shared" si="33"/>
        <v>8.0000000000000002E-3</v>
      </c>
      <c r="AE31" s="6"/>
      <c r="AF31" s="7">
        <f t="shared" si="34"/>
        <v>496.42666666666668</v>
      </c>
      <c r="AG31" s="7">
        <f t="shared" si="35"/>
        <v>-331.46026666666671</v>
      </c>
      <c r="AH31" s="7">
        <f t="shared" si="36"/>
        <v>-331.46026666666671</v>
      </c>
      <c r="AJ31" s="8">
        <f t="shared" si="37"/>
        <v>2.6833873873873872</v>
      </c>
      <c r="AK31" s="4">
        <f t="shared" si="38"/>
        <v>-1.7916771171171173</v>
      </c>
      <c r="AM31" s="8">
        <f t="shared" si="39"/>
        <v>1.4444444444444444</v>
      </c>
      <c r="AN31" s="8">
        <f t="shared" si="40"/>
        <v>3.1666666666666674</v>
      </c>
      <c r="AP31" s="6">
        <f t="shared" si="41"/>
        <v>4.5999999999999999E-2</v>
      </c>
      <c r="AQ31" s="6">
        <f t="shared" si="42"/>
        <v>1.7999999999999999E-2</v>
      </c>
      <c r="AR31" s="6">
        <f t="shared" si="43"/>
        <v>2.5000000000000001E-2</v>
      </c>
      <c r="AT31" s="3">
        <f t="shared" si="44"/>
        <v>6.2730000000000008E-2</v>
      </c>
      <c r="AU31" s="3">
        <f t="shared" si="45"/>
        <v>1.3260000000000001E-2</v>
      </c>
      <c r="AV31" s="3">
        <f t="shared" si="46"/>
        <v>1.4029999999999999E-2</v>
      </c>
      <c r="AX31" s="7">
        <f t="shared" si="47"/>
        <v>147.80960873927103</v>
      </c>
      <c r="AY31" s="7">
        <f t="shared" si="48"/>
        <v>557.05532368350953</v>
      </c>
      <c r="AZ31" s="7">
        <f t="shared" si="49"/>
        <v>53.549618320610683</v>
      </c>
      <c r="BB31" s="3">
        <f t="shared" si="50"/>
        <v>293.68</v>
      </c>
    </row>
    <row r="32" spans="1:54" ht="14.5" x14ac:dyDescent="0.35">
      <c r="A32" s="3" t="s">
        <v>173</v>
      </c>
      <c r="C32" s="3">
        <v>979</v>
      </c>
      <c r="D32" s="3">
        <v>6</v>
      </c>
      <c r="F32" t="s">
        <v>128</v>
      </c>
      <c r="G32" t="s">
        <v>11</v>
      </c>
      <c r="H32">
        <v>0</v>
      </c>
      <c r="I32">
        <v>8.0000000000000002E-3</v>
      </c>
      <c r="J32">
        <v>8.0000000000000002E-3</v>
      </c>
      <c r="K32">
        <v>8.0000000000000002E-3</v>
      </c>
      <c r="L32">
        <v>4.0000000000000001E-3</v>
      </c>
      <c r="M32">
        <v>3.0000000000000001E-3</v>
      </c>
      <c r="N32">
        <v>8.0000000000000002E-3</v>
      </c>
      <c r="O32">
        <v>2.4E-2</v>
      </c>
      <c r="Q32" t="s">
        <v>88</v>
      </c>
      <c r="S32">
        <v>0</v>
      </c>
      <c r="T32">
        <v>5.0000000000000001E-3</v>
      </c>
      <c r="U32">
        <v>5.0000000000000001E-3</v>
      </c>
      <c r="V32">
        <v>5.0000000000000001E-3</v>
      </c>
      <c r="W32">
        <v>2E-3</v>
      </c>
      <c r="X32">
        <v>1E-3</v>
      </c>
      <c r="Y32">
        <v>6.0000000000000001E-3</v>
      </c>
      <c r="Z32">
        <v>2.1000000000000001E-2</v>
      </c>
      <c r="AB32" s="6">
        <f t="shared" si="31"/>
        <v>8.0000000000000002E-3</v>
      </c>
      <c r="AC32" s="6">
        <f t="shared" si="32"/>
        <v>5.0000000000000001E-3</v>
      </c>
      <c r="AD32" s="6">
        <f t="shared" si="33"/>
        <v>3.0000000000000001E-3</v>
      </c>
      <c r="AE32" s="6"/>
      <c r="AF32" s="7">
        <f t="shared" si="34"/>
        <v>353.22666666666669</v>
      </c>
      <c r="AG32" s="7">
        <f t="shared" si="35"/>
        <v>-456.33066666666673</v>
      </c>
      <c r="AH32" s="7">
        <f t="shared" si="36"/>
        <v>-456.33066666666667</v>
      </c>
      <c r="AJ32" s="8">
        <f t="shared" si="37"/>
        <v>2.1648212461695606</v>
      </c>
      <c r="AK32" s="4">
        <f t="shared" si="38"/>
        <v>-2.7967150153217575</v>
      </c>
      <c r="AM32" s="8">
        <f t="shared" si="39"/>
        <v>1.6</v>
      </c>
      <c r="AN32" s="8">
        <f t="shared" si="40"/>
        <v>-1.4666666666666666</v>
      </c>
      <c r="AP32" s="6">
        <f t="shared" si="41"/>
        <v>2.4E-2</v>
      </c>
      <c r="AQ32" s="6">
        <f t="shared" si="42"/>
        <v>8.0000000000000002E-3</v>
      </c>
      <c r="AR32" s="6">
        <f t="shared" si="43"/>
        <v>8.0000000000000002E-3</v>
      </c>
      <c r="AT32" s="3">
        <f t="shared" si="44"/>
        <v>2.9120000000000004E-2</v>
      </c>
      <c r="AU32" s="3">
        <f t="shared" si="45"/>
        <v>1.7600000000000001E-3</v>
      </c>
      <c r="AV32" s="3">
        <f t="shared" si="46"/>
        <v>6.0320000000000009E-3</v>
      </c>
      <c r="AX32" s="7">
        <f t="shared" si="47"/>
        <v>19.618771597369303</v>
      </c>
      <c r="AY32" s="7">
        <f t="shared" si="48"/>
        <v>258.59159932510437</v>
      </c>
      <c r="AZ32" s="7">
        <f t="shared" si="49"/>
        <v>23.022900763358781</v>
      </c>
      <c r="BB32" s="3">
        <f t="shared" si="50"/>
        <v>88.399999999999991</v>
      </c>
    </row>
    <row r="33" spans="1:54" ht="14.5" x14ac:dyDescent="0.35">
      <c r="A33" s="3" t="s">
        <v>174</v>
      </c>
      <c r="C33" s="3">
        <v>1014</v>
      </c>
      <c r="D33" s="3">
        <v>6</v>
      </c>
      <c r="F33" t="s">
        <v>129</v>
      </c>
      <c r="G33" t="s">
        <v>11</v>
      </c>
      <c r="H33">
        <v>0</v>
      </c>
      <c r="I33">
        <v>2.3E-2</v>
      </c>
      <c r="J33">
        <v>2.3E-2</v>
      </c>
      <c r="K33">
        <v>2.1999999999999999E-2</v>
      </c>
      <c r="L33">
        <v>7.0000000000000001E-3</v>
      </c>
      <c r="M33">
        <v>5.0000000000000001E-3</v>
      </c>
      <c r="N33">
        <v>2.1999999999999999E-2</v>
      </c>
      <c r="O33">
        <v>5.2999999999999999E-2</v>
      </c>
      <c r="Q33" t="s">
        <v>89</v>
      </c>
      <c r="S33">
        <v>1E-3</v>
      </c>
      <c r="T33">
        <v>1.9E-2</v>
      </c>
      <c r="U33">
        <v>1.9E-2</v>
      </c>
      <c r="V33">
        <v>1.7999999999999999E-2</v>
      </c>
      <c r="W33">
        <v>7.0000000000000001E-3</v>
      </c>
      <c r="X33">
        <v>4.0000000000000001E-3</v>
      </c>
      <c r="Y33">
        <v>1.9E-2</v>
      </c>
      <c r="Z33">
        <v>4.9000000000000002E-2</v>
      </c>
      <c r="AB33" s="6">
        <f t="shared" si="31"/>
        <v>2.3E-2</v>
      </c>
      <c r="AC33" s="6">
        <f t="shared" si="32"/>
        <v>1.7999999999999999E-2</v>
      </c>
      <c r="AD33" s="6">
        <f t="shared" si="33"/>
        <v>5.000000000000001E-3</v>
      </c>
      <c r="AE33" s="6"/>
      <c r="AF33" s="7">
        <f t="shared" si="34"/>
        <v>410.50666666666666</v>
      </c>
      <c r="AG33" s="7">
        <f t="shared" si="35"/>
        <v>-245.54026666666675</v>
      </c>
      <c r="AH33" s="7">
        <f t="shared" si="36"/>
        <v>-245.54026666666672</v>
      </c>
      <c r="AJ33" s="8">
        <f t="shared" si="37"/>
        <v>2.4290335305719921</v>
      </c>
      <c r="AK33" s="4">
        <f t="shared" si="38"/>
        <v>-1.4529009861932944</v>
      </c>
      <c r="AM33" s="8">
        <f t="shared" si="39"/>
        <v>1.2777777777777779</v>
      </c>
      <c r="AN33" s="8">
        <f t="shared" si="40"/>
        <v>2.7916666666666674</v>
      </c>
      <c r="AP33" s="6">
        <f t="shared" si="41"/>
        <v>5.2999999999999999E-2</v>
      </c>
      <c r="AQ33" s="6">
        <f t="shared" si="42"/>
        <v>2.1999999999999999E-2</v>
      </c>
      <c r="AR33" s="6">
        <f t="shared" si="43"/>
        <v>2.1999999999999999E-2</v>
      </c>
      <c r="AT33" s="3">
        <f t="shared" si="44"/>
        <v>6.6560000000000008E-2</v>
      </c>
      <c r="AU33" s="3">
        <f t="shared" si="45"/>
        <v>8.349999999999998E-3</v>
      </c>
      <c r="AV33" s="3">
        <f t="shared" si="46"/>
        <v>1.7627999999999998E-2</v>
      </c>
      <c r="AX33" s="7">
        <f t="shared" si="47"/>
        <v>93.07769479433729</v>
      </c>
      <c r="AY33" s="7">
        <f t="shared" si="48"/>
        <v>591.06651274309581</v>
      </c>
      <c r="AZ33" s="7">
        <f t="shared" si="49"/>
        <v>67.282442748091583</v>
      </c>
      <c r="BB33" s="3">
        <f t="shared" si="50"/>
        <v>261.37</v>
      </c>
    </row>
    <row r="34" spans="1:54" ht="14.5" x14ac:dyDescent="0.35">
      <c r="A34" s="3" t="s">
        <v>175</v>
      </c>
      <c r="C34" s="3">
        <v>1004</v>
      </c>
      <c r="D34" s="3">
        <v>6</v>
      </c>
      <c r="F34" t="s">
        <v>130</v>
      </c>
      <c r="G34" t="s">
        <v>11</v>
      </c>
      <c r="H34">
        <v>-1E-3</v>
      </c>
      <c r="I34">
        <v>0.16200000000000001</v>
      </c>
      <c r="J34">
        <v>0.16200000000000001</v>
      </c>
      <c r="K34">
        <v>0.159</v>
      </c>
      <c r="L34">
        <v>5.1999999999999998E-2</v>
      </c>
      <c r="M34">
        <v>3.6999999999999998E-2</v>
      </c>
      <c r="N34">
        <v>8.5999999999999993E-2</v>
      </c>
      <c r="O34">
        <v>0.20499999999999999</v>
      </c>
      <c r="Q34" t="s">
        <v>90</v>
      </c>
      <c r="S34">
        <v>-1E-3</v>
      </c>
      <c r="T34">
        <v>0.10299999999999999</v>
      </c>
      <c r="U34">
        <v>0.10100000000000001</v>
      </c>
      <c r="V34">
        <v>9.8000000000000004E-2</v>
      </c>
      <c r="W34">
        <v>3.2000000000000001E-2</v>
      </c>
      <c r="X34">
        <v>1.6E-2</v>
      </c>
      <c r="Y34">
        <v>8.1000000000000003E-2</v>
      </c>
      <c r="Z34">
        <v>0.22500000000000001</v>
      </c>
      <c r="AB34" s="6">
        <f t="shared" si="31"/>
        <v>0.16300000000000001</v>
      </c>
      <c r="AC34" s="6">
        <f t="shared" si="32"/>
        <v>0.104</v>
      </c>
      <c r="AD34" s="6">
        <f t="shared" si="33"/>
        <v>5.9000000000000011E-2</v>
      </c>
      <c r="AE34" s="6"/>
      <c r="AF34" s="7">
        <f t="shared" si="34"/>
        <v>1957.0666666666668</v>
      </c>
      <c r="AG34" s="7">
        <f t="shared" si="35"/>
        <v>-18.71146666666732</v>
      </c>
      <c r="AH34" s="7">
        <f t="shared" si="36"/>
        <v>-18.71146666666683</v>
      </c>
      <c r="AJ34" s="8">
        <f t="shared" si="37"/>
        <v>11.695617529880479</v>
      </c>
      <c r="AK34" s="4">
        <f t="shared" si="38"/>
        <v>-0.11182151394422701</v>
      </c>
      <c r="AM34" s="8">
        <f t="shared" si="39"/>
        <v>1.5673076923076925</v>
      </c>
      <c r="AN34" s="8">
        <f t="shared" si="40"/>
        <v>1.726950354609929</v>
      </c>
      <c r="AP34" s="6">
        <f t="shared" si="41"/>
        <v>0.20599999999999999</v>
      </c>
      <c r="AQ34" s="6">
        <f t="shared" si="42"/>
        <v>8.6999999999999994E-2</v>
      </c>
      <c r="AR34" s="6">
        <f t="shared" si="43"/>
        <v>0.16</v>
      </c>
      <c r="AT34" s="3">
        <f t="shared" si="44"/>
        <v>0.31714999999999999</v>
      </c>
      <c r="AU34" s="3">
        <f t="shared" si="45"/>
        <v>0.10845</v>
      </c>
      <c r="AV34" s="3">
        <f t="shared" si="46"/>
        <v>6.8100000000000008E-2</v>
      </c>
      <c r="AX34" s="7">
        <f t="shared" si="47"/>
        <v>1208.8953293947163</v>
      </c>
      <c r="AY34" s="7">
        <f t="shared" si="48"/>
        <v>2816.357339490276</v>
      </c>
      <c r="AZ34" s="7">
        <f t="shared" si="49"/>
        <v>259.92366412213744</v>
      </c>
      <c r="BB34" s="3">
        <f t="shared" si="50"/>
        <v>1846.89</v>
      </c>
    </row>
    <row r="35" spans="1:54" ht="14.5" x14ac:dyDescent="0.35">
      <c r="A35" s="3" t="s">
        <v>176</v>
      </c>
      <c r="C35" s="3">
        <v>1011</v>
      </c>
      <c r="D35" s="3">
        <v>6</v>
      </c>
      <c r="F35" t="s">
        <v>131</v>
      </c>
      <c r="G35" t="s">
        <v>11</v>
      </c>
      <c r="H35">
        <v>2E-3</v>
      </c>
      <c r="I35">
        <v>2.3E-2</v>
      </c>
      <c r="J35">
        <v>2.3E-2</v>
      </c>
      <c r="K35">
        <v>2.1999999999999999E-2</v>
      </c>
      <c r="L35">
        <v>1.2E-2</v>
      </c>
      <c r="M35">
        <v>1.2E-2</v>
      </c>
      <c r="N35">
        <v>2.9000000000000001E-2</v>
      </c>
      <c r="O35">
        <v>7.9000000000000001E-2</v>
      </c>
      <c r="Q35" t="s">
        <v>91</v>
      </c>
      <c r="S35">
        <v>2E-3</v>
      </c>
      <c r="T35">
        <v>1.7999999999999999E-2</v>
      </c>
      <c r="U35">
        <v>1.7999999999999999E-2</v>
      </c>
      <c r="V35">
        <v>1.7000000000000001E-2</v>
      </c>
      <c r="W35">
        <v>8.9999999999999993E-3</v>
      </c>
      <c r="X35">
        <v>8.0000000000000002E-3</v>
      </c>
      <c r="Y35">
        <v>2.5000000000000001E-2</v>
      </c>
      <c r="Z35">
        <v>7.0000000000000007E-2</v>
      </c>
      <c r="AB35" s="6">
        <f t="shared" si="31"/>
        <v>2.0999999999999998E-2</v>
      </c>
      <c r="AC35" s="6">
        <f t="shared" si="32"/>
        <v>1.6E-2</v>
      </c>
      <c r="AD35" s="6">
        <f t="shared" si="33"/>
        <v>4.9999999999999975E-3</v>
      </c>
      <c r="AE35" s="6"/>
      <c r="AF35" s="7">
        <f t="shared" si="34"/>
        <v>410.5066666666666</v>
      </c>
      <c r="AG35" s="7">
        <f t="shared" si="35"/>
        <v>-286.78186666666664</v>
      </c>
      <c r="AH35" s="7">
        <f t="shared" si="36"/>
        <v>-286.78186666666664</v>
      </c>
      <c r="AJ35" s="8">
        <f t="shared" si="37"/>
        <v>2.4362413452027694</v>
      </c>
      <c r="AK35" s="4">
        <f t="shared" si="38"/>
        <v>-1.7019695351137485</v>
      </c>
      <c r="AM35" s="8">
        <f t="shared" si="39"/>
        <v>1.3124999999999998</v>
      </c>
      <c r="AN35" s="8">
        <f t="shared" si="40"/>
        <v>3.3888888888888884</v>
      </c>
      <c r="AP35" s="6">
        <f t="shared" si="41"/>
        <v>7.6999999999999999E-2</v>
      </c>
      <c r="AQ35" s="6">
        <f t="shared" si="42"/>
        <v>2.7000000000000003E-2</v>
      </c>
      <c r="AR35" s="6">
        <f t="shared" si="43"/>
        <v>1.9999999999999997E-2</v>
      </c>
      <c r="AT35" s="3">
        <f t="shared" si="44"/>
        <v>8.8589999999999988E-2</v>
      </c>
      <c r="AU35" s="3">
        <f t="shared" si="45"/>
        <v>-1.200000000000014E-4</v>
      </c>
      <c r="AV35" s="3">
        <f t="shared" si="46"/>
        <v>2.0860000000000004E-2</v>
      </c>
      <c r="AX35" s="7">
        <f t="shared" si="47"/>
        <v>-1.3376435180024679</v>
      </c>
      <c r="AY35" s="7">
        <f t="shared" si="48"/>
        <v>786.69745138087194</v>
      </c>
      <c r="AZ35" s="7">
        <f t="shared" si="49"/>
        <v>79.618320610687036</v>
      </c>
      <c r="BB35" s="3">
        <f t="shared" si="50"/>
        <v>232.64999999999998</v>
      </c>
    </row>
    <row r="36" spans="1:54" ht="14.5" x14ac:dyDescent="0.35">
      <c r="A36" s="3" t="s">
        <v>177</v>
      </c>
      <c r="C36" s="3">
        <v>1084</v>
      </c>
      <c r="D36" s="3">
        <v>6</v>
      </c>
      <c r="F36" t="s">
        <v>133</v>
      </c>
      <c r="G36" t="s">
        <v>11</v>
      </c>
      <c r="H36">
        <v>2E-3</v>
      </c>
      <c r="I36">
        <v>2.3E-2</v>
      </c>
      <c r="J36">
        <v>2.3E-2</v>
      </c>
      <c r="K36">
        <v>2.1999999999999999E-2</v>
      </c>
      <c r="L36">
        <v>0.01</v>
      </c>
      <c r="M36">
        <v>0.01</v>
      </c>
      <c r="N36">
        <v>0.03</v>
      </c>
      <c r="O36">
        <v>6.7000000000000004E-2</v>
      </c>
      <c r="Q36" t="s">
        <v>93</v>
      </c>
      <c r="S36">
        <v>2E-3</v>
      </c>
      <c r="T36">
        <v>1.7999999999999999E-2</v>
      </c>
      <c r="U36">
        <v>1.7999999999999999E-2</v>
      </c>
      <c r="V36">
        <v>1.7999999999999999E-2</v>
      </c>
      <c r="W36">
        <v>8.9999999999999993E-3</v>
      </c>
      <c r="X36">
        <v>8.0000000000000002E-3</v>
      </c>
      <c r="Y36">
        <v>2.5999999999999999E-2</v>
      </c>
      <c r="Z36">
        <v>6.2E-2</v>
      </c>
      <c r="AB36" s="6">
        <f t="shared" si="31"/>
        <v>2.0999999999999998E-2</v>
      </c>
      <c r="AC36" s="6">
        <f t="shared" si="32"/>
        <v>1.6E-2</v>
      </c>
      <c r="AD36" s="6">
        <f t="shared" si="33"/>
        <v>4.9999999999999975E-3</v>
      </c>
      <c r="AE36" s="6"/>
      <c r="AF36" s="7">
        <f t="shared" si="34"/>
        <v>410.5066666666666</v>
      </c>
      <c r="AG36" s="7">
        <f t="shared" si="35"/>
        <v>-286.78186666666664</v>
      </c>
      <c r="AH36" s="7">
        <f t="shared" si="36"/>
        <v>-286.78186666666664</v>
      </c>
      <c r="AJ36" s="8">
        <f t="shared" si="37"/>
        <v>2.2721771217712172</v>
      </c>
      <c r="AK36" s="4">
        <f t="shared" si="38"/>
        <v>-1.5873535055350549</v>
      </c>
      <c r="AM36" s="8">
        <f t="shared" si="39"/>
        <v>1.3124999999999998</v>
      </c>
      <c r="AN36" s="8">
        <f t="shared" si="40"/>
        <v>3.3888888888888884</v>
      </c>
      <c r="AP36" s="6">
        <f t="shared" si="41"/>
        <v>6.5000000000000002E-2</v>
      </c>
      <c r="AQ36" s="6">
        <f t="shared" si="42"/>
        <v>2.7999999999999997E-2</v>
      </c>
      <c r="AR36" s="6">
        <f t="shared" si="43"/>
        <v>1.9999999999999997E-2</v>
      </c>
      <c r="AT36" s="3">
        <f t="shared" si="44"/>
        <v>7.5840000000000005E-2</v>
      </c>
      <c r="AU36" s="3">
        <f t="shared" si="45"/>
        <v>3.1299999999999948E-3</v>
      </c>
      <c r="AV36" s="3">
        <f t="shared" si="46"/>
        <v>2.2839999999999999E-2</v>
      </c>
      <c r="AX36" s="7">
        <f t="shared" si="47"/>
        <v>34.890201761230571</v>
      </c>
      <c r="AY36" s="7">
        <f t="shared" si="48"/>
        <v>673.47482461593108</v>
      </c>
      <c r="AZ36" s="7">
        <f t="shared" si="49"/>
        <v>87.175572519083971</v>
      </c>
      <c r="BB36" s="3">
        <f t="shared" si="50"/>
        <v>235.88999999999996</v>
      </c>
    </row>
    <row r="37" spans="1:54" ht="14.5" x14ac:dyDescent="0.35">
      <c r="A37" s="3" t="s">
        <v>178</v>
      </c>
      <c r="C37" s="3">
        <v>950</v>
      </c>
      <c r="D37" s="3">
        <v>6</v>
      </c>
      <c r="F37" t="s">
        <v>134</v>
      </c>
      <c r="G37" t="s">
        <v>11</v>
      </c>
      <c r="H37">
        <v>4.0000000000000001E-3</v>
      </c>
      <c r="I37">
        <v>2.4E-2</v>
      </c>
      <c r="J37">
        <v>2.4E-2</v>
      </c>
      <c r="K37">
        <v>2.3E-2</v>
      </c>
      <c r="L37">
        <v>1.2E-2</v>
      </c>
      <c r="M37">
        <v>0.01</v>
      </c>
      <c r="N37">
        <v>2.8000000000000001E-2</v>
      </c>
      <c r="O37">
        <v>6.4000000000000001E-2</v>
      </c>
      <c r="Q37" t="s">
        <v>94</v>
      </c>
      <c r="S37">
        <v>4.0000000000000001E-3</v>
      </c>
      <c r="T37">
        <v>0.02</v>
      </c>
      <c r="U37">
        <v>0.02</v>
      </c>
      <c r="V37">
        <v>1.9E-2</v>
      </c>
      <c r="W37">
        <v>1.0999999999999999E-2</v>
      </c>
      <c r="X37">
        <v>8.9999999999999993E-3</v>
      </c>
      <c r="Y37">
        <v>2.5000000000000001E-2</v>
      </c>
      <c r="Z37">
        <v>5.8999999999999997E-2</v>
      </c>
      <c r="AB37" s="6">
        <f t="shared" si="31"/>
        <v>0.02</v>
      </c>
      <c r="AC37" s="6">
        <f t="shared" si="32"/>
        <v>1.6E-2</v>
      </c>
      <c r="AD37" s="6">
        <f t="shared" si="33"/>
        <v>4.0000000000000001E-3</v>
      </c>
      <c r="AE37" s="6"/>
      <c r="AF37" s="7">
        <f t="shared" si="34"/>
        <v>381.86666666666667</v>
      </c>
      <c r="AG37" s="7">
        <f t="shared" si="35"/>
        <v>-258.14186666666671</v>
      </c>
      <c r="AH37" s="7">
        <f t="shared" si="36"/>
        <v>-258.14186666666671</v>
      </c>
      <c r="AJ37" s="8">
        <f t="shared" si="37"/>
        <v>2.4117894736842107</v>
      </c>
      <c r="AK37" s="4">
        <f t="shared" si="38"/>
        <v>-1.6303696842105266</v>
      </c>
      <c r="AM37" s="8">
        <f t="shared" si="39"/>
        <v>1.25</v>
      </c>
      <c r="AN37" s="8">
        <f t="shared" si="40"/>
        <v>3.2222222222222223</v>
      </c>
      <c r="AP37" s="6">
        <f t="shared" si="41"/>
        <v>0.06</v>
      </c>
      <c r="AQ37" s="6">
        <f t="shared" si="42"/>
        <v>2.4E-2</v>
      </c>
      <c r="AR37" s="6">
        <f t="shared" si="43"/>
        <v>1.9E-2</v>
      </c>
      <c r="AT37" s="3">
        <f t="shared" si="44"/>
        <v>7.0929999999999993E-2</v>
      </c>
      <c r="AU37" s="3">
        <f t="shared" si="45"/>
        <v>3.4200000000000025E-3</v>
      </c>
      <c r="AV37" s="3">
        <f t="shared" si="46"/>
        <v>1.9186000000000002E-2</v>
      </c>
      <c r="AX37" s="7">
        <f t="shared" si="47"/>
        <v>38.122840263069918</v>
      </c>
      <c r="AY37" s="7">
        <f t="shared" si="48"/>
        <v>629.87301305390281</v>
      </c>
      <c r="AZ37" s="7">
        <f t="shared" si="49"/>
        <v>73.229007633587784</v>
      </c>
      <c r="BB37" s="3">
        <f t="shared" si="50"/>
        <v>224.2</v>
      </c>
    </row>
    <row r="38" spans="1:54" ht="14.5" x14ac:dyDescent="0.35">
      <c r="A38" s="3" t="s">
        <v>179</v>
      </c>
      <c r="C38" s="3">
        <v>1052</v>
      </c>
      <c r="D38" s="3">
        <v>6</v>
      </c>
      <c r="F38" t="s">
        <v>135</v>
      </c>
      <c r="G38" t="s">
        <v>11</v>
      </c>
      <c r="H38">
        <v>0</v>
      </c>
      <c r="I38">
        <v>9.4E-2</v>
      </c>
      <c r="J38">
        <v>9.4E-2</v>
      </c>
      <c r="K38">
        <v>9.1999999999999998E-2</v>
      </c>
      <c r="L38">
        <v>0.03</v>
      </c>
      <c r="M38">
        <v>2.1999999999999999E-2</v>
      </c>
      <c r="N38">
        <v>0.06</v>
      </c>
      <c r="O38">
        <v>0.13300000000000001</v>
      </c>
      <c r="Q38" t="s">
        <v>95</v>
      </c>
      <c r="S38">
        <v>1E-3</v>
      </c>
      <c r="T38">
        <v>6.0999999999999999E-2</v>
      </c>
      <c r="U38">
        <v>0.06</v>
      </c>
      <c r="V38">
        <v>5.8999999999999997E-2</v>
      </c>
      <c r="W38">
        <v>0.02</v>
      </c>
      <c r="X38">
        <v>1.0999999999999999E-2</v>
      </c>
      <c r="Y38">
        <v>5.3999999999999999E-2</v>
      </c>
      <c r="Z38">
        <v>0.14199999999999999</v>
      </c>
      <c r="AB38" s="6">
        <f t="shared" si="31"/>
        <v>9.4E-2</v>
      </c>
      <c r="AC38" s="6">
        <f t="shared" si="32"/>
        <v>0.06</v>
      </c>
      <c r="AD38" s="6">
        <f t="shared" si="33"/>
        <v>3.4000000000000002E-2</v>
      </c>
      <c r="AE38" s="6"/>
      <c r="AF38" s="7">
        <f t="shared" si="34"/>
        <v>1241.0666666666668</v>
      </c>
      <c r="AG38" s="7">
        <f t="shared" si="35"/>
        <v>-210.0266666666667</v>
      </c>
      <c r="AH38" s="7">
        <f t="shared" si="36"/>
        <v>-210.02666666666698</v>
      </c>
      <c r="AJ38" s="8">
        <f t="shared" si="37"/>
        <v>7.0783269961977195</v>
      </c>
      <c r="AK38" s="4">
        <f t="shared" si="38"/>
        <v>-1.1978707224334604</v>
      </c>
      <c r="AM38" s="8">
        <f t="shared" si="39"/>
        <v>1.5666666666666667</v>
      </c>
      <c r="AN38" s="8">
        <f t="shared" si="40"/>
        <v>1.8666666666666669</v>
      </c>
      <c r="AP38" s="6">
        <f t="shared" si="41"/>
        <v>0.13300000000000001</v>
      </c>
      <c r="AQ38" s="6">
        <f t="shared" si="42"/>
        <v>0.06</v>
      </c>
      <c r="AR38" s="6">
        <f t="shared" si="43"/>
        <v>9.1999999999999998E-2</v>
      </c>
      <c r="AT38" s="3">
        <f t="shared" si="44"/>
        <v>0.19480000000000003</v>
      </c>
      <c r="AU38" s="3">
        <f t="shared" si="45"/>
        <v>5.8530000000000006E-2</v>
      </c>
      <c r="AV38" s="3">
        <f t="shared" si="46"/>
        <v>4.8167999999999996E-2</v>
      </c>
      <c r="AX38" s="7">
        <f t="shared" si="47"/>
        <v>652.43562590569627</v>
      </c>
      <c r="AY38" s="7">
        <f t="shared" si="48"/>
        <v>1729.8641328478823</v>
      </c>
      <c r="AZ38" s="7">
        <f t="shared" si="49"/>
        <v>183.84732824427479</v>
      </c>
      <c r="BB38" s="3">
        <f t="shared" si="50"/>
        <v>1065.9399999999998</v>
      </c>
    </row>
    <row r="39" spans="1:54" ht="14.5" x14ac:dyDescent="0.35">
      <c r="A39" s="3" t="s">
        <v>180</v>
      </c>
      <c r="C39" s="3">
        <v>1090</v>
      </c>
      <c r="D39" s="3">
        <v>6</v>
      </c>
      <c r="F39" t="s">
        <v>136</v>
      </c>
      <c r="G39" t="s">
        <v>11</v>
      </c>
      <c r="H39">
        <v>0</v>
      </c>
      <c r="I39">
        <v>0.17100000000000001</v>
      </c>
      <c r="J39">
        <v>0.17100000000000001</v>
      </c>
      <c r="K39">
        <v>0.16800000000000001</v>
      </c>
      <c r="L39">
        <v>5.5E-2</v>
      </c>
      <c r="M39">
        <v>4.1000000000000002E-2</v>
      </c>
      <c r="N39">
        <v>0.125</v>
      </c>
      <c r="O39">
        <v>0.246</v>
      </c>
      <c r="Q39" t="s">
        <v>96</v>
      </c>
      <c r="S39">
        <v>0</v>
      </c>
      <c r="T39">
        <v>0.107</v>
      </c>
      <c r="U39">
        <v>0.105</v>
      </c>
      <c r="V39">
        <v>0.10199999999999999</v>
      </c>
      <c r="W39">
        <v>3.3000000000000002E-2</v>
      </c>
      <c r="X39">
        <v>1.7000000000000001E-2</v>
      </c>
      <c r="Y39">
        <v>0.113</v>
      </c>
      <c r="Z39">
        <v>0.26700000000000002</v>
      </c>
      <c r="AB39" s="6">
        <f t="shared" si="31"/>
        <v>0.17100000000000001</v>
      </c>
      <c r="AC39" s="6">
        <f t="shared" si="32"/>
        <v>0.107</v>
      </c>
      <c r="AD39" s="6">
        <f t="shared" si="33"/>
        <v>6.4000000000000015E-2</v>
      </c>
      <c r="AE39" s="6"/>
      <c r="AF39" s="7">
        <f t="shared" si="34"/>
        <v>2100.2666666666673</v>
      </c>
      <c r="AG39" s="7">
        <f t="shared" si="35"/>
        <v>-100.04906666666761</v>
      </c>
      <c r="AH39" s="7">
        <f t="shared" si="36"/>
        <v>-100.04906666666631</v>
      </c>
      <c r="AJ39" s="8">
        <f t="shared" si="37"/>
        <v>11.561100917431196</v>
      </c>
      <c r="AK39" s="4">
        <f t="shared" si="38"/>
        <v>-0.55072880733945473</v>
      </c>
      <c r="AM39" s="8">
        <f t="shared" si="39"/>
        <v>1.5981308411214954</v>
      </c>
      <c r="AN39" s="8">
        <f t="shared" si="40"/>
        <v>1.7560137457044673</v>
      </c>
      <c r="AP39" s="6">
        <f t="shared" si="41"/>
        <v>0.246</v>
      </c>
      <c r="AQ39" s="6">
        <f t="shared" si="42"/>
        <v>0.125</v>
      </c>
      <c r="AR39" s="6">
        <f t="shared" si="43"/>
        <v>0.16800000000000001</v>
      </c>
      <c r="AT39" s="3">
        <f t="shared" si="44"/>
        <v>0.35481000000000001</v>
      </c>
      <c r="AU39" s="3">
        <f t="shared" si="45"/>
        <v>0.10619000000000001</v>
      </c>
      <c r="AV39" s="3">
        <f t="shared" si="46"/>
        <v>0.103452</v>
      </c>
      <c r="AX39" s="7">
        <f t="shared" si="47"/>
        <v>1183.7030431390035</v>
      </c>
      <c r="AY39" s="7">
        <f t="shared" si="48"/>
        <v>3150.7858982328389</v>
      </c>
      <c r="AZ39" s="7">
        <f t="shared" si="49"/>
        <v>394.85496183206106</v>
      </c>
      <c r="BB39" s="3">
        <f t="shared" si="50"/>
        <v>1938.37</v>
      </c>
    </row>
    <row r="40" spans="1:54" ht="14.5" x14ac:dyDescent="0.35">
      <c r="A40" s="3" t="s">
        <v>181</v>
      </c>
      <c r="C40" s="3">
        <v>1082</v>
      </c>
      <c r="D40" s="3">
        <v>6</v>
      </c>
      <c r="F40" t="s">
        <v>137</v>
      </c>
      <c r="G40" t="s">
        <v>11</v>
      </c>
      <c r="H40">
        <v>1E-3</v>
      </c>
      <c r="I40">
        <v>5.1999999999999998E-2</v>
      </c>
      <c r="J40">
        <v>5.1999999999999998E-2</v>
      </c>
      <c r="K40">
        <v>5.1999999999999998E-2</v>
      </c>
      <c r="L40">
        <v>0.02</v>
      </c>
      <c r="M40">
        <v>1.2999999999999999E-2</v>
      </c>
      <c r="N40">
        <v>3.2000000000000001E-2</v>
      </c>
      <c r="O40">
        <v>7.0000000000000007E-2</v>
      </c>
      <c r="Q40" t="s">
        <v>97</v>
      </c>
      <c r="S40">
        <v>1E-3</v>
      </c>
      <c r="T40">
        <v>3.2000000000000001E-2</v>
      </c>
      <c r="U40">
        <v>3.2000000000000001E-2</v>
      </c>
      <c r="V40">
        <v>3.1E-2</v>
      </c>
      <c r="W40">
        <v>1.2999999999999999E-2</v>
      </c>
      <c r="X40">
        <v>6.0000000000000001E-3</v>
      </c>
      <c r="Y40">
        <v>2.8000000000000001E-2</v>
      </c>
      <c r="Z40">
        <v>7.3999999999999996E-2</v>
      </c>
      <c r="AB40" s="6">
        <f t="shared" si="31"/>
        <v>5.0999999999999997E-2</v>
      </c>
      <c r="AC40" s="6">
        <f t="shared" si="32"/>
        <v>3.1E-2</v>
      </c>
      <c r="AD40" s="6">
        <f t="shared" si="33"/>
        <v>1.9999999999999997E-2</v>
      </c>
      <c r="AE40" s="6"/>
      <c r="AF40" s="7">
        <f t="shared" si="34"/>
        <v>840.10666666666657</v>
      </c>
      <c r="AG40" s="7">
        <f t="shared" si="35"/>
        <v>-407.0698666666666</v>
      </c>
      <c r="AH40" s="7">
        <f t="shared" si="36"/>
        <v>-407.06986666666671</v>
      </c>
      <c r="AJ40" s="8">
        <f t="shared" si="37"/>
        <v>4.6586321626617373</v>
      </c>
      <c r="AK40" s="4">
        <f t="shared" si="38"/>
        <v>-2.2573190388170046</v>
      </c>
      <c r="AM40" s="8">
        <f t="shared" si="39"/>
        <v>1.6451612903225805</v>
      </c>
      <c r="AN40" s="8">
        <f t="shared" si="40"/>
        <v>2.3968253968253967</v>
      </c>
      <c r="AP40" s="6">
        <f t="shared" si="41"/>
        <v>6.9000000000000006E-2</v>
      </c>
      <c r="AQ40" s="6">
        <f t="shared" si="42"/>
        <v>3.1E-2</v>
      </c>
      <c r="AR40" s="6">
        <f t="shared" si="43"/>
        <v>5.0999999999999997E-2</v>
      </c>
      <c r="AT40" s="3">
        <f t="shared" si="44"/>
        <v>0.10368000000000001</v>
      </c>
      <c r="AU40" s="3">
        <f t="shared" si="45"/>
        <v>3.3699999999999987E-2</v>
      </c>
      <c r="AV40" s="3">
        <f t="shared" si="46"/>
        <v>2.4774000000000001E-2</v>
      </c>
      <c r="AX40" s="7">
        <f t="shared" si="47"/>
        <v>375.65488797235525</v>
      </c>
      <c r="AY40" s="7">
        <f t="shared" si="48"/>
        <v>920.69976023443758</v>
      </c>
      <c r="AZ40" s="7">
        <f t="shared" si="49"/>
        <v>94.55725190839695</v>
      </c>
      <c r="BB40" s="3">
        <f t="shared" si="50"/>
        <v>574.13</v>
      </c>
    </row>
    <row r="41" spans="1:54" ht="14.5" x14ac:dyDescent="0.35">
      <c r="A41" s="3" t="s">
        <v>182</v>
      </c>
      <c r="C41" s="3">
        <v>1056</v>
      </c>
      <c r="D41" s="3">
        <v>6</v>
      </c>
      <c r="F41" t="s">
        <v>138</v>
      </c>
      <c r="G41" t="s">
        <v>11</v>
      </c>
      <c r="H41">
        <v>8.0000000000000002E-3</v>
      </c>
      <c r="I41">
        <v>5.8999999999999997E-2</v>
      </c>
      <c r="J41">
        <v>5.8999999999999997E-2</v>
      </c>
      <c r="K41">
        <v>5.8999999999999997E-2</v>
      </c>
      <c r="L41">
        <v>2.7E-2</v>
      </c>
      <c r="M41">
        <v>2.1999999999999999E-2</v>
      </c>
      <c r="N41">
        <v>0.05</v>
      </c>
      <c r="O41">
        <v>9.6000000000000002E-2</v>
      </c>
      <c r="Q41" t="s">
        <v>98</v>
      </c>
      <c r="S41">
        <v>7.0000000000000001E-3</v>
      </c>
      <c r="T41">
        <v>4.1000000000000002E-2</v>
      </c>
      <c r="U41">
        <v>4.1000000000000002E-2</v>
      </c>
      <c r="V41">
        <v>0.04</v>
      </c>
      <c r="W41">
        <v>0.02</v>
      </c>
      <c r="X41">
        <v>1.4999999999999999E-2</v>
      </c>
      <c r="Y41">
        <v>4.3999999999999997E-2</v>
      </c>
      <c r="Z41">
        <v>9.6000000000000002E-2</v>
      </c>
      <c r="AB41" s="6">
        <f t="shared" si="31"/>
        <v>5.0999999999999997E-2</v>
      </c>
      <c r="AC41" s="6">
        <f t="shared" si="32"/>
        <v>3.4000000000000002E-2</v>
      </c>
      <c r="AD41" s="6">
        <f t="shared" si="33"/>
        <v>1.6999999999999994E-2</v>
      </c>
      <c r="AE41" s="6"/>
      <c r="AF41" s="7">
        <f t="shared" si="34"/>
        <v>754.1866666666665</v>
      </c>
      <c r="AG41" s="7">
        <f t="shared" si="35"/>
        <v>-259.28746666666649</v>
      </c>
      <c r="AH41" s="7">
        <f t="shared" si="36"/>
        <v>-259.28746666666655</v>
      </c>
      <c r="AJ41" s="8">
        <f t="shared" si="37"/>
        <v>4.2851515151515143</v>
      </c>
      <c r="AK41" s="4">
        <f t="shared" si="38"/>
        <v>-1.4732242424242414</v>
      </c>
      <c r="AM41" s="8">
        <f t="shared" si="39"/>
        <v>1.4999999999999998</v>
      </c>
      <c r="AN41" s="8">
        <f t="shared" si="40"/>
        <v>2.0972222222222219</v>
      </c>
      <c r="AP41" s="6">
        <f t="shared" si="41"/>
        <v>8.7999999999999995E-2</v>
      </c>
      <c r="AQ41" s="6">
        <f t="shared" si="42"/>
        <v>4.2000000000000003E-2</v>
      </c>
      <c r="AR41" s="6">
        <f t="shared" si="43"/>
        <v>5.0999999999999997E-2</v>
      </c>
      <c r="AT41" s="3">
        <f t="shared" si="44"/>
        <v>0.12047000000000001</v>
      </c>
      <c r="AU41" s="3">
        <f t="shared" si="45"/>
        <v>2.8679999999999997E-2</v>
      </c>
      <c r="AV41" s="3">
        <f t="shared" si="46"/>
        <v>3.4474000000000005E-2</v>
      </c>
      <c r="AX41" s="7">
        <f t="shared" si="47"/>
        <v>319.6968008025861</v>
      </c>
      <c r="AY41" s="7">
        <f t="shared" si="48"/>
        <v>1069.7984193233285</v>
      </c>
      <c r="AZ41" s="7">
        <f t="shared" si="49"/>
        <v>131.58015267175574</v>
      </c>
      <c r="BB41" s="3">
        <f t="shared" si="50"/>
        <v>573.97</v>
      </c>
    </row>
    <row r="42" spans="1:54" ht="14.5" x14ac:dyDescent="0.35">
      <c r="A42" s="3" t="s">
        <v>183</v>
      </c>
      <c r="C42" s="3">
        <v>1028</v>
      </c>
      <c r="D42" s="3">
        <v>6</v>
      </c>
      <c r="F42" t="s">
        <v>139</v>
      </c>
      <c r="G42" t="s">
        <v>11</v>
      </c>
      <c r="H42">
        <v>0</v>
      </c>
      <c r="I42">
        <v>4.5999999999999999E-2</v>
      </c>
      <c r="J42">
        <v>4.5999999999999999E-2</v>
      </c>
      <c r="K42">
        <v>4.4999999999999998E-2</v>
      </c>
      <c r="L42">
        <v>1.7999999999999999E-2</v>
      </c>
      <c r="M42">
        <v>1.4999999999999999E-2</v>
      </c>
      <c r="N42">
        <v>3.9E-2</v>
      </c>
      <c r="O42">
        <v>0.159</v>
      </c>
      <c r="Q42" t="s">
        <v>99</v>
      </c>
      <c r="S42">
        <v>0</v>
      </c>
      <c r="T42">
        <v>2.9000000000000001E-2</v>
      </c>
      <c r="U42">
        <v>2.9000000000000001E-2</v>
      </c>
      <c r="V42">
        <v>2.8000000000000001E-2</v>
      </c>
      <c r="W42">
        <v>1.2E-2</v>
      </c>
      <c r="X42">
        <v>8.9999999999999993E-3</v>
      </c>
      <c r="Y42">
        <v>3.5000000000000003E-2</v>
      </c>
      <c r="Z42">
        <v>0.13400000000000001</v>
      </c>
      <c r="AB42" s="6">
        <f t="shared" si="31"/>
        <v>4.5999999999999999E-2</v>
      </c>
      <c r="AC42" s="6">
        <f t="shared" si="32"/>
        <v>2.9000000000000001E-2</v>
      </c>
      <c r="AD42" s="6">
        <f t="shared" si="33"/>
        <v>1.6999999999999998E-2</v>
      </c>
      <c r="AE42" s="6"/>
      <c r="AF42" s="7">
        <f t="shared" si="34"/>
        <v>754.18666666666661</v>
      </c>
      <c r="AG42" s="7">
        <f t="shared" si="35"/>
        <v>-362.39146666666664</v>
      </c>
      <c r="AH42" s="7">
        <f t="shared" si="36"/>
        <v>-362.39146666666636</v>
      </c>
      <c r="AJ42" s="8">
        <f t="shared" si="37"/>
        <v>4.4018677042801562</v>
      </c>
      <c r="AK42" s="4">
        <f t="shared" si="38"/>
        <v>-2.1151252918287935</v>
      </c>
      <c r="AM42" s="8">
        <f t="shared" si="39"/>
        <v>1.586206896551724</v>
      </c>
      <c r="AN42" s="8">
        <f t="shared" si="40"/>
        <v>2.3859649122807012</v>
      </c>
      <c r="AP42" s="6">
        <f t="shared" si="41"/>
        <v>0.159</v>
      </c>
      <c r="AQ42" s="6">
        <f t="shared" si="42"/>
        <v>3.9E-2</v>
      </c>
      <c r="AR42" s="6">
        <f t="shared" si="43"/>
        <v>4.4999999999999998E-2</v>
      </c>
      <c r="AT42" s="3">
        <f t="shared" si="44"/>
        <v>0.19037999999999999</v>
      </c>
      <c r="AU42" s="3">
        <f t="shared" si="45"/>
        <v>3.3599999999999936E-3</v>
      </c>
      <c r="AV42" s="3">
        <f t="shared" si="46"/>
        <v>2.589E-2</v>
      </c>
      <c r="AX42" s="7">
        <f t="shared" si="47"/>
        <v>37.4540185040686</v>
      </c>
      <c r="AY42" s="7">
        <f t="shared" si="48"/>
        <v>1690.6136222360358</v>
      </c>
      <c r="AZ42" s="7">
        <f t="shared" si="49"/>
        <v>98.81679389312977</v>
      </c>
      <c r="BB42" s="3">
        <f t="shared" si="50"/>
        <v>516.18000000000006</v>
      </c>
    </row>
    <row r="43" spans="1:54" ht="14.5" x14ac:dyDescent="0.35">
      <c r="A43" s="3" t="s">
        <v>184</v>
      </c>
      <c r="C43" s="3">
        <v>1046</v>
      </c>
      <c r="D43" s="3">
        <v>18</v>
      </c>
      <c r="F43" t="s">
        <v>140</v>
      </c>
      <c r="G43" t="s">
        <v>11</v>
      </c>
      <c r="H43">
        <v>2E-3</v>
      </c>
      <c r="I43">
        <v>1.2E-2</v>
      </c>
      <c r="J43">
        <v>1.0999999999999999E-2</v>
      </c>
      <c r="K43">
        <v>1.0999999999999999E-2</v>
      </c>
      <c r="L43">
        <v>6.0000000000000001E-3</v>
      </c>
      <c r="M43">
        <v>6.0000000000000001E-3</v>
      </c>
      <c r="N43">
        <v>1.4E-2</v>
      </c>
      <c r="O43">
        <v>3.3000000000000002E-2</v>
      </c>
      <c r="Q43" t="s">
        <v>100</v>
      </c>
      <c r="S43">
        <v>1E-3</v>
      </c>
      <c r="T43">
        <v>8.0000000000000002E-3</v>
      </c>
      <c r="U43">
        <v>7.0000000000000001E-3</v>
      </c>
      <c r="V43">
        <v>7.0000000000000001E-3</v>
      </c>
      <c r="W43">
        <v>4.0000000000000001E-3</v>
      </c>
      <c r="X43">
        <v>3.0000000000000001E-3</v>
      </c>
      <c r="Y43">
        <v>8.9999999999999993E-3</v>
      </c>
      <c r="Z43">
        <v>2.5999999999999999E-2</v>
      </c>
      <c r="AB43" s="6">
        <f t="shared" si="31"/>
        <v>8.9999999999999993E-3</v>
      </c>
      <c r="AC43" s="6">
        <f t="shared" si="32"/>
        <v>7.0000000000000001E-3</v>
      </c>
      <c r="AD43" s="6">
        <f t="shared" si="33"/>
        <v>1.9999999999999992E-3</v>
      </c>
      <c r="AE43" s="6"/>
      <c r="AF43" s="7">
        <f t="shared" si="34"/>
        <v>324.58666666666664</v>
      </c>
      <c r="AG43" s="7">
        <f t="shared" si="35"/>
        <v>-386.44906666666668</v>
      </c>
      <c r="AH43" s="7">
        <f t="shared" si="36"/>
        <v>-386.44906666666668</v>
      </c>
      <c r="AJ43" s="8">
        <f t="shared" si="37"/>
        <v>5.5856214149139571</v>
      </c>
      <c r="AK43" s="4">
        <f t="shared" si="38"/>
        <v>-6.650175143403442</v>
      </c>
      <c r="AM43" s="8">
        <f t="shared" si="39"/>
        <v>1.2857142857142856</v>
      </c>
      <c r="AN43" s="8">
        <f t="shared" si="40"/>
        <v>-2.7777777777777777</v>
      </c>
      <c r="AP43" s="6">
        <f t="shared" si="41"/>
        <v>3.1E-2</v>
      </c>
      <c r="AQ43" s="6">
        <f t="shared" si="42"/>
        <v>1.2E-2</v>
      </c>
      <c r="AR43" s="6">
        <f t="shared" si="43"/>
        <v>8.9999999999999993E-3</v>
      </c>
      <c r="AT43" s="3">
        <f t="shared" si="44"/>
        <v>3.6109999999999996E-2</v>
      </c>
      <c r="AU43" s="3">
        <f t="shared" si="45"/>
        <v>9.2999999999999821E-4</v>
      </c>
      <c r="AV43" s="3">
        <f t="shared" si="46"/>
        <v>9.5260000000000015E-3</v>
      </c>
      <c r="AX43" s="7">
        <f t="shared" si="47"/>
        <v>10.366737264518987</v>
      </c>
      <c r="AY43" s="7">
        <f t="shared" si="48"/>
        <v>320.66423941035424</v>
      </c>
      <c r="AZ43" s="7">
        <f t="shared" si="49"/>
        <v>36.358778625954209</v>
      </c>
      <c r="BB43" s="3">
        <f t="shared" si="50"/>
        <v>100.17</v>
      </c>
    </row>
    <row r="44" spans="1:54" ht="14.5" x14ac:dyDescent="0.35">
      <c r="A44" s="3" t="s">
        <v>185</v>
      </c>
      <c r="C44" s="3">
        <v>1002</v>
      </c>
      <c r="D44" s="3">
        <v>6</v>
      </c>
      <c r="F44" t="s">
        <v>141</v>
      </c>
      <c r="G44" t="s">
        <v>11</v>
      </c>
      <c r="H44">
        <v>3.0000000000000001E-3</v>
      </c>
      <c r="I44">
        <v>4.1000000000000002E-2</v>
      </c>
      <c r="J44">
        <v>4.1000000000000002E-2</v>
      </c>
      <c r="K44">
        <v>0.04</v>
      </c>
      <c r="L44">
        <v>1.7000000000000001E-2</v>
      </c>
      <c r="M44">
        <v>1.2999999999999999E-2</v>
      </c>
      <c r="N44">
        <v>0.03</v>
      </c>
      <c r="O44">
        <v>7.0000000000000007E-2</v>
      </c>
      <c r="Q44" t="s">
        <v>101</v>
      </c>
      <c r="S44">
        <v>3.0000000000000001E-3</v>
      </c>
      <c r="T44">
        <v>2.8000000000000001E-2</v>
      </c>
      <c r="U44">
        <v>2.8000000000000001E-2</v>
      </c>
      <c r="V44">
        <v>2.7E-2</v>
      </c>
      <c r="W44">
        <v>1.2E-2</v>
      </c>
      <c r="X44">
        <v>8.0000000000000002E-3</v>
      </c>
      <c r="Y44">
        <v>2.7E-2</v>
      </c>
      <c r="Z44">
        <v>7.0000000000000007E-2</v>
      </c>
      <c r="AB44" s="6">
        <f t="shared" si="31"/>
        <v>3.7999999999999999E-2</v>
      </c>
      <c r="AC44" s="6">
        <f t="shared" si="32"/>
        <v>2.5000000000000001E-2</v>
      </c>
      <c r="AD44" s="6">
        <f t="shared" si="33"/>
        <v>1.2999999999999998E-2</v>
      </c>
      <c r="AE44" s="6"/>
      <c r="AF44" s="7">
        <f t="shared" si="34"/>
        <v>639.62666666666655</v>
      </c>
      <c r="AG44" s="7">
        <f t="shared" si="35"/>
        <v>-330.31466666666654</v>
      </c>
      <c r="AH44" s="7">
        <f t="shared" si="36"/>
        <v>-330.31466666666654</v>
      </c>
      <c r="AJ44" s="8">
        <f t="shared" si="37"/>
        <v>3.8300998003992008</v>
      </c>
      <c r="AK44" s="4">
        <f t="shared" si="38"/>
        <v>-1.9779321357285422</v>
      </c>
      <c r="AM44" s="8">
        <f t="shared" si="39"/>
        <v>1.5199999999999998</v>
      </c>
      <c r="AN44" s="8">
        <f t="shared" si="40"/>
        <v>2.4888888888888885</v>
      </c>
      <c r="AP44" s="6">
        <f t="shared" si="41"/>
        <v>6.7000000000000004E-2</v>
      </c>
      <c r="AQ44" s="6">
        <f t="shared" si="42"/>
        <v>2.7E-2</v>
      </c>
      <c r="AR44" s="6">
        <f t="shared" si="43"/>
        <v>3.6999999999999998E-2</v>
      </c>
      <c r="AT44" s="3">
        <f t="shared" si="44"/>
        <v>9.1619999999999993E-2</v>
      </c>
      <c r="AU44" s="3">
        <f t="shared" si="45"/>
        <v>1.9919999999999993E-2</v>
      </c>
      <c r="AV44" s="3">
        <f t="shared" si="46"/>
        <v>2.1217999999999997E-2</v>
      </c>
      <c r="AX44" s="7">
        <f t="shared" si="47"/>
        <v>222.04882398840704</v>
      </c>
      <c r="AY44" s="7">
        <f t="shared" si="48"/>
        <v>813.60447562383445</v>
      </c>
      <c r="AZ44" s="7">
        <f t="shared" si="49"/>
        <v>80.984732824427468</v>
      </c>
      <c r="BB44" s="3">
        <f t="shared" si="50"/>
        <v>427.93999999999994</v>
      </c>
    </row>
    <row r="45" spans="1:54" ht="14.5" x14ac:dyDescent="0.35">
      <c r="A45" s="3" t="s">
        <v>186</v>
      </c>
      <c r="C45" s="3">
        <v>1023</v>
      </c>
      <c r="D45" s="3">
        <v>6</v>
      </c>
      <c r="F45" t="s">
        <v>142</v>
      </c>
      <c r="G45" t="s">
        <v>11</v>
      </c>
      <c r="H45">
        <v>0</v>
      </c>
      <c r="I45">
        <v>7.0000000000000001E-3</v>
      </c>
      <c r="J45">
        <v>7.0000000000000001E-3</v>
      </c>
      <c r="K45">
        <v>7.0000000000000001E-3</v>
      </c>
      <c r="L45">
        <v>3.0000000000000001E-3</v>
      </c>
      <c r="M45">
        <v>3.0000000000000001E-3</v>
      </c>
      <c r="N45">
        <v>8.0000000000000002E-3</v>
      </c>
      <c r="O45">
        <v>2.3E-2</v>
      </c>
      <c r="Q45" t="s">
        <v>102</v>
      </c>
      <c r="S45">
        <v>0</v>
      </c>
      <c r="T45">
        <v>5.0000000000000001E-3</v>
      </c>
      <c r="U45">
        <v>5.0000000000000001E-3</v>
      </c>
      <c r="V45">
        <v>5.0000000000000001E-3</v>
      </c>
      <c r="W45">
        <v>2E-3</v>
      </c>
      <c r="X45">
        <v>1E-3</v>
      </c>
      <c r="Y45">
        <v>7.0000000000000001E-3</v>
      </c>
      <c r="Z45">
        <v>0.02</v>
      </c>
      <c r="AB45" s="6">
        <f t="shared" si="31"/>
        <v>7.0000000000000001E-3</v>
      </c>
      <c r="AC45" s="6">
        <f t="shared" si="32"/>
        <v>5.0000000000000001E-3</v>
      </c>
      <c r="AD45" s="6">
        <f t="shared" si="33"/>
        <v>2E-3</v>
      </c>
      <c r="AE45" s="6"/>
      <c r="AF45" s="7">
        <f t="shared" si="34"/>
        <v>324.5866666666667</v>
      </c>
      <c r="AG45" s="7">
        <f t="shared" si="35"/>
        <v>-427.69066666666669</v>
      </c>
      <c r="AH45" s="7">
        <f t="shared" si="36"/>
        <v>-427.69066666666669</v>
      </c>
      <c r="AJ45" s="8">
        <f t="shared" si="37"/>
        <v>1.9037341153470189</v>
      </c>
      <c r="AK45" s="4">
        <f t="shared" si="38"/>
        <v>-2.5084496578690132</v>
      </c>
      <c r="AM45" s="8">
        <f t="shared" si="39"/>
        <v>1.4</v>
      </c>
      <c r="AN45" s="8">
        <f t="shared" si="40"/>
        <v>-1.2666666666666666</v>
      </c>
      <c r="AP45" s="6">
        <f t="shared" si="41"/>
        <v>2.3E-2</v>
      </c>
      <c r="AQ45" s="6">
        <f t="shared" si="42"/>
        <v>8.0000000000000002E-3</v>
      </c>
      <c r="AR45" s="6">
        <f t="shared" si="43"/>
        <v>7.0000000000000001E-3</v>
      </c>
      <c r="AT45" s="3">
        <f t="shared" si="44"/>
        <v>2.7290000000000002E-2</v>
      </c>
      <c r="AU45" s="3">
        <f t="shared" si="45"/>
        <v>1.0100000000000003E-3</v>
      </c>
      <c r="AV45" s="3">
        <f t="shared" si="46"/>
        <v>6.1380000000000011E-3</v>
      </c>
      <c r="AX45" s="7">
        <f t="shared" si="47"/>
        <v>11.258499609853978</v>
      </c>
      <c r="AY45" s="7">
        <f t="shared" si="48"/>
        <v>242.34082230707753</v>
      </c>
      <c r="AZ45" s="7">
        <f t="shared" si="49"/>
        <v>23.42748091603054</v>
      </c>
      <c r="BB45" s="3">
        <f t="shared" si="50"/>
        <v>78.089999999999989</v>
      </c>
    </row>
    <row r="46" spans="1:54" ht="14.5" x14ac:dyDescent="0.35">
      <c r="A46" s="3" t="s">
        <v>187</v>
      </c>
      <c r="C46" s="3">
        <v>1010</v>
      </c>
      <c r="D46" s="3">
        <v>6</v>
      </c>
      <c r="F46" t="s">
        <v>144</v>
      </c>
      <c r="G46" t="s">
        <v>11</v>
      </c>
      <c r="H46">
        <v>-1E-3</v>
      </c>
      <c r="I46">
        <v>0.104</v>
      </c>
      <c r="J46">
        <v>0.104</v>
      </c>
      <c r="K46">
        <v>0.10100000000000001</v>
      </c>
      <c r="L46">
        <v>3.1E-2</v>
      </c>
      <c r="M46">
        <v>2.1999999999999999E-2</v>
      </c>
      <c r="N46">
        <v>5.7000000000000002E-2</v>
      </c>
      <c r="O46">
        <v>0.13800000000000001</v>
      </c>
      <c r="Q46" t="s">
        <v>104</v>
      </c>
      <c r="R46" t="s">
        <v>11</v>
      </c>
      <c r="S46">
        <v>-1E-3</v>
      </c>
      <c r="T46">
        <v>6.7000000000000004E-2</v>
      </c>
      <c r="U46">
        <v>6.5000000000000002E-2</v>
      </c>
      <c r="V46">
        <v>6.4000000000000001E-2</v>
      </c>
      <c r="W46">
        <v>1.9E-2</v>
      </c>
      <c r="X46">
        <v>8.9999999999999993E-3</v>
      </c>
      <c r="Y46">
        <v>5.1999999999999998E-2</v>
      </c>
      <c r="Z46">
        <v>0.14799999999999999</v>
      </c>
      <c r="AB46" s="6">
        <f t="shared" si="31"/>
        <v>0.105</v>
      </c>
      <c r="AC46" s="6">
        <f t="shared" si="32"/>
        <v>6.8000000000000005E-2</v>
      </c>
      <c r="AD46" s="6">
        <f t="shared" si="33"/>
        <v>3.6999999999999991E-2</v>
      </c>
      <c r="AE46" s="6"/>
      <c r="AF46" s="7">
        <f t="shared" si="34"/>
        <v>1326.9866666666665</v>
      </c>
      <c r="AG46" s="7">
        <f t="shared" si="35"/>
        <v>-130.98026666666635</v>
      </c>
      <c r="AH46" s="7">
        <f t="shared" si="36"/>
        <v>-130.98026666666664</v>
      </c>
      <c r="AJ46" s="8">
        <f t="shared" si="37"/>
        <v>7.8830891089108892</v>
      </c>
      <c r="AK46" s="4">
        <f t="shared" si="38"/>
        <v>-0.77810059405940402</v>
      </c>
      <c r="AM46" s="8">
        <f t="shared" si="39"/>
        <v>1.5441176470588234</v>
      </c>
      <c r="AN46" s="8">
        <f t="shared" si="40"/>
        <v>1.7988505747126435</v>
      </c>
      <c r="AP46" s="6">
        <f t="shared" si="41"/>
        <v>0.13900000000000001</v>
      </c>
      <c r="AQ46" s="6">
        <f t="shared" si="42"/>
        <v>5.8000000000000003E-2</v>
      </c>
      <c r="AR46" s="6">
        <f t="shared" si="43"/>
        <v>0.10200000000000001</v>
      </c>
      <c r="AT46" s="3">
        <f t="shared" si="44"/>
        <v>0.20948000000000003</v>
      </c>
      <c r="AU46" s="3">
        <f t="shared" si="45"/>
        <v>6.7089999999999997E-2</v>
      </c>
      <c r="AV46" s="3">
        <f t="shared" si="46"/>
        <v>4.5387999999999998E-2</v>
      </c>
      <c r="AX46" s="7">
        <f t="shared" si="47"/>
        <v>747.85419685653778</v>
      </c>
      <c r="AY46" s="7">
        <f t="shared" si="48"/>
        <v>1860.2255572329282</v>
      </c>
      <c r="AZ46" s="7">
        <f t="shared" si="49"/>
        <v>173.23664122137404</v>
      </c>
      <c r="BB46" s="3">
        <f t="shared" si="50"/>
        <v>1193.1299999999999</v>
      </c>
    </row>
    <row r="47" spans="1:54" x14ac:dyDescent="0.25">
      <c r="AB47" s="6"/>
      <c r="AC47" s="6"/>
      <c r="AD47" s="6"/>
      <c r="AE47" s="6"/>
      <c r="AF47" s="7"/>
      <c r="AG47" s="7"/>
      <c r="AH47" s="7"/>
      <c r="AJ47" s="8"/>
      <c r="AM47" s="8"/>
      <c r="AN47" s="8"/>
      <c r="AP47" s="6"/>
      <c r="AQ47" s="6"/>
      <c r="AR47" s="6"/>
      <c r="AX47" s="7"/>
      <c r="AY47" s="7"/>
      <c r="AZ47" s="7"/>
    </row>
    <row r="48" spans="1:54" x14ac:dyDescent="0.25">
      <c r="AB48" s="6"/>
      <c r="AC48" s="6"/>
      <c r="AD48" s="6"/>
      <c r="AE48" s="6"/>
      <c r="AF48" s="7"/>
      <c r="AG48" s="7"/>
      <c r="AH48" s="7"/>
      <c r="AJ48" s="8"/>
      <c r="AM48" s="8"/>
      <c r="AN48" s="8"/>
      <c r="AP48" s="6"/>
      <c r="AQ48" s="6"/>
      <c r="AR48" s="6"/>
      <c r="AX48" s="7"/>
      <c r="AY48" s="7"/>
      <c r="AZ48" s="7"/>
    </row>
    <row r="49" spans="28:52" x14ac:dyDescent="0.25">
      <c r="AB49" s="6"/>
      <c r="AC49" s="6"/>
      <c r="AD49" s="6"/>
      <c r="AE49" s="6"/>
      <c r="AF49" s="7"/>
      <c r="AG49" s="7"/>
      <c r="AH49" s="7"/>
      <c r="AJ49" s="8"/>
      <c r="AM49" s="8"/>
      <c r="AN49" s="8"/>
      <c r="AP49" s="6"/>
      <c r="AQ49" s="6"/>
      <c r="AR49" s="6"/>
      <c r="AX49" s="7"/>
      <c r="AY49" s="7"/>
      <c r="AZ49" s="7"/>
    </row>
  </sheetData>
  <conditionalFormatting sqref="H4:H6 S4:S6 S10:S44 H11:H44">
    <cfRule type="cellIs" dxfId="6" priority="43" operator="lessThan">
      <formula>-0.005</formula>
    </cfRule>
    <cfRule type="cellIs" dxfId="5" priority="44" operator="greaterThan">
      <formula>0.005</formula>
    </cfRule>
  </conditionalFormatting>
  <conditionalFormatting sqref="J4:J6 T4:T6 T10:T30 J11:J44">
    <cfRule type="cellIs" dxfId="4" priority="42" operator="lessThan">
      <formula>0.03</formula>
    </cfRule>
  </conditionalFormatting>
  <conditionalFormatting sqref="T31:T44">
    <cfRule type="cellIs" dxfId="3" priority="39" operator="lessThan">
      <formula>0.03</formula>
    </cfRule>
  </conditionalFormatting>
  <conditionalFormatting sqref="AM10:AN49">
    <cfRule type="cellIs" dxfId="1" priority="3" operator="between">
      <formula>1</formula>
      <formula>1.72</formula>
    </cfRule>
  </conditionalFormatting>
  <conditionalFormatting sqref="AF10:AH49">
    <cfRule type="cellIs" dxfId="0" priority="1" operator="lessThan">
      <formula>34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4"/>
  <sheetViews>
    <sheetView topLeftCell="A3" workbookViewId="0">
      <selection activeCell="A77" sqref="A77:J77"/>
    </sheetView>
  </sheetViews>
  <sheetFormatPr defaultRowHeight="14.5" x14ac:dyDescent="0.35"/>
  <cols>
    <col min="1" max="1" width="16.81640625" bestFit="1" customWidth="1"/>
    <col min="2" max="2" width="8.81640625" bestFit="1" customWidth="1"/>
    <col min="3" max="10" width="8" bestFit="1" customWidth="1"/>
    <col min="11" max="11" width="9.8164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B2" t="s">
        <v>11</v>
      </c>
    </row>
    <row r="3" spans="1:11" x14ac:dyDescent="0.35">
      <c r="B3" t="s">
        <v>11</v>
      </c>
    </row>
    <row r="4" spans="1:11" x14ac:dyDescent="0.35">
      <c r="B4" t="s">
        <v>11</v>
      </c>
    </row>
    <row r="5" spans="1:11" x14ac:dyDescent="0.35">
      <c r="B5" t="s">
        <v>11</v>
      </c>
    </row>
    <row r="6" spans="1:11" x14ac:dyDescent="0.35">
      <c r="B6" t="s">
        <v>11</v>
      </c>
    </row>
    <row r="7" spans="1:11" x14ac:dyDescent="0.35">
      <c r="B7" t="s">
        <v>11</v>
      </c>
    </row>
    <row r="8" spans="1:11" x14ac:dyDescent="0.35">
      <c r="B8" t="s">
        <v>11</v>
      </c>
    </row>
    <row r="9" spans="1:11" x14ac:dyDescent="0.35">
      <c r="B9" t="s">
        <v>11</v>
      </c>
    </row>
    <row r="10" spans="1:11" x14ac:dyDescent="0.35">
      <c r="B10" t="s">
        <v>11</v>
      </c>
    </row>
    <row r="11" spans="1:11" x14ac:dyDescent="0.35">
      <c r="B11" t="s">
        <v>11</v>
      </c>
    </row>
    <row r="12" spans="1:11" x14ac:dyDescent="0.35">
      <c r="B12" t="s">
        <v>11</v>
      </c>
    </row>
    <row r="13" spans="1:11" x14ac:dyDescent="0.35">
      <c r="B13" t="s">
        <v>11</v>
      </c>
    </row>
    <row r="14" spans="1:11" x14ac:dyDescent="0.35">
      <c r="A14" t="s">
        <v>81</v>
      </c>
      <c r="B14" t="s">
        <v>11</v>
      </c>
    </row>
    <row r="15" spans="1:11" x14ac:dyDescent="0.35">
      <c r="B15" t="s">
        <v>11</v>
      </c>
    </row>
    <row r="16" spans="1:11" x14ac:dyDescent="0.35">
      <c r="B16" t="s">
        <v>11</v>
      </c>
    </row>
    <row r="17" spans="1:2" x14ac:dyDescent="0.35">
      <c r="B17" t="s">
        <v>11</v>
      </c>
    </row>
    <row r="18" spans="1:2" x14ac:dyDescent="0.35">
      <c r="B18" t="s">
        <v>11</v>
      </c>
    </row>
    <row r="19" spans="1:2" x14ac:dyDescent="0.35">
      <c r="B19" t="s">
        <v>11</v>
      </c>
    </row>
    <row r="20" spans="1:2" x14ac:dyDescent="0.35">
      <c r="B20" t="s">
        <v>11</v>
      </c>
    </row>
    <row r="21" spans="1:2" x14ac:dyDescent="0.35">
      <c r="B21" t="s">
        <v>11</v>
      </c>
    </row>
    <row r="22" spans="1:2" x14ac:dyDescent="0.35">
      <c r="B22" t="s">
        <v>11</v>
      </c>
    </row>
    <row r="23" spans="1:2" x14ac:dyDescent="0.35">
      <c r="B23" t="s">
        <v>11</v>
      </c>
    </row>
    <row r="24" spans="1:2" x14ac:dyDescent="0.35">
      <c r="B24" t="s">
        <v>11</v>
      </c>
    </row>
    <row r="25" spans="1:2" x14ac:dyDescent="0.35">
      <c r="A25" t="s">
        <v>92</v>
      </c>
      <c r="B25" t="s">
        <v>11</v>
      </c>
    </row>
    <row r="26" spans="1:2" x14ac:dyDescent="0.35">
      <c r="B26" t="s">
        <v>11</v>
      </c>
    </row>
    <row r="27" spans="1:2" x14ac:dyDescent="0.35">
      <c r="B27" t="s">
        <v>11</v>
      </c>
    </row>
    <row r="28" spans="1:2" x14ac:dyDescent="0.35">
      <c r="B28" t="s">
        <v>11</v>
      </c>
    </row>
    <row r="29" spans="1:2" x14ac:dyDescent="0.35">
      <c r="B29" t="s">
        <v>11</v>
      </c>
    </row>
    <row r="30" spans="1:2" x14ac:dyDescent="0.35">
      <c r="B30" t="s">
        <v>11</v>
      </c>
    </row>
    <row r="31" spans="1:2" x14ac:dyDescent="0.35">
      <c r="B31" t="s">
        <v>11</v>
      </c>
    </row>
    <row r="32" spans="1:2" x14ac:dyDescent="0.35">
      <c r="B32" t="s">
        <v>11</v>
      </c>
    </row>
    <row r="33" spans="1:2" x14ac:dyDescent="0.35">
      <c r="B33" t="s">
        <v>11</v>
      </c>
    </row>
    <row r="34" spans="1:2" x14ac:dyDescent="0.35">
      <c r="B34" t="s">
        <v>11</v>
      </c>
    </row>
    <row r="35" spans="1:2" x14ac:dyDescent="0.35">
      <c r="B35" t="s">
        <v>11</v>
      </c>
    </row>
    <row r="36" spans="1:2" x14ac:dyDescent="0.35">
      <c r="A36" t="s">
        <v>103</v>
      </c>
      <c r="B36" t="s">
        <v>11</v>
      </c>
    </row>
    <row r="38" spans="1:2" x14ac:dyDescent="0.35">
      <c r="A38" t="s">
        <v>105</v>
      </c>
      <c r="B38" t="s">
        <v>11</v>
      </c>
    </row>
    <row r="39" spans="1:2" x14ac:dyDescent="0.35">
      <c r="A39" t="s">
        <v>106</v>
      </c>
      <c r="B39" t="s">
        <v>11</v>
      </c>
    </row>
    <row r="40" spans="1:2" x14ac:dyDescent="0.35">
      <c r="A40" t="s">
        <v>107</v>
      </c>
      <c r="B40" t="s">
        <v>11</v>
      </c>
    </row>
    <row r="41" spans="1:2" x14ac:dyDescent="0.35">
      <c r="A41" t="s">
        <v>108</v>
      </c>
      <c r="B41" t="s">
        <v>11</v>
      </c>
    </row>
    <row r="42" spans="1:2" x14ac:dyDescent="0.35">
      <c r="A42" t="s">
        <v>109</v>
      </c>
      <c r="B42" t="s">
        <v>11</v>
      </c>
    </row>
    <row r="84" spans="1:10" x14ac:dyDescent="0.35">
      <c r="A84" t="s">
        <v>150</v>
      </c>
      <c r="B84" t="s">
        <v>11</v>
      </c>
      <c r="C84">
        <v>-1E-3</v>
      </c>
      <c r="D84">
        <v>-1E-3</v>
      </c>
      <c r="E84">
        <v>-1E-3</v>
      </c>
      <c r="F84">
        <v>-1E-3</v>
      </c>
      <c r="G84">
        <v>-1E-3</v>
      </c>
      <c r="H84">
        <v>-1E-3</v>
      </c>
      <c r="I84">
        <v>-1E-3</v>
      </c>
      <c r="J84">
        <v>-1E-3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BC59"/>
  <sheetViews>
    <sheetView workbookViewId="0">
      <selection activeCell="A23" sqref="A23"/>
    </sheetView>
  </sheetViews>
  <sheetFormatPr defaultRowHeight="12.5" x14ac:dyDescent="0.25"/>
  <cols>
    <col min="1" max="1" width="35.26953125" style="3" customWidth="1"/>
    <col min="2" max="19" width="10.7265625" style="3" customWidth="1"/>
    <col min="20" max="21" width="10.7265625" style="4" customWidth="1"/>
    <col min="22" max="23" width="10.7265625" style="3" customWidth="1"/>
    <col min="24" max="30" width="8.7265625" style="3"/>
    <col min="31" max="31" width="12.7265625" style="3" customWidth="1"/>
    <col min="32" max="234" width="8.7265625" style="3"/>
    <col min="235" max="236" width="18.54296875" style="3" customWidth="1"/>
    <col min="237" max="252" width="8.7265625" style="3"/>
    <col min="253" max="253" width="13.81640625" style="3" customWidth="1"/>
    <col min="254" max="254" width="16.81640625" style="3" customWidth="1"/>
    <col min="255" max="490" width="8.7265625" style="3"/>
    <col min="491" max="492" width="18.54296875" style="3" customWidth="1"/>
    <col min="493" max="508" width="8.7265625" style="3"/>
    <col min="509" max="509" width="13.81640625" style="3" customWidth="1"/>
    <col min="510" max="510" width="16.81640625" style="3" customWidth="1"/>
    <col min="511" max="746" width="8.7265625" style="3"/>
    <col min="747" max="748" width="18.54296875" style="3" customWidth="1"/>
    <col min="749" max="764" width="8.7265625" style="3"/>
    <col min="765" max="765" width="13.81640625" style="3" customWidth="1"/>
    <col min="766" max="766" width="16.81640625" style="3" customWidth="1"/>
    <col min="767" max="1002" width="8.7265625" style="3"/>
    <col min="1003" max="1004" width="18.54296875" style="3" customWidth="1"/>
    <col min="1005" max="1020" width="8.7265625" style="3"/>
    <col min="1021" max="1021" width="13.81640625" style="3" customWidth="1"/>
    <col min="1022" max="1022" width="16.81640625" style="3" customWidth="1"/>
    <col min="1023" max="1258" width="8.7265625" style="3"/>
    <col min="1259" max="1260" width="18.54296875" style="3" customWidth="1"/>
    <col min="1261" max="1276" width="8.7265625" style="3"/>
    <col min="1277" max="1277" width="13.81640625" style="3" customWidth="1"/>
    <col min="1278" max="1278" width="16.81640625" style="3" customWidth="1"/>
    <col min="1279" max="1514" width="8.7265625" style="3"/>
    <col min="1515" max="1516" width="18.54296875" style="3" customWidth="1"/>
    <col min="1517" max="1532" width="8.7265625" style="3"/>
    <col min="1533" max="1533" width="13.81640625" style="3" customWidth="1"/>
    <col min="1534" max="1534" width="16.81640625" style="3" customWidth="1"/>
    <col min="1535" max="1770" width="8.7265625" style="3"/>
    <col min="1771" max="1772" width="18.54296875" style="3" customWidth="1"/>
    <col min="1773" max="1788" width="8.7265625" style="3"/>
    <col min="1789" max="1789" width="13.81640625" style="3" customWidth="1"/>
    <col min="1790" max="1790" width="16.81640625" style="3" customWidth="1"/>
    <col min="1791" max="2026" width="8.7265625" style="3"/>
    <col min="2027" max="2028" width="18.54296875" style="3" customWidth="1"/>
    <col min="2029" max="2044" width="8.7265625" style="3"/>
    <col min="2045" max="2045" width="13.81640625" style="3" customWidth="1"/>
    <col min="2046" max="2046" width="16.81640625" style="3" customWidth="1"/>
    <col min="2047" max="2282" width="8.7265625" style="3"/>
    <col min="2283" max="2284" width="18.54296875" style="3" customWidth="1"/>
    <col min="2285" max="2300" width="8.7265625" style="3"/>
    <col min="2301" max="2301" width="13.81640625" style="3" customWidth="1"/>
    <col min="2302" max="2302" width="16.81640625" style="3" customWidth="1"/>
    <col min="2303" max="2538" width="8.7265625" style="3"/>
    <col min="2539" max="2540" width="18.54296875" style="3" customWidth="1"/>
    <col min="2541" max="2556" width="8.7265625" style="3"/>
    <col min="2557" max="2557" width="13.81640625" style="3" customWidth="1"/>
    <col min="2558" max="2558" width="16.81640625" style="3" customWidth="1"/>
    <col min="2559" max="2794" width="8.7265625" style="3"/>
    <col min="2795" max="2796" width="18.54296875" style="3" customWidth="1"/>
    <col min="2797" max="2812" width="8.7265625" style="3"/>
    <col min="2813" max="2813" width="13.81640625" style="3" customWidth="1"/>
    <col min="2814" max="2814" width="16.81640625" style="3" customWidth="1"/>
    <col min="2815" max="3050" width="8.7265625" style="3"/>
    <col min="3051" max="3052" width="18.54296875" style="3" customWidth="1"/>
    <col min="3053" max="3068" width="8.7265625" style="3"/>
    <col min="3069" max="3069" width="13.81640625" style="3" customWidth="1"/>
    <col min="3070" max="3070" width="16.81640625" style="3" customWidth="1"/>
    <col min="3071" max="3306" width="8.7265625" style="3"/>
    <col min="3307" max="3308" width="18.54296875" style="3" customWidth="1"/>
    <col min="3309" max="3324" width="8.7265625" style="3"/>
    <col min="3325" max="3325" width="13.81640625" style="3" customWidth="1"/>
    <col min="3326" max="3326" width="16.81640625" style="3" customWidth="1"/>
    <col min="3327" max="3562" width="8.7265625" style="3"/>
    <col min="3563" max="3564" width="18.54296875" style="3" customWidth="1"/>
    <col min="3565" max="3580" width="8.7265625" style="3"/>
    <col min="3581" max="3581" width="13.81640625" style="3" customWidth="1"/>
    <col min="3582" max="3582" width="16.81640625" style="3" customWidth="1"/>
    <col min="3583" max="3818" width="8.7265625" style="3"/>
    <col min="3819" max="3820" width="18.54296875" style="3" customWidth="1"/>
    <col min="3821" max="3836" width="8.7265625" style="3"/>
    <col min="3837" max="3837" width="13.81640625" style="3" customWidth="1"/>
    <col min="3838" max="3838" width="16.81640625" style="3" customWidth="1"/>
    <col min="3839" max="4074" width="8.7265625" style="3"/>
    <col min="4075" max="4076" width="18.54296875" style="3" customWidth="1"/>
    <col min="4077" max="4092" width="8.7265625" style="3"/>
    <col min="4093" max="4093" width="13.81640625" style="3" customWidth="1"/>
    <col min="4094" max="4094" width="16.81640625" style="3" customWidth="1"/>
    <col min="4095" max="4330" width="8.7265625" style="3"/>
    <col min="4331" max="4332" width="18.54296875" style="3" customWidth="1"/>
    <col min="4333" max="4348" width="8.7265625" style="3"/>
    <col min="4349" max="4349" width="13.81640625" style="3" customWidth="1"/>
    <col min="4350" max="4350" width="16.81640625" style="3" customWidth="1"/>
    <col min="4351" max="4586" width="8.7265625" style="3"/>
    <col min="4587" max="4588" width="18.54296875" style="3" customWidth="1"/>
    <col min="4589" max="4604" width="8.7265625" style="3"/>
    <col min="4605" max="4605" width="13.81640625" style="3" customWidth="1"/>
    <col min="4606" max="4606" width="16.81640625" style="3" customWidth="1"/>
    <col min="4607" max="4842" width="8.7265625" style="3"/>
    <col min="4843" max="4844" width="18.54296875" style="3" customWidth="1"/>
    <col min="4845" max="4860" width="8.7265625" style="3"/>
    <col min="4861" max="4861" width="13.81640625" style="3" customWidth="1"/>
    <col min="4862" max="4862" width="16.81640625" style="3" customWidth="1"/>
    <col min="4863" max="5098" width="8.7265625" style="3"/>
    <col min="5099" max="5100" width="18.54296875" style="3" customWidth="1"/>
    <col min="5101" max="5116" width="8.7265625" style="3"/>
    <col min="5117" max="5117" width="13.81640625" style="3" customWidth="1"/>
    <col min="5118" max="5118" width="16.81640625" style="3" customWidth="1"/>
    <col min="5119" max="5354" width="8.7265625" style="3"/>
    <col min="5355" max="5356" width="18.54296875" style="3" customWidth="1"/>
    <col min="5357" max="5372" width="8.7265625" style="3"/>
    <col min="5373" max="5373" width="13.81640625" style="3" customWidth="1"/>
    <col min="5374" max="5374" width="16.81640625" style="3" customWidth="1"/>
    <col min="5375" max="5610" width="8.7265625" style="3"/>
    <col min="5611" max="5612" width="18.54296875" style="3" customWidth="1"/>
    <col min="5613" max="5628" width="8.7265625" style="3"/>
    <col min="5629" max="5629" width="13.81640625" style="3" customWidth="1"/>
    <col min="5630" max="5630" width="16.81640625" style="3" customWidth="1"/>
    <col min="5631" max="5866" width="8.7265625" style="3"/>
    <col min="5867" max="5868" width="18.54296875" style="3" customWidth="1"/>
    <col min="5869" max="5884" width="8.7265625" style="3"/>
    <col min="5885" max="5885" width="13.81640625" style="3" customWidth="1"/>
    <col min="5886" max="5886" width="16.81640625" style="3" customWidth="1"/>
    <col min="5887" max="6122" width="8.7265625" style="3"/>
    <col min="6123" max="6124" width="18.54296875" style="3" customWidth="1"/>
    <col min="6125" max="6140" width="8.7265625" style="3"/>
    <col min="6141" max="6141" width="13.81640625" style="3" customWidth="1"/>
    <col min="6142" max="6142" width="16.81640625" style="3" customWidth="1"/>
    <col min="6143" max="6378" width="8.7265625" style="3"/>
    <col min="6379" max="6380" width="18.54296875" style="3" customWidth="1"/>
    <col min="6381" max="6396" width="8.7265625" style="3"/>
    <col min="6397" max="6397" width="13.81640625" style="3" customWidth="1"/>
    <col min="6398" max="6398" width="16.81640625" style="3" customWidth="1"/>
    <col min="6399" max="6634" width="8.7265625" style="3"/>
    <col min="6635" max="6636" width="18.54296875" style="3" customWidth="1"/>
    <col min="6637" max="6652" width="8.7265625" style="3"/>
    <col min="6653" max="6653" width="13.81640625" style="3" customWidth="1"/>
    <col min="6654" max="6654" width="16.81640625" style="3" customWidth="1"/>
    <col min="6655" max="6890" width="8.7265625" style="3"/>
    <col min="6891" max="6892" width="18.54296875" style="3" customWidth="1"/>
    <col min="6893" max="6908" width="8.7265625" style="3"/>
    <col min="6909" max="6909" width="13.81640625" style="3" customWidth="1"/>
    <col min="6910" max="6910" width="16.81640625" style="3" customWidth="1"/>
    <col min="6911" max="7146" width="8.7265625" style="3"/>
    <col min="7147" max="7148" width="18.54296875" style="3" customWidth="1"/>
    <col min="7149" max="7164" width="8.7265625" style="3"/>
    <col min="7165" max="7165" width="13.81640625" style="3" customWidth="1"/>
    <col min="7166" max="7166" width="16.81640625" style="3" customWidth="1"/>
    <col min="7167" max="7402" width="8.7265625" style="3"/>
    <col min="7403" max="7404" width="18.54296875" style="3" customWidth="1"/>
    <col min="7405" max="7420" width="8.7265625" style="3"/>
    <col min="7421" max="7421" width="13.81640625" style="3" customWidth="1"/>
    <col min="7422" max="7422" width="16.81640625" style="3" customWidth="1"/>
    <col min="7423" max="7658" width="8.7265625" style="3"/>
    <col min="7659" max="7660" width="18.54296875" style="3" customWidth="1"/>
    <col min="7661" max="7676" width="8.7265625" style="3"/>
    <col min="7677" max="7677" width="13.81640625" style="3" customWidth="1"/>
    <col min="7678" max="7678" width="16.81640625" style="3" customWidth="1"/>
    <col min="7679" max="7914" width="8.7265625" style="3"/>
    <col min="7915" max="7916" width="18.54296875" style="3" customWidth="1"/>
    <col min="7917" max="7932" width="8.7265625" style="3"/>
    <col min="7933" max="7933" width="13.81640625" style="3" customWidth="1"/>
    <col min="7934" max="7934" width="16.81640625" style="3" customWidth="1"/>
    <col min="7935" max="8170" width="8.7265625" style="3"/>
    <col min="8171" max="8172" width="18.54296875" style="3" customWidth="1"/>
    <col min="8173" max="8188" width="8.7265625" style="3"/>
    <col min="8189" max="8189" width="13.81640625" style="3" customWidth="1"/>
    <col min="8190" max="8190" width="16.81640625" style="3" customWidth="1"/>
    <col min="8191" max="8426" width="8.7265625" style="3"/>
    <col min="8427" max="8428" width="18.54296875" style="3" customWidth="1"/>
    <col min="8429" max="8444" width="8.7265625" style="3"/>
    <col min="8445" max="8445" width="13.81640625" style="3" customWidth="1"/>
    <col min="8446" max="8446" width="16.81640625" style="3" customWidth="1"/>
    <col min="8447" max="8682" width="8.7265625" style="3"/>
    <col min="8683" max="8684" width="18.54296875" style="3" customWidth="1"/>
    <col min="8685" max="8700" width="8.7265625" style="3"/>
    <col min="8701" max="8701" width="13.81640625" style="3" customWidth="1"/>
    <col min="8702" max="8702" width="16.81640625" style="3" customWidth="1"/>
    <col min="8703" max="8938" width="8.7265625" style="3"/>
    <col min="8939" max="8940" width="18.54296875" style="3" customWidth="1"/>
    <col min="8941" max="8956" width="8.7265625" style="3"/>
    <col min="8957" max="8957" width="13.81640625" style="3" customWidth="1"/>
    <col min="8958" max="8958" width="16.81640625" style="3" customWidth="1"/>
    <col min="8959" max="9194" width="8.7265625" style="3"/>
    <col min="9195" max="9196" width="18.54296875" style="3" customWidth="1"/>
    <col min="9197" max="9212" width="8.7265625" style="3"/>
    <col min="9213" max="9213" width="13.81640625" style="3" customWidth="1"/>
    <col min="9214" max="9214" width="16.81640625" style="3" customWidth="1"/>
    <col min="9215" max="9450" width="8.7265625" style="3"/>
    <col min="9451" max="9452" width="18.54296875" style="3" customWidth="1"/>
    <col min="9453" max="9468" width="8.7265625" style="3"/>
    <col min="9469" max="9469" width="13.81640625" style="3" customWidth="1"/>
    <col min="9470" max="9470" width="16.81640625" style="3" customWidth="1"/>
    <col min="9471" max="9706" width="8.7265625" style="3"/>
    <col min="9707" max="9708" width="18.54296875" style="3" customWidth="1"/>
    <col min="9709" max="9724" width="8.7265625" style="3"/>
    <col min="9725" max="9725" width="13.81640625" style="3" customWidth="1"/>
    <col min="9726" max="9726" width="16.81640625" style="3" customWidth="1"/>
    <col min="9727" max="9962" width="8.7265625" style="3"/>
    <col min="9963" max="9964" width="18.54296875" style="3" customWidth="1"/>
    <col min="9965" max="9980" width="8.7265625" style="3"/>
    <col min="9981" max="9981" width="13.81640625" style="3" customWidth="1"/>
    <col min="9982" max="9982" width="16.81640625" style="3" customWidth="1"/>
    <col min="9983" max="10218" width="8.7265625" style="3"/>
    <col min="10219" max="10220" width="18.54296875" style="3" customWidth="1"/>
    <col min="10221" max="10236" width="8.7265625" style="3"/>
    <col min="10237" max="10237" width="13.81640625" style="3" customWidth="1"/>
    <col min="10238" max="10238" width="16.81640625" style="3" customWidth="1"/>
    <col min="10239" max="10474" width="8.7265625" style="3"/>
    <col min="10475" max="10476" width="18.54296875" style="3" customWidth="1"/>
    <col min="10477" max="10492" width="8.7265625" style="3"/>
    <col min="10493" max="10493" width="13.81640625" style="3" customWidth="1"/>
    <col min="10494" max="10494" width="16.81640625" style="3" customWidth="1"/>
    <col min="10495" max="10730" width="8.7265625" style="3"/>
    <col min="10731" max="10732" width="18.54296875" style="3" customWidth="1"/>
    <col min="10733" max="10748" width="8.7265625" style="3"/>
    <col min="10749" max="10749" width="13.81640625" style="3" customWidth="1"/>
    <col min="10750" max="10750" width="16.81640625" style="3" customWidth="1"/>
    <col min="10751" max="10986" width="8.7265625" style="3"/>
    <col min="10987" max="10988" width="18.54296875" style="3" customWidth="1"/>
    <col min="10989" max="11004" width="8.7265625" style="3"/>
    <col min="11005" max="11005" width="13.81640625" style="3" customWidth="1"/>
    <col min="11006" max="11006" width="16.81640625" style="3" customWidth="1"/>
    <col min="11007" max="11242" width="8.7265625" style="3"/>
    <col min="11243" max="11244" width="18.54296875" style="3" customWidth="1"/>
    <col min="11245" max="11260" width="8.7265625" style="3"/>
    <col min="11261" max="11261" width="13.81640625" style="3" customWidth="1"/>
    <col min="11262" max="11262" width="16.81640625" style="3" customWidth="1"/>
    <col min="11263" max="11498" width="8.7265625" style="3"/>
    <col min="11499" max="11500" width="18.54296875" style="3" customWidth="1"/>
    <col min="11501" max="11516" width="8.7265625" style="3"/>
    <col min="11517" max="11517" width="13.81640625" style="3" customWidth="1"/>
    <col min="11518" max="11518" width="16.81640625" style="3" customWidth="1"/>
    <col min="11519" max="11754" width="8.7265625" style="3"/>
    <col min="11755" max="11756" width="18.54296875" style="3" customWidth="1"/>
    <col min="11757" max="11772" width="8.7265625" style="3"/>
    <col min="11773" max="11773" width="13.81640625" style="3" customWidth="1"/>
    <col min="11774" max="11774" width="16.81640625" style="3" customWidth="1"/>
    <col min="11775" max="12010" width="8.7265625" style="3"/>
    <col min="12011" max="12012" width="18.54296875" style="3" customWidth="1"/>
    <col min="12013" max="12028" width="8.7265625" style="3"/>
    <col min="12029" max="12029" width="13.81640625" style="3" customWidth="1"/>
    <col min="12030" max="12030" width="16.81640625" style="3" customWidth="1"/>
    <col min="12031" max="12266" width="8.7265625" style="3"/>
    <col min="12267" max="12268" width="18.54296875" style="3" customWidth="1"/>
    <col min="12269" max="12284" width="8.7265625" style="3"/>
    <col min="12285" max="12285" width="13.81640625" style="3" customWidth="1"/>
    <col min="12286" max="12286" width="16.81640625" style="3" customWidth="1"/>
    <col min="12287" max="12522" width="8.7265625" style="3"/>
    <col min="12523" max="12524" width="18.54296875" style="3" customWidth="1"/>
    <col min="12525" max="12540" width="8.7265625" style="3"/>
    <col min="12541" max="12541" width="13.81640625" style="3" customWidth="1"/>
    <col min="12542" max="12542" width="16.81640625" style="3" customWidth="1"/>
    <col min="12543" max="12778" width="8.7265625" style="3"/>
    <col min="12779" max="12780" width="18.54296875" style="3" customWidth="1"/>
    <col min="12781" max="12796" width="8.7265625" style="3"/>
    <col min="12797" max="12797" width="13.81640625" style="3" customWidth="1"/>
    <col min="12798" max="12798" width="16.81640625" style="3" customWidth="1"/>
    <col min="12799" max="13034" width="8.7265625" style="3"/>
    <col min="13035" max="13036" width="18.54296875" style="3" customWidth="1"/>
    <col min="13037" max="13052" width="8.7265625" style="3"/>
    <col min="13053" max="13053" width="13.81640625" style="3" customWidth="1"/>
    <col min="13054" max="13054" width="16.81640625" style="3" customWidth="1"/>
    <col min="13055" max="13290" width="8.7265625" style="3"/>
    <col min="13291" max="13292" width="18.54296875" style="3" customWidth="1"/>
    <col min="13293" max="13308" width="8.7265625" style="3"/>
    <col min="13309" max="13309" width="13.81640625" style="3" customWidth="1"/>
    <col min="13310" max="13310" width="16.81640625" style="3" customWidth="1"/>
    <col min="13311" max="13546" width="8.7265625" style="3"/>
    <col min="13547" max="13548" width="18.54296875" style="3" customWidth="1"/>
    <col min="13549" max="13564" width="8.7265625" style="3"/>
    <col min="13565" max="13565" width="13.81640625" style="3" customWidth="1"/>
    <col min="13566" max="13566" width="16.81640625" style="3" customWidth="1"/>
    <col min="13567" max="13802" width="8.7265625" style="3"/>
    <col min="13803" max="13804" width="18.54296875" style="3" customWidth="1"/>
    <col min="13805" max="13820" width="8.7265625" style="3"/>
    <col min="13821" max="13821" width="13.81640625" style="3" customWidth="1"/>
    <col min="13822" max="13822" width="16.81640625" style="3" customWidth="1"/>
    <col min="13823" max="14058" width="8.7265625" style="3"/>
    <col min="14059" max="14060" width="18.54296875" style="3" customWidth="1"/>
    <col min="14061" max="14076" width="8.7265625" style="3"/>
    <col min="14077" max="14077" width="13.81640625" style="3" customWidth="1"/>
    <col min="14078" max="14078" width="16.81640625" style="3" customWidth="1"/>
    <col min="14079" max="14314" width="8.7265625" style="3"/>
    <col min="14315" max="14316" width="18.54296875" style="3" customWidth="1"/>
    <col min="14317" max="14332" width="8.7265625" style="3"/>
    <col min="14333" max="14333" width="13.81640625" style="3" customWidth="1"/>
    <col min="14334" max="14334" width="16.81640625" style="3" customWidth="1"/>
    <col min="14335" max="14570" width="8.7265625" style="3"/>
    <col min="14571" max="14572" width="18.54296875" style="3" customWidth="1"/>
    <col min="14573" max="14588" width="8.7265625" style="3"/>
    <col min="14589" max="14589" width="13.81640625" style="3" customWidth="1"/>
    <col min="14590" max="14590" width="16.81640625" style="3" customWidth="1"/>
    <col min="14591" max="14826" width="8.7265625" style="3"/>
    <col min="14827" max="14828" width="18.54296875" style="3" customWidth="1"/>
    <col min="14829" max="14844" width="8.7265625" style="3"/>
    <col min="14845" max="14845" width="13.81640625" style="3" customWidth="1"/>
    <col min="14846" max="14846" width="16.81640625" style="3" customWidth="1"/>
    <col min="14847" max="15082" width="8.7265625" style="3"/>
    <col min="15083" max="15084" width="18.54296875" style="3" customWidth="1"/>
    <col min="15085" max="15100" width="8.7265625" style="3"/>
    <col min="15101" max="15101" width="13.81640625" style="3" customWidth="1"/>
    <col min="15102" max="15102" width="16.81640625" style="3" customWidth="1"/>
    <col min="15103" max="15338" width="8.7265625" style="3"/>
    <col min="15339" max="15340" width="18.54296875" style="3" customWidth="1"/>
    <col min="15341" max="15356" width="8.7265625" style="3"/>
    <col min="15357" max="15357" width="13.81640625" style="3" customWidth="1"/>
    <col min="15358" max="15358" width="16.81640625" style="3" customWidth="1"/>
    <col min="15359" max="15594" width="8.7265625" style="3"/>
    <col min="15595" max="15596" width="18.54296875" style="3" customWidth="1"/>
    <col min="15597" max="15612" width="8.7265625" style="3"/>
    <col min="15613" max="15613" width="13.81640625" style="3" customWidth="1"/>
    <col min="15614" max="15614" width="16.81640625" style="3" customWidth="1"/>
    <col min="15615" max="15850" width="8.7265625" style="3"/>
    <col min="15851" max="15852" width="18.54296875" style="3" customWidth="1"/>
    <col min="15853" max="15868" width="8.7265625" style="3"/>
    <col min="15869" max="15869" width="13.81640625" style="3" customWidth="1"/>
    <col min="15870" max="15870" width="16.81640625" style="3" customWidth="1"/>
    <col min="15871" max="16106" width="8.7265625" style="3"/>
    <col min="16107" max="16108" width="18.54296875" style="3" customWidth="1"/>
    <col min="16109" max="16124" width="8.7265625" style="3"/>
    <col min="16125" max="16125" width="13.81640625" style="3" customWidth="1"/>
    <col min="16126" max="16126" width="16.81640625" style="3" customWidth="1"/>
    <col min="16127" max="16384" width="8.7265625" style="3"/>
  </cols>
  <sheetData>
    <row r="23" spans="1:55" s="1" customFormat="1" ht="162.5" x14ac:dyDescent="0.25">
      <c r="A23" s="1" t="s">
        <v>0</v>
      </c>
      <c r="B23" s="1" t="s">
        <v>12</v>
      </c>
      <c r="C23" s="1" t="s">
        <v>13</v>
      </c>
      <c r="D23" s="1" t="s">
        <v>14</v>
      </c>
      <c r="E23" s="1" t="s">
        <v>10</v>
      </c>
      <c r="H23" s="1" t="s">
        <v>15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15</v>
      </c>
      <c r="N23" s="1" t="s">
        <v>15</v>
      </c>
      <c r="O23" s="1" t="s">
        <v>15</v>
      </c>
      <c r="S23" s="1" t="s">
        <v>16</v>
      </c>
      <c r="T23" s="1" t="s">
        <v>16</v>
      </c>
      <c r="U23" s="1" t="s">
        <v>16</v>
      </c>
      <c r="V23" s="1" t="s">
        <v>16</v>
      </c>
      <c r="W23" s="1" t="s">
        <v>16</v>
      </c>
      <c r="X23" s="1" t="s">
        <v>16</v>
      </c>
      <c r="Y23" s="1" t="s">
        <v>16</v>
      </c>
      <c r="Z23" s="1" t="s">
        <v>16</v>
      </c>
      <c r="AB23" s="1" t="s">
        <v>57</v>
      </c>
      <c r="AC23" s="1" t="s">
        <v>58</v>
      </c>
      <c r="AD23" s="1" t="s">
        <v>17</v>
      </c>
      <c r="AF23" s="1" t="s">
        <v>18</v>
      </c>
      <c r="AG23" s="1" t="s">
        <v>19</v>
      </c>
      <c r="AH23" s="1" t="s">
        <v>59</v>
      </c>
      <c r="AJ23" s="2" t="s">
        <v>20</v>
      </c>
      <c r="AK23" s="2" t="s">
        <v>21</v>
      </c>
      <c r="AM23" s="1" t="s">
        <v>22</v>
      </c>
      <c r="AN23" s="1" t="s">
        <v>63</v>
      </c>
      <c r="AP23" s="1" t="s">
        <v>54</v>
      </c>
      <c r="AQ23" s="1" t="s">
        <v>55</v>
      </c>
      <c r="AR23" s="1" t="s">
        <v>56</v>
      </c>
      <c r="AT23" s="1" t="s">
        <v>23</v>
      </c>
      <c r="AU23" s="1" t="s">
        <v>24</v>
      </c>
      <c r="AV23" s="1" t="s">
        <v>25</v>
      </c>
      <c r="AX23" s="1" t="s">
        <v>26</v>
      </c>
      <c r="AY23" s="1" t="s">
        <v>27</v>
      </c>
      <c r="AZ23" s="1" t="s">
        <v>28</v>
      </c>
      <c r="BB23" s="1" t="s">
        <v>29</v>
      </c>
    </row>
    <row r="24" spans="1:55" ht="14.5" x14ac:dyDescent="0.35">
      <c r="A24"/>
      <c r="B24"/>
      <c r="C24"/>
      <c r="D24"/>
      <c r="E24"/>
      <c r="F24" t="s">
        <v>0</v>
      </c>
      <c r="G24" t="s">
        <v>1</v>
      </c>
      <c r="H24" t="s">
        <v>2</v>
      </c>
      <c r="I24" t="s">
        <v>3</v>
      </c>
      <c r="J24" t="s">
        <v>4</v>
      </c>
      <c r="K24" t="s">
        <v>5</v>
      </c>
      <c r="L24" t="s">
        <v>6</v>
      </c>
      <c r="M24" t="s">
        <v>7</v>
      </c>
      <c r="N24" t="s">
        <v>8</v>
      </c>
      <c r="O24" t="s">
        <v>9</v>
      </c>
      <c r="P24" t="s">
        <v>10</v>
      </c>
      <c r="Q24" t="s">
        <v>0</v>
      </c>
      <c r="R24" t="s">
        <v>1</v>
      </c>
      <c r="S24" t="s">
        <v>2</v>
      </c>
      <c r="T24" t="s">
        <v>3</v>
      </c>
      <c r="U24" t="s">
        <v>4</v>
      </c>
      <c r="V24" t="s">
        <v>5</v>
      </c>
      <c r="W24" t="s">
        <v>6</v>
      </c>
      <c r="X24" t="s">
        <v>7</v>
      </c>
      <c r="Y24" t="s">
        <v>8</v>
      </c>
      <c r="Z24" t="s">
        <v>9</v>
      </c>
      <c r="AA24" t="s">
        <v>10</v>
      </c>
      <c r="AB24" s="6"/>
      <c r="AC24" s="6"/>
      <c r="AD24" s="6"/>
      <c r="AE24" s="6"/>
      <c r="AF24" s="7"/>
      <c r="AG24" s="7"/>
      <c r="AH24" s="7"/>
      <c r="AJ24" s="4"/>
      <c r="AK24" s="4"/>
      <c r="AM24" s="8"/>
      <c r="AP24" s="6"/>
      <c r="AV24" s="7"/>
      <c r="AW24" s="7"/>
      <c r="AX24" s="7"/>
    </row>
    <row r="25" spans="1:55" s="1" customFormat="1" ht="62.5" x14ac:dyDescent="0.25">
      <c r="C25" s="1" t="s">
        <v>30</v>
      </c>
      <c r="H25" s="1" t="s">
        <v>31</v>
      </c>
      <c r="J25" s="1" t="s">
        <v>64</v>
      </c>
      <c r="AD25" s="1" t="s">
        <v>32</v>
      </c>
      <c r="AF25" s="5" t="s">
        <v>33</v>
      </c>
      <c r="AG25" s="5" t="s">
        <v>33</v>
      </c>
      <c r="AH25" s="5"/>
      <c r="AJ25" s="2"/>
      <c r="AK25" s="2"/>
      <c r="AM25" s="1" t="s">
        <v>34</v>
      </c>
      <c r="AN25" s="21"/>
    </row>
    <row r="26" spans="1:55" ht="14.5" x14ac:dyDescent="0.35">
      <c r="B26" s="9">
        <v>42759</v>
      </c>
      <c r="C26" s="3">
        <v>500</v>
      </c>
      <c r="D26" s="3">
        <v>6</v>
      </c>
      <c r="H26" s="22">
        <v>8.9999999999999993E-3</v>
      </c>
      <c r="I26" s="22">
        <v>0.65500000000000003</v>
      </c>
      <c r="J26" s="22">
        <v>0.65</v>
      </c>
      <c r="S26" s="22">
        <v>8.9999999999999993E-3</v>
      </c>
      <c r="T26" s="22">
        <v>0.51900000000000002</v>
      </c>
      <c r="U26" s="22">
        <v>0.51200000000000001</v>
      </c>
      <c r="AB26" s="3">
        <v>0.64100000000000001</v>
      </c>
      <c r="AC26" s="3">
        <v>0.51</v>
      </c>
      <c r="AD26" s="3">
        <v>0.13100000000000001</v>
      </c>
      <c r="AF26" s="7">
        <v>377.01800000000003</v>
      </c>
      <c r="AG26" s="7">
        <v>679.78359999999986</v>
      </c>
      <c r="AH26" s="7"/>
      <c r="AJ26" s="4">
        <v>75.508399999999995</v>
      </c>
      <c r="AK26" s="4">
        <v>136.14568</v>
      </c>
      <c r="AM26" s="8">
        <v>1.2568627450980392</v>
      </c>
      <c r="AN26" s="8"/>
      <c r="AT26" s="6"/>
      <c r="AU26" s="6"/>
      <c r="AV26" s="6"/>
      <c r="AW26" s="6"/>
      <c r="AX26" s="7"/>
      <c r="AY26" s="7"/>
      <c r="AZ26" s="7"/>
      <c r="BA26" s="7"/>
      <c r="BB26" s="7"/>
      <c r="BC26" s="7"/>
    </row>
    <row r="27" spans="1:55" ht="14.5" x14ac:dyDescent="0.35">
      <c r="B27" s="9">
        <v>42759</v>
      </c>
      <c r="C27" s="3">
        <v>500</v>
      </c>
      <c r="D27" s="3">
        <v>6</v>
      </c>
      <c r="H27" s="22">
        <v>-2E-3</v>
      </c>
      <c r="I27" s="22">
        <v>7.4999999999999997E-2</v>
      </c>
      <c r="J27" s="22">
        <v>7.4999999999999997E-2</v>
      </c>
      <c r="S27" s="22">
        <v>3.0000000000000001E-3</v>
      </c>
      <c r="T27" s="22">
        <v>6.5000000000000002E-2</v>
      </c>
      <c r="U27" s="22">
        <v>6.5000000000000002E-2</v>
      </c>
      <c r="AB27" s="3">
        <v>7.6999999999999999E-2</v>
      </c>
      <c r="AC27" s="3">
        <v>6.2E-2</v>
      </c>
      <c r="AD27" s="3">
        <v>1.4999999999999999E-2</v>
      </c>
      <c r="AF27" s="7">
        <v>431.7</v>
      </c>
      <c r="AG27" s="7">
        <v>853.03919999999994</v>
      </c>
      <c r="AH27" s="7"/>
      <c r="AJ27" s="4">
        <v>8.645999999999999</v>
      </c>
      <c r="AK27" s="4">
        <v>17.084496000000001</v>
      </c>
      <c r="AM27" s="8">
        <v>1.2419354838709677</v>
      </c>
      <c r="AN27" s="8"/>
      <c r="AT27" s="6"/>
      <c r="AU27" s="6"/>
      <c r="AV27" s="6"/>
      <c r="AW27" s="6"/>
      <c r="AX27" s="7"/>
      <c r="AY27" s="7"/>
      <c r="AZ27" s="7"/>
      <c r="BA27" s="7"/>
      <c r="BB27" s="7"/>
      <c r="BC27" s="7"/>
    </row>
    <row r="28" spans="1:55" ht="14.5" x14ac:dyDescent="0.35">
      <c r="B28" s="9">
        <v>42767</v>
      </c>
      <c r="C28" s="3">
        <v>500</v>
      </c>
      <c r="D28" s="3">
        <v>6</v>
      </c>
      <c r="H28" s="22">
        <v>-1.2E-2</v>
      </c>
      <c r="I28" s="22">
        <v>6.8000000000000005E-2</v>
      </c>
      <c r="J28" s="22">
        <v>6.7000000000000004E-2</v>
      </c>
      <c r="S28" s="22">
        <v>-5.0000000000000001E-3</v>
      </c>
      <c r="T28" s="22">
        <v>5.7000000000000002E-2</v>
      </c>
      <c r="U28" s="22">
        <v>5.7000000000000002E-2</v>
      </c>
      <c r="AB28" s="3">
        <v>7.9000000000000001E-2</v>
      </c>
      <c r="AC28" s="3">
        <v>6.2E-2</v>
      </c>
      <c r="AD28" s="3">
        <v>1.7000000000000001E-2</v>
      </c>
      <c r="AF28" s="7">
        <v>489.26000000000005</v>
      </c>
      <c r="AG28" s="7">
        <v>795.47919999999999</v>
      </c>
      <c r="AH28" s="7"/>
      <c r="AJ28" s="4">
        <v>9.7988000000000017</v>
      </c>
      <c r="AK28" s="4">
        <v>15.931695999999999</v>
      </c>
      <c r="AM28" s="8">
        <v>1.2741935483870968</v>
      </c>
      <c r="AN28" s="8"/>
      <c r="AT28" s="6"/>
      <c r="AU28" s="6"/>
      <c r="AV28" s="6"/>
      <c r="AW28" s="6"/>
      <c r="AX28" s="7"/>
      <c r="AY28" s="7"/>
      <c r="AZ28" s="7"/>
      <c r="BA28" s="7"/>
      <c r="BB28" s="7"/>
      <c r="BC28" s="7"/>
    </row>
    <row r="29" spans="1:55" ht="14.5" x14ac:dyDescent="0.35">
      <c r="B29" s="9">
        <v>42864</v>
      </c>
      <c r="C29" s="3">
        <v>500</v>
      </c>
      <c r="D29" s="3">
        <v>6</v>
      </c>
      <c r="H29" s="22">
        <v>-4.0000000000000001E-3</v>
      </c>
      <c r="I29" s="22">
        <v>7.0000000000000007E-2</v>
      </c>
      <c r="J29" s="22">
        <v>7.0999999999999994E-2</v>
      </c>
      <c r="S29" s="22">
        <v>-3.0000000000000001E-3</v>
      </c>
      <c r="T29" s="22">
        <v>5.6000000000000001E-2</v>
      </c>
      <c r="U29" s="22">
        <v>5.6000000000000001E-2</v>
      </c>
      <c r="AB29" s="3">
        <v>7.4999999999999997E-2</v>
      </c>
      <c r="AC29" s="3">
        <v>5.9000000000000004E-2</v>
      </c>
      <c r="AD29" s="3">
        <v>1.5999999999999993E-2</v>
      </c>
      <c r="AF29" s="7">
        <v>460.47999999999979</v>
      </c>
      <c r="AG29" s="7">
        <v>762.09440000000006</v>
      </c>
      <c r="AH29" s="7"/>
      <c r="AJ29" s="4">
        <v>9.2223999999999968</v>
      </c>
      <c r="AK29" s="4">
        <v>15.263072000000003</v>
      </c>
      <c r="AM29" s="8">
        <v>1.271186440677966</v>
      </c>
      <c r="AN29" s="8"/>
      <c r="AT29" s="6"/>
      <c r="AU29" s="6"/>
      <c r="AV29" s="6"/>
      <c r="AW29" s="6"/>
      <c r="AX29" s="7"/>
      <c r="AY29" s="7"/>
      <c r="AZ29" s="7"/>
      <c r="BA29" s="7"/>
      <c r="BB29" s="7"/>
      <c r="BC29" s="7"/>
    </row>
    <row r="30" spans="1:55" x14ac:dyDescent="0.25">
      <c r="B30" s="9">
        <v>43046</v>
      </c>
      <c r="C30" s="3">
        <v>500</v>
      </c>
      <c r="D30" s="3">
        <v>6</v>
      </c>
      <c r="H30" s="3">
        <v>2E-3</v>
      </c>
      <c r="I30" s="3">
        <v>7.6999999999999999E-2</v>
      </c>
      <c r="J30" s="3">
        <v>7.6999999999999999E-2</v>
      </c>
      <c r="S30" s="3">
        <v>2E-3</v>
      </c>
      <c r="T30" s="3">
        <v>5.8000000000000003E-2</v>
      </c>
      <c r="U30" s="3">
        <v>5.7000000000000002E-2</v>
      </c>
      <c r="AB30" s="3">
        <v>7.4999999999999997E-2</v>
      </c>
      <c r="AC30" s="3">
        <v>5.6000000000000001E-2</v>
      </c>
      <c r="AD30" s="3">
        <v>1.8999999999999996E-2</v>
      </c>
      <c r="AF30" s="7">
        <v>546.81999999999994</v>
      </c>
      <c r="AG30" s="7">
        <v>613.58960000000013</v>
      </c>
      <c r="AH30" s="7"/>
      <c r="AJ30" s="4">
        <v>10.951599999999997</v>
      </c>
      <c r="AK30" s="4">
        <v>12.288848000000003</v>
      </c>
      <c r="AM30" s="8">
        <v>1.3392857142857142</v>
      </c>
      <c r="AN30" s="8"/>
      <c r="AT30" s="6"/>
      <c r="AU30" s="6"/>
      <c r="AV30" s="6"/>
      <c r="AW30" s="6"/>
      <c r="AX30" s="7"/>
      <c r="AY30" s="7"/>
      <c r="AZ30" s="7"/>
      <c r="BA30" s="7"/>
      <c r="BB30" s="7"/>
      <c r="BC30" s="7"/>
    </row>
    <row r="31" spans="1:55" x14ac:dyDescent="0.25">
      <c r="B31" s="9">
        <v>43151</v>
      </c>
      <c r="C31" s="3">
        <v>500</v>
      </c>
      <c r="D31" s="3">
        <v>6</v>
      </c>
      <c r="H31" s="3">
        <v>-1E-3</v>
      </c>
      <c r="I31" s="3">
        <v>7.2999999999999995E-2</v>
      </c>
      <c r="J31" s="3">
        <v>7.3999999999999996E-2</v>
      </c>
      <c r="S31" s="3">
        <v>-1E-3</v>
      </c>
      <c r="T31" s="3">
        <v>5.7000000000000002E-2</v>
      </c>
      <c r="U31" s="3">
        <v>5.8000000000000003E-2</v>
      </c>
      <c r="AB31" s="3">
        <v>6.4000000000000001E-2</v>
      </c>
      <c r="AC31" s="3">
        <v>4.7E-2</v>
      </c>
      <c r="AD31" s="3">
        <v>1.7000000000000001E-2</v>
      </c>
      <c r="AF31" s="7">
        <v>489.26000000000005</v>
      </c>
      <c r="AG31" s="7">
        <v>484.65519999999981</v>
      </c>
      <c r="AH31" s="7"/>
      <c r="AJ31" s="4">
        <v>9.7988000000000017</v>
      </c>
      <c r="AK31" s="4">
        <v>9.7065759999999965</v>
      </c>
      <c r="AM31" s="8">
        <v>1.3617021276595744</v>
      </c>
      <c r="AN31" s="8"/>
      <c r="AT31" s="6"/>
      <c r="AU31" s="6"/>
      <c r="AV31" s="6"/>
      <c r="AW31" s="6"/>
      <c r="AX31" s="7"/>
      <c r="AY31" s="7"/>
      <c r="AZ31" s="7"/>
      <c r="BA31" s="7"/>
      <c r="BB31" s="7"/>
      <c r="BC31" s="7"/>
    </row>
    <row r="32" spans="1:55" x14ac:dyDescent="0.25">
      <c r="A32" s="3" t="s">
        <v>65</v>
      </c>
      <c r="B32" s="9">
        <v>43238</v>
      </c>
      <c r="C32" s="3">
        <v>500</v>
      </c>
      <c r="D32" s="3">
        <v>6</v>
      </c>
      <c r="F32" s="3" t="s">
        <v>65</v>
      </c>
      <c r="G32" s="3" t="s">
        <v>11</v>
      </c>
      <c r="H32" s="3">
        <v>-2.5000000000000001E-2</v>
      </c>
      <c r="I32" s="3">
        <v>4.9000000000000002E-2</v>
      </c>
      <c r="J32" s="3">
        <v>4.8000000000000001E-2</v>
      </c>
      <c r="K32" s="3">
        <v>4.7E-2</v>
      </c>
      <c r="L32" s="3" t="s">
        <v>66</v>
      </c>
      <c r="M32" s="3" t="s">
        <v>66</v>
      </c>
      <c r="N32" s="3">
        <v>2.9000000000000001E-2</v>
      </c>
      <c r="O32" s="3">
        <v>9.8000000000000004E-2</v>
      </c>
      <c r="Q32" s="3" t="s">
        <v>65</v>
      </c>
      <c r="S32" s="3">
        <v>-2.4E-2</v>
      </c>
      <c r="T32" s="3">
        <v>3.4000000000000002E-2</v>
      </c>
      <c r="U32" s="3">
        <v>3.4000000000000002E-2</v>
      </c>
      <c r="V32" s="3">
        <v>3.3000000000000002E-2</v>
      </c>
      <c r="W32" s="3" t="s">
        <v>66</v>
      </c>
      <c r="X32" s="3" t="s">
        <v>66</v>
      </c>
      <c r="Y32" s="3">
        <v>2.9000000000000001E-2</v>
      </c>
      <c r="Z32" s="3">
        <v>0.10100000000000001</v>
      </c>
      <c r="AB32" s="3">
        <v>7.3000000000000009E-2</v>
      </c>
      <c r="AC32" s="3">
        <v>5.8000000000000003E-2</v>
      </c>
      <c r="AD32" s="3">
        <v>1.5000000000000006E-2</v>
      </c>
      <c r="AF32" s="7">
        <v>429.60000000000019</v>
      </c>
      <c r="AG32" s="7">
        <v>766.40639999999973</v>
      </c>
      <c r="AH32" s="7">
        <v>799.24693333333323</v>
      </c>
      <c r="AJ32" s="4">
        <v>5.1552000000000024</v>
      </c>
      <c r="AK32" s="4">
        <v>9.1968767999999965</v>
      </c>
      <c r="AM32" s="8">
        <v>1.2586206896551726</v>
      </c>
      <c r="AN32" s="8">
        <v>1.2443181818181819</v>
      </c>
      <c r="AP32" s="3">
        <v>0.123</v>
      </c>
      <c r="AQ32" s="3">
        <v>5.4000000000000006E-2</v>
      </c>
      <c r="AR32" s="3">
        <v>7.2000000000000008E-2</v>
      </c>
      <c r="AT32" s="6">
        <v>0.17022000000000001</v>
      </c>
      <c r="AU32" s="6">
        <v>4.0770000000000001E-2</v>
      </c>
      <c r="AV32" s="6">
        <v>4.3368000000000004E-2</v>
      </c>
      <c r="AW32" s="6"/>
      <c r="AX32" s="7">
        <v>454.46438524133322</v>
      </c>
      <c r="AY32" s="7">
        <v>1511.5886688571175</v>
      </c>
      <c r="AZ32" s="7">
        <v>165.52671755725194</v>
      </c>
      <c r="BA32" s="7"/>
      <c r="BB32" s="7" t="e">
        <v>#VALUE!</v>
      </c>
      <c r="BC32" s="7"/>
    </row>
    <row r="33" spans="1:55" ht="14.5" x14ac:dyDescent="0.35">
      <c r="A33" t="s">
        <v>67</v>
      </c>
      <c r="B33" s="9">
        <v>43340</v>
      </c>
      <c r="C33" s="3">
        <v>500</v>
      </c>
      <c r="D33" s="3">
        <v>6</v>
      </c>
      <c r="F33" s="3" t="s">
        <v>67</v>
      </c>
      <c r="G33" s="3" t="s">
        <v>11</v>
      </c>
      <c r="H33" s="3">
        <v>2E-3</v>
      </c>
      <c r="I33" s="3">
        <v>8.2000000000000003E-2</v>
      </c>
      <c r="J33" s="3">
        <v>8.1000000000000003E-2</v>
      </c>
      <c r="K33" s="3">
        <v>3.1E-2</v>
      </c>
      <c r="L33" s="3" t="s">
        <v>66</v>
      </c>
      <c r="M33" s="3" t="s">
        <v>66</v>
      </c>
      <c r="N33" s="3">
        <v>1.0999999999999999E-2</v>
      </c>
      <c r="O33" s="3">
        <v>8.7999999999999995E-2</v>
      </c>
      <c r="Q33" s="3" t="s">
        <v>67</v>
      </c>
      <c r="S33" s="3">
        <v>-1E-3</v>
      </c>
      <c r="T33" s="3">
        <v>5.5E-2</v>
      </c>
      <c r="U33" s="3">
        <v>5.5E-2</v>
      </c>
      <c r="W33" s="3" t="s">
        <v>66</v>
      </c>
      <c r="X33" s="3" t="s">
        <v>66</v>
      </c>
      <c r="AB33" s="3">
        <v>7.9000000000000001E-2</v>
      </c>
      <c r="AC33" s="3">
        <v>5.6000000000000001E-2</v>
      </c>
      <c r="AD33" s="3">
        <v>2.3E-2</v>
      </c>
      <c r="AF33" s="7">
        <v>658.72</v>
      </c>
      <c r="AG33" s="7">
        <v>496.04480000000007</v>
      </c>
      <c r="AH33" s="7">
        <v>528.88533333333351</v>
      </c>
      <c r="AJ33" s="4">
        <v>7.9046400000000006</v>
      </c>
      <c r="AK33" s="4">
        <v>5.9525376000000003</v>
      </c>
      <c r="AM33" s="8">
        <v>1.4107142857142858</v>
      </c>
      <c r="AN33" s="8">
        <v>1.3941176470588235</v>
      </c>
      <c r="AP33" s="3">
        <v>8.5999999999999993E-2</v>
      </c>
      <c r="AQ33" s="3">
        <v>8.9999999999999993E-3</v>
      </c>
      <c r="AR33" s="3">
        <v>2.8999999999999998E-2</v>
      </c>
      <c r="AT33" s="6">
        <v>0.10991999999999999</v>
      </c>
      <c r="AU33" s="6">
        <v>6.4499999999999974E-3</v>
      </c>
      <c r="AV33" s="6">
        <v>1.5459999999999992E-3</v>
      </c>
      <c r="AW33" s="6"/>
      <c r="AX33" s="7">
        <v>71.898339092631787</v>
      </c>
      <c r="AY33" s="7">
        <v>976.11224580410249</v>
      </c>
      <c r="AZ33" s="7">
        <v>5.9007633587786223</v>
      </c>
      <c r="BA33" s="7"/>
      <c r="BB33" s="7" t="e">
        <v>#VALUE!</v>
      </c>
      <c r="BC33" s="7"/>
    </row>
    <row r="34" spans="1:55" ht="14.5" x14ac:dyDescent="0.35">
      <c r="A34" t="s">
        <v>67</v>
      </c>
      <c r="B34" s="9">
        <v>43340</v>
      </c>
      <c r="C34" s="3">
        <v>500</v>
      </c>
      <c r="D34" s="3">
        <v>6</v>
      </c>
      <c r="F34" s="3" t="s">
        <v>67</v>
      </c>
      <c r="G34" s="3" t="s">
        <v>11</v>
      </c>
      <c r="H34" s="3">
        <v>2E-3</v>
      </c>
      <c r="I34" s="3">
        <v>8.2000000000000003E-2</v>
      </c>
      <c r="J34" s="3">
        <v>8.1000000000000003E-2</v>
      </c>
      <c r="K34" s="3">
        <v>0.08</v>
      </c>
      <c r="L34" s="3" t="s">
        <v>66</v>
      </c>
      <c r="M34" s="3" t="s">
        <v>66</v>
      </c>
      <c r="N34" s="3">
        <v>5.8999999999999997E-2</v>
      </c>
      <c r="O34" s="3">
        <v>0.13700000000000001</v>
      </c>
      <c r="Q34" s="3" t="s">
        <v>67</v>
      </c>
      <c r="S34" s="3">
        <v>-1E-3</v>
      </c>
      <c r="T34" s="3">
        <v>5.5E-2</v>
      </c>
      <c r="U34" s="3">
        <v>5.5E-2</v>
      </c>
      <c r="W34" s="3" t="s">
        <v>66</v>
      </c>
      <c r="X34" s="3" t="s">
        <v>66</v>
      </c>
      <c r="AB34" s="3">
        <v>7.9000000000000001E-2</v>
      </c>
      <c r="AC34" s="3">
        <v>5.6000000000000001E-2</v>
      </c>
      <c r="AD34" s="3">
        <v>2.3E-2</v>
      </c>
      <c r="AF34" s="7">
        <v>658.72</v>
      </c>
      <c r="AG34" s="7">
        <v>496.04480000000007</v>
      </c>
      <c r="AH34" s="7">
        <v>528.88533333333351</v>
      </c>
      <c r="AJ34" s="4">
        <v>7.9046400000000006</v>
      </c>
      <c r="AK34" s="4">
        <v>5.9525376000000003</v>
      </c>
      <c r="AM34" s="8">
        <v>1.4107142857142858</v>
      </c>
      <c r="AN34" s="8">
        <v>1.3941176470588235</v>
      </c>
      <c r="AP34" s="3">
        <v>0.13500000000000001</v>
      </c>
      <c r="AQ34" s="3">
        <v>5.6999999999999995E-2</v>
      </c>
      <c r="AR34" s="3">
        <v>7.8E-2</v>
      </c>
      <c r="AT34" s="6">
        <v>0.18663000000000005</v>
      </c>
      <c r="AU34" s="6">
        <v>4.3680000000000004E-2</v>
      </c>
      <c r="AV34" s="6">
        <v>4.5311999999999991E-2</v>
      </c>
      <c r="AW34" s="6"/>
      <c r="AX34" s="7">
        <v>486.90224055289269</v>
      </c>
      <c r="AY34" s="7">
        <v>1657.3128496581126</v>
      </c>
      <c r="AZ34" s="7">
        <v>172.94656488549614</v>
      </c>
      <c r="BA34" s="7"/>
      <c r="BB34" s="7" t="e">
        <v>#VALUE!</v>
      </c>
      <c r="BC34" s="7"/>
    </row>
    <row r="35" spans="1:55" x14ac:dyDescent="0.25">
      <c r="A35" s="3" t="s">
        <v>35</v>
      </c>
      <c r="B35" s="9">
        <v>43341</v>
      </c>
      <c r="C35" s="3">
        <v>500</v>
      </c>
      <c r="D35" s="3">
        <v>6</v>
      </c>
      <c r="F35" s="3" t="s">
        <v>35</v>
      </c>
      <c r="G35" s="3" t="s">
        <v>11</v>
      </c>
      <c r="H35" s="3">
        <v>0</v>
      </c>
      <c r="I35" s="3">
        <v>6.7000000000000004E-2</v>
      </c>
      <c r="J35" s="3">
        <v>6.6000000000000003E-2</v>
      </c>
      <c r="K35" s="3">
        <v>6.5000000000000002E-2</v>
      </c>
      <c r="L35" s="3">
        <v>2.4E-2</v>
      </c>
      <c r="M35" s="3">
        <v>1.4E-2</v>
      </c>
      <c r="N35" s="3">
        <v>3.1E-2</v>
      </c>
      <c r="O35" s="3">
        <v>9.7000000000000003E-2</v>
      </c>
      <c r="Q35" s="3" t="s">
        <v>35</v>
      </c>
      <c r="S35" s="3">
        <v>1E-3</v>
      </c>
      <c r="T35" s="23">
        <v>4.7E-2</v>
      </c>
      <c r="U35" s="23">
        <v>4.7E-2</v>
      </c>
      <c r="V35" s="3">
        <v>4.5999999999999999E-2</v>
      </c>
      <c r="W35" s="3">
        <v>1.7000000000000001E-2</v>
      </c>
      <c r="X35" s="3">
        <v>8.0000000000000002E-3</v>
      </c>
      <c r="Y35" s="3">
        <v>2.8000000000000001E-2</v>
      </c>
      <c r="Z35" s="3">
        <v>9.6000000000000002E-2</v>
      </c>
      <c r="AB35" s="6">
        <v>6.6000000000000003E-2</v>
      </c>
      <c r="AC35" s="6">
        <v>4.5999999999999999E-2</v>
      </c>
      <c r="AD35" s="6">
        <v>2.0000000000000004E-2</v>
      </c>
      <c r="AE35" s="6"/>
      <c r="AF35" s="7">
        <v>572.80000000000007</v>
      </c>
      <c r="AG35" s="7">
        <v>375.75679999999977</v>
      </c>
      <c r="AH35" s="7">
        <v>408.59733333333327</v>
      </c>
      <c r="AJ35" s="4">
        <v>6.8736000000000006</v>
      </c>
      <c r="AK35" s="4">
        <v>4.5090815999999974</v>
      </c>
      <c r="AM35" s="8">
        <v>1.4347826086956523</v>
      </c>
      <c r="AN35" s="8">
        <v>1.4142857142857144</v>
      </c>
      <c r="AP35" s="6">
        <v>9.7000000000000003E-2</v>
      </c>
      <c r="AQ35" s="6">
        <v>3.1E-2</v>
      </c>
      <c r="AR35" s="6">
        <v>6.5000000000000002E-2</v>
      </c>
      <c r="AT35" s="6">
        <v>0.14386000000000004</v>
      </c>
      <c r="AU35" s="6">
        <v>4.0419999999999991E-2</v>
      </c>
      <c r="AV35" s="6">
        <v>2.2170000000000002E-2</v>
      </c>
      <c r="AW35" s="6"/>
      <c r="AX35" s="7">
        <v>450.56292498049265</v>
      </c>
      <c r="AY35" s="7">
        <v>1277.5064381493653</v>
      </c>
      <c r="AZ35" s="7">
        <v>84.618320610687036</v>
      </c>
      <c r="BA35" s="7"/>
      <c r="BB35" s="7">
        <v>744.02</v>
      </c>
      <c r="BC35" s="7"/>
    </row>
    <row r="36" spans="1:55" x14ac:dyDescent="0.25">
      <c r="A36" s="3" t="s">
        <v>35</v>
      </c>
      <c r="B36" s="9">
        <v>43341</v>
      </c>
      <c r="C36" s="3">
        <v>500</v>
      </c>
      <c r="D36" s="3">
        <v>6</v>
      </c>
      <c r="F36" s="3" t="s">
        <v>35</v>
      </c>
      <c r="G36" s="3" t="s">
        <v>11</v>
      </c>
      <c r="H36" s="3">
        <v>0</v>
      </c>
      <c r="I36" s="3">
        <v>6.7000000000000004E-2</v>
      </c>
      <c r="J36" s="3">
        <v>6.6000000000000003E-2</v>
      </c>
      <c r="K36" s="3">
        <v>6.5000000000000002E-2</v>
      </c>
      <c r="L36" s="3">
        <v>2.4E-2</v>
      </c>
      <c r="M36" s="3">
        <v>1.4E-2</v>
      </c>
      <c r="N36" s="3">
        <v>3.1E-2</v>
      </c>
      <c r="O36" s="3">
        <v>9.7000000000000003E-2</v>
      </c>
      <c r="Q36" s="3" t="s">
        <v>35</v>
      </c>
      <c r="S36" s="3">
        <v>1E-3</v>
      </c>
      <c r="T36" s="23">
        <v>4.7E-2</v>
      </c>
      <c r="U36" s="23">
        <v>4.7E-2</v>
      </c>
      <c r="V36" s="3">
        <v>4.5999999999999999E-2</v>
      </c>
      <c r="W36" s="3">
        <v>1.7000000000000001E-2</v>
      </c>
      <c r="X36" s="3">
        <v>8.0000000000000002E-3</v>
      </c>
      <c r="Y36" s="3">
        <v>2.8000000000000001E-2</v>
      </c>
      <c r="Z36" s="3">
        <v>9.6000000000000002E-2</v>
      </c>
      <c r="AB36" s="6">
        <v>6.6000000000000003E-2</v>
      </c>
      <c r="AC36" s="6">
        <v>4.5999999999999999E-2</v>
      </c>
      <c r="AD36" s="6">
        <v>2.0000000000000004E-2</v>
      </c>
      <c r="AE36" s="6"/>
      <c r="AF36" s="7">
        <v>572.80000000000007</v>
      </c>
      <c r="AG36" s="7">
        <v>375.75679999999977</v>
      </c>
      <c r="AH36" s="7">
        <v>408.59733333333327</v>
      </c>
      <c r="AJ36" s="4">
        <v>6.8736000000000006</v>
      </c>
      <c r="AK36" s="4">
        <v>4.5090815999999974</v>
      </c>
      <c r="AM36" s="8">
        <v>1.4347826086956523</v>
      </c>
      <c r="AN36" s="8">
        <v>1.4142857142857144</v>
      </c>
      <c r="AP36" s="6">
        <v>9.7000000000000003E-2</v>
      </c>
      <c r="AQ36" s="6">
        <v>3.1E-2</v>
      </c>
      <c r="AR36" s="6">
        <v>6.5000000000000002E-2</v>
      </c>
      <c r="AT36" s="6">
        <v>0.14386000000000004</v>
      </c>
      <c r="AU36" s="6">
        <v>4.0419999999999991E-2</v>
      </c>
      <c r="AV36" s="6">
        <v>2.2170000000000002E-2</v>
      </c>
      <c r="AW36" s="6"/>
      <c r="AX36" s="7">
        <v>450.56292498049265</v>
      </c>
      <c r="AY36" s="7">
        <v>1277.5064381493653</v>
      </c>
      <c r="AZ36" s="7">
        <v>84.618320610687036</v>
      </c>
      <c r="BA36" s="7"/>
      <c r="BB36" s="7">
        <v>744.02</v>
      </c>
      <c r="BC36" s="7"/>
    </row>
    <row r="37" spans="1:55" x14ac:dyDescent="0.25">
      <c r="A37" s="3" t="s">
        <v>68</v>
      </c>
      <c r="B37" s="24">
        <v>43626</v>
      </c>
      <c r="C37" s="3">
        <v>500</v>
      </c>
      <c r="D37" s="3">
        <v>6</v>
      </c>
      <c r="F37" s="3" t="s">
        <v>68</v>
      </c>
      <c r="G37" s="3" t="s">
        <v>11</v>
      </c>
      <c r="H37" s="3">
        <v>0</v>
      </c>
      <c r="I37" s="3">
        <v>6.5000000000000002E-2</v>
      </c>
      <c r="J37" s="3">
        <v>6.5000000000000002E-2</v>
      </c>
      <c r="K37" s="3">
        <v>6.4000000000000001E-2</v>
      </c>
      <c r="L37" s="3">
        <v>2.3E-2</v>
      </c>
      <c r="M37" s="3">
        <v>1.2E-2</v>
      </c>
      <c r="N37" s="3">
        <v>2.9000000000000001E-2</v>
      </c>
      <c r="O37" s="3">
        <v>9.0999999999999998E-2</v>
      </c>
      <c r="Q37" s="3" t="s">
        <v>68</v>
      </c>
      <c r="S37" s="3">
        <v>-1E-3</v>
      </c>
      <c r="T37" s="4">
        <v>4.4999999999999998E-2</v>
      </c>
      <c r="U37" s="4">
        <v>4.4999999999999998E-2</v>
      </c>
      <c r="V37" s="3">
        <v>4.3999999999999997E-2</v>
      </c>
      <c r="W37" s="3">
        <v>1.6E-2</v>
      </c>
      <c r="X37" s="3">
        <v>6.0000000000000001E-3</v>
      </c>
      <c r="Y37" s="3">
        <v>2.5000000000000001E-2</v>
      </c>
      <c r="Z37" s="3">
        <v>0.09</v>
      </c>
      <c r="AB37" s="6">
        <v>6.5000000000000002E-2</v>
      </c>
      <c r="AC37" s="6">
        <v>4.5999999999999999E-2</v>
      </c>
      <c r="AD37" s="6">
        <v>1.9000000000000003E-2</v>
      </c>
      <c r="AE37" s="6"/>
      <c r="AF37" s="7">
        <v>544.16000000000008</v>
      </c>
      <c r="AG37" s="7">
        <v>404.39679999999981</v>
      </c>
      <c r="AH37" s="7">
        <v>437.23733333333325</v>
      </c>
      <c r="AJ37" s="4">
        <v>6.5299200000000006</v>
      </c>
      <c r="AK37" s="4">
        <v>4.8527615999999982</v>
      </c>
      <c r="AM37" s="8">
        <v>1.4130434782608696</v>
      </c>
      <c r="AN37" s="8">
        <v>1.3928571428571428</v>
      </c>
      <c r="AP37" s="6">
        <v>9.0999999999999998E-2</v>
      </c>
      <c r="AQ37" s="6">
        <v>2.9000000000000001E-2</v>
      </c>
      <c r="AR37" s="6">
        <v>6.4000000000000001E-2</v>
      </c>
      <c r="AT37" s="6">
        <v>0.13736999999999999</v>
      </c>
      <c r="AU37" s="6">
        <v>4.1000000000000002E-2</v>
      </c>
      <c r="AV37" s="6">
        <v>2.0636000000000002E-2</v>
      </c>
      <c r="AW37" s="6"/>
      <c r="AX37" s="7">
        <v>457.02820198417123</v>
      </c>
      <c r="AY37" s="7">
        <v>1219.8739010745048</v>
      </c>
      <c r="AZ37" s="7">
        <v>78.763358778625957</v>
      </c>
      <c r="BA37" s="7"/>
      <c r="BB37" s="7">
        <v>733.87</v>
      </c>
      <c r="BC37" s="7"/>
    </row>
    <row r="38" spans="1:55" x14ac:dyDescent="0.25">
      <c r="A38" s="3" t="s">
        <v>69</v>
      </c>
      <c r="B38" s="24">
        <v>43626</v>
      </c>
      <c r="C38" s="3">
        <v>500</v>
      </c>
      <c r="D38" s="3">
        <v>6</v>
      </c>
      <c r="F38" s="3" t="s">
        <v>69</v>
      </c>
      <c r="G38" s="3" t="s">
        <v>11</v>
      </c>
      <c r="H38" s="3">
        <v>-1E-3</v>
      </c>
      <c r="I38" s="3">
        <v>6.4000000000000001E-2</v>
      </c>
      <c r="J38" s="3">
        <v>6.4000000000000001E-2</v>
      </c>
      <c r="K38" s="3">
        <v>6.3E-2</v>
      </c>
      <c r="L38" s="3">
        <v>2.1999999999999999E-2</v>
      </c>
      <c r="M38" s="3">
        <v>1.2E-2</v>
      </c>
      <c r="N38" s="3">
        <v>2.8000000000000001E-2</v>
      </c>
      <c r="O38" s="3">
        <v>0.09</v>
      </c>
      <c r="Q38" s="3" t="s">
        <v>69</v>
      </c>
      <c r="S38" s="3">
        <v>-1E-3</v>
      </c>
      <c r="T38" s="4">
        <v>4.4999999999999998E-2</v>
      </c>
      <c r="U38" s="4">
        <v>4.4999999999999998E-2</v>
      </c>
      <c r="V38" s="3">
        <v>4.3999999999999997E-2</v>
      </c>
      <c r="W38" s="3">
        <v>1.6E-2</v>
      </c>
      <c r="X38" s="3">
        <v>6.0000000000000001E-3</v>
      </c>
      <c r="Y38" s="3">
        <v>2.5000000000000001E-2</v>
      </c>
      <c r="Z38" s="3">
        <v>0.09</v>
      </c>
      <c r="AB38" s="6">
        <v>6.5000000000000002E-2</v>
      </c>
      <c r="AC38" s="6">
        <v>4.5999999999999999E-2</v>
      </c>
      <c r="AD38" s="6">
        <v>1.9000000000000003E-2</v>
      </c>
      <c r="AE38" s="6"/>
      <c r="AF38" s="7">
        <v>544.16000000000008</v>
      </c>
      <c r="AG38" s="7">
        <v>404.39679999999981</v>
      </c>
      <c r="AH38" s="7">
        <v>437.23733333333325</v>
      </c>
      <c r="AJ38" s="4">
        <v>6.5299200000000006</v>
      </c>
      <c r="AK38" s="4">
        <v>4.8527615999999982</v>
      </c>
      <c r="AM38" s="8">
        <v>1.4130434782608696</v>
      </c>
      <c r="AN38" s="8">
        <v>1.3928571428571428</v>
      </c>
      <c r="AP38" s="6">
        <v>9.0999999999999998E-2</v>
      </c>
      <c r="AQ38" s="6">
        <v>2.9000000000000001E-2</v>
      </c>
      <c r="AR38" s="6">
        <v>6.4000000000000001E-2</v>
      </c>
      <c r="AT38" s="6">
        <v>0.13736999999999999</v>
      </c>
      <c r="AU38" s="6">
        <v>4.1000000000000002E-2</v>
      </c>
      <c r="AV38" s="6">
        <v>2.0636000000000002E-2</v>
      </c>
      <c r="AW38" s="6"/>
      <c r="AX38" s="7">
        <v>457.02820198417123</v>
      </c>
      <c r="AY38" s="7">
        <v>1219.8739010745048</v>
      </c>
      <c r="AZ38" s="7">
        <v>78.763358778625957</v>
      </c>
      <c r="BA38" s="7"/>
      <c r="BB38" s="7">
        <v>733.79</v>
      </c>
      <c r="BC38" s="7"/>
    </row>
    <row r="39" spans="1:55" x14ac:dyDescent="0.25">
      <c r="A39" s="3" t="s">
        <v>70</v>
      </c>
      <c r="B39" s="24">
        <v>43626</v>
      </c>
      <c r="C39" s="3">
        <v>500</v>
      </c>
      <c r="D39" s="3">
        <v>6</v>
      </c>
      <c r="F39" s="3" t="s">
        <v>70</v>
      </c>
      <c r="G39" s="3" t="s">
        <v>11</v>
      </c>
      <c r="H39" s="3">
        <v>-1E-3</v>
      </c>
      <c r="I39" s="3">
        <v>6.4000000000000001E-2</v>
      </c>
      <c r="J39" s="3">
        <v>6.3E-2</v>
      </c>
      <c r="K39" s="3">
        <v>6.2E-2</v>
      </c>
      <c r="L39" s="3">
        <v>2.1999999999999999E-2</v>
      </c>
      <c r="M39" s="3">
        <v>1.0999999999999999E-2</v>
      </c>
      <c r="N39" s="3">
        <v>2.8000000000000001E-2</v>
      </c>
      <c r="O39" s="3">
        <v>0.09</v>
      </c>
      <c r="Q39" s="3" t="s">
        <v>70</v>
      </c>
      <c r="S39" s="3">
        <v>-1E-3</v>
      </c>
      <c r="T39" s="4">
        <v>4.4999999999999998E-2</v>
      </c>
      <c r="U39" s="4">
        <v>4.4999999999999998E-2</v>
      </c>
      <c r="V39" s="3">
        <v>4.2999999999999997E-2</v>
      </c>
      <c r="W39" s="3">
        <v>1.4999999999999999E-2</v>
      </c>
      <c r="X39" s="3">
        <v>6.0000000000000001E-3</v>
      </c>
      <c r="Y39" s="3">
        <v>2.4E-2</v>
      </c>
      <c r="Z39" s="3">
        <v>0.09</v>
      </c>
      <c r="AB39" s="6">
        <v>6.4000000000000001E-2</v>
      </c>
      <c r="AC39" s="6">
        <v>4.5999999999999999E-2</v>
      </c>
      <c r="AD39" s="6">
        <v>1.8000000000000002E-2</v>
      </c>
      <c r="AE39" s="6"/>
      <c r="AF39" s="7">
        <v>515.5200000000001</v>
      </c>
      <c r="AG39" s="7">
        <v>433.03679999999986</v>
      </c>
      <c r="AH39" s="7">
        <v>465.8773333333333</v>
      </c>
      <c r="AJ39" s="4">
        <v>6.1862400000000015</v>
      </c>
      <c r="AK39" s="4">
        <v>5.1964415999999982</v>
      </c>
      <c r="AM39" s="8">
        <v>1.3913043478260869</v>
      </c>
      <c r="AN39" s="8">
        <v>1.3714285714285714</v>
      </c>
      <c r="AP39" s="6">
        <v>9.0999999999999998E-2</v>
      </c>
      <c r="AQ39" s="6">
        <v>2.9000000000000001E-2</v>
      </c>
      <c r="AR39" s="6">
        <v>6.3E-2</v>
      </c>
      <c r="AT39" s="6">
        <v>0.13658000000000001</v>
      </c>
      <c r="AU39" s="6">
        <v>3.9979999999999995E-2</v>
      </c>
      <c r="AV39" s="6">
        <v>2.0662E-2</v>
      </c>
      <c r="AW39" s="6"/>
      <c r="AX39" s="7">
        <v>445.65823208115035</v>
      </c>
      <c r="AY39" s="7">
        <v>1212.8585383180889</v>
      </c>
      <c r="AZ39" s="7">
        <v>78.862595419847324</v>
      </c>
      <c r="BA39" s="7"/>
      <c r="BB39" s="7">
        <v>722.02</v>
      </c>
      <c r="BC39" s="7"/>
    </row>
    <row r="40" spans="1:55" ht="14.5" x14ac:dyDescent="0.35">
      <c r="A40" t="s">
        <v>62</v>
      </c>
      <c r="B40" s="9">
        <v>43627</v>
      </c>
      <c r="C40" s="3">
        <v>500</v>
      </c>
      <c r="D40" s="3">
        <v>6</v>
      </c>
      <c r="E40"/>
      <c r="F40" t="s">
        <v>60</v>
      </c>
      <c r="G40" t="s">
        <v>11</v>
      </c>
      <c r="H40">
        <v>-2E-3</v>
      </c>
      <c r="I40">
        <v>5.7000000000000002E-2</v>
      </c>
      <c r="J40">
        <v>5.7000000000000002E-2</v>
      </c>
      <c r="K40">
        <v>5.7000000000000002E-2</v>
      </c>
      <c r="L40">
        <v>1.9E-2</v>
      </c>
      <c r="M40">
        <v>8.9999999999999993E-3</v>
      </c>
      <c r="N40">
        <v>2.4E-2</v>
      </c>
      <c r="O40">
        <v>0.08</v>
      </c>
      <c r="Q40" s="3" t="s">
        <v>61</v>
      </c>
      <c r="R40" s="3" t="s">
        <v>11</v>
      </c>
      <c r="S40">
        <v>-1E-3</v>
      </c>
      <c r="T40">
        <v>4.1000000000000002E-2</v>
      </c>
      <c r="U40">
        <v>0.04</v>
      </c>
      <c r="V40">
        <v>0.04</v>
      </c>
      <c r="W40">
        <v>1.2999999999999999E-2</v>
      </c>
      <c r="X40">
        <v>4.0000000000000001E-3</v>
      </c>
      <c r="Y40">
        <v>2.1999999999999999E-2</v>
      </c>
      <c r="Z40">
        <v>0.08</v>
      </c>
      <c r="AB40" s="6">
        <v>5.9000000000000004E-2</v>
      </c>
      <c r="AC40" s="6">
        <v>4.2000000000000003E-2</v>
      </c>
      <c r="AD40" s="6">
        <v>1.7000000000000001E-2</v>
      </c>
      <c r="AE40" s="6"/>
      <c r="AF40" s="7">
        <v>448.69333333333338</v>
      </c>
      <c r="AG40" s="7">
        <v>472.36906666666647</v>
      </c>
      <c r="AH40" s="7">
        <v>472.36906666666664</v>
      </c>
      <c r="AJ40" s="4">
        <v>5.3843200000000007</v>
      </c>
      <c r="AK40" s="4">
        <v>5.6684287999999983</v>
      </c>
      <c r="AM40" s="8">
        <v>1.4047619047619047</v>
      </c>
      <c r="AN40" s="8">
        <v>1.3507462686567164</v>
      </c>
      <c r="AP40" s="6">
        <v>8.2000000000000003E-2</v>
      </c>
      <c r="AQ40" s="6">
        <v>2.6000000000000002E-2</v>
      </c>
      <c r="AR40" s="6">
        <v>5.9000000000000004E-2</v>
      </c>
      <c r="AT40" s="6">
        <v>0.12487000000000001</v>
      </c>
      <c r="AU40" s="6">
        <v>3.8300000000000008E-2</v>
      </c>
      <c r="AV40" s="6">
        <v>1.8426000000000001E-2</v>
      </c>
      <c r="AW40" s="6"/>
      <c r="AX40" s="7">
        <v>426.93122282911617</v>
      </c>
      <c r="AY40" s="7">
        <v>1108.8713258147591</v>
      </c>
      <c r="AZ40" s="7">
        <v>70.328244274809165</v>
      </c>
      <c r="BA40" s="7"/>
      <c r="BB40" s="7">
        <v>665.93000000000006</v>
      </c>
      <c r="BC40" s="7"/>
    </row>
    <row r="41" spans="1:55" x14ac:dyDescent="0.25">
      <c r="AN41" s="8"/>
      <c r="AT41" s="6"/>
      <c r="AU41" s="6"/>
      <c r="AV41" s="6"/>
      <c r="AW41" s="6"/>
      <c r="AX41" s="7"/>
      <c r="AY41" s="7"/>
      <c r="AZ41" s="7"/>
      <c r="BA41" s="7"/>
      <c r="BB41" s="7"/>
      <c r="BC41" s="7"/>
    </row>
    <row r="42" spans="1:55" x14ac:dyDescent="0.25">
      <c r="AN42" s="8"/>
      <c r="AT42" s="6"/>
      <c r="AU42" s="6"/>
      <c r="AV42" s="6"/>
      <c r="AW42" s="6"/>
      <c r="AX42" s="7"/>
      <c r="AY42" s="7"/>
      <c r="AZ42" s="7"/>
      <c r="BA42" s="7"/>
      <c r="BB42" s="7"/>
      <c r="BC42" s="7"/>
    </row>
    <row r="43" spans="1:55" x14ac:dyDescent="0.25">
      <c r="AN43" s="8"/>
      <c r="AT43" s="6"/>
      <c r="AU43" s="6"/>
      <c r="AV43" s="6"/>
      <c r="AW43" s="6"/>
      <c r="AX43" s="7"/>
      <c r="AY43" s="7"/>
      <c r="AZ43" s="7"/>
      <c r="BA43" s="7"/>
      <c r="BB43" s="7"/>
      <c r="BC43" s="7"/>
    </row>
    <row r="44" spans="1:55" x14ac:dyDescent="0.25">
      <c r="AN44" s="8"/>
      <c r="AT44" s="6"/>
      <c r="AU44" s="6"/>
      <c r="AV44" s="6"/>
      <c r="AW44" s="6"/>
      <c r="AX44" s="7"/>
      <c r="AY44" s="7"/>
      <c r="AZ44" s="7"/>
      <c r="BA44" s="7"/>
      <c r="BB44" s="7"/>
      <c r="BC44" s="7"/>
    </row>
    <row r="45" spans="1:55" x14ac:dyDescent="0.25">
      <c r="AN45" s="8"/>
      <c r="AT45" s="6"/>
      <c r="AU45" s="6"/>
      <c r="AV45" s="6"/>
      <c r="AW45" s="6"/>
      <c r="AX45" s="7"/>
      <c r="AY45" s="7"/>
      <c r="AZ45" s="7"/>
      <c r="BA45" s="7"/>
      <c r="BB45" s="7"/>
      <c r="BC45" s="7"/>
    </row>
    <row r="46" spans="1:55" x14ac:dyDescent="0.25">
      <c r="AT46" s="6"/>
      <c r="AU46" s="6"/>
      <c r="AV46" s="6"/>
      <c r="AW46" s="6"/>
      <c r="AX46" s="7"/>
      <c r="AY46" s="7"/>
      <c r="AZ46" s="7"/>
      <c r="BA46" s="7"/>
      <c r="BB46" s="7"/>
      <c r="BC46" s="7"/>
    </row>
    <row r="47" spans="1:55" x14ac:dyDescent="0.25">
      <c r="AT47" s="6"/>
      <c r="AU47" s="6"/>
      <c r="AV47" s="6"/>
      <c r="AW47" s="6"/>
      <c r="AX47" s="7"/>
      <c r="AY47" s="7"/>
      <c r="AZ47" s="7"/>
      <c r="BA47" s="7"/>
      <c r="BB47" s="7"/>
      <c r="BC47" s="7"/>
    </row>
    <row r="48" spans="1:55" x14ac:dyDescent="0.25">
      <c r="AT48" s="6"/>
      <c r="AU48" s="6"/>
      <c r="AV48" s="6"/>
      <c r="AW48" s="6"/>
      <c r="AX48" s="7"/>
      <c r="AY48" s="7"/>
      <c r="AZ48" s="7"/>
      <c r="BA48" s="7"/>
      <c r="BB48" s="7"/>
      <c r="BC48" s="7"/>
    </row>
    <row r="49" spans="1:55" x14ac:dyDescent="0.25">
      <c r="AT49" s="6"/>
      <c r="AU49" s="6"/>
      <c r="AV49" s="6"/>
      <c r="AW49" s="6"/>
      <c r="AX49" s="7"/>
      <c r="AY49" s="7"/>
      <c r="AZ49" s="7"/>
      <c r="BA49" s="7"/>
      <c r="BB49" s="7"/>
      <c r="BC49" s="7"/>
    </row>
    <row r="50" spans="1:55" x14ac:dyDescent="0.25">
      <c r="AT50" s="6"/>
      <c r="AU50" s="6"/>
      <c r="AV50" s="6"/>
      <c r="AW50" s="6"/>
    </row>
    <row r="51" spans="1:55" x14ac:dyDescent="0.25">
      <c r="A51" s="3" t="s">
        <v>50</v>
      </c>
      <c r="B51" s="9">
        <f>MIN(B26:B50)</f>
        <v>42759</v>
      </c>
      <c r="AD51" s="11"/>
      <c r="AE51" s="7" t="s">
        <v>38</v>
      </c>
      <c r="AF51" s="7">
        <f>AVERAGE(AF26:AF49)</f>
        <v>515.98075555555567</v>
      </c>
      <c r="AG51" s="7">
        <f>AVERAGE(AG26:AG50)</f>
        <v>560.85668444444434</v>
      </c>
      <c r="AH51" s="7"/>
      <c r="AM51" s="8">
        <f>AVERAGE(AM26:AM50)</f>
        <v>1.3544622498376095</v>
      </c>
    </row>
    <row r="52" spans="1:55" x14ac:dyDescent="0.25">
      <c r="A52" s="3" t="s">
        <v>51</v>
      </c>
      <c r="B52" s="9">
        <f>MAX(B26:B50)</f>
        <v>43627</v>
      </c>
      <c r="AD52" s="11"/>
      <c r="AE52" s="7" t="s">
        <v>39</v>
      </c>
      <c r="AF52" s="3">
        <f>STDEV(AF26:AF50)</f>
        <v>81.353156294264778</v>
      </c>
      <c r="AG52" s="3">
        <f>STDEV(AG26:AG50)</f>
        <v>168.17277599462832</v>
      </c>
      <c r="AM52" s="3">
        <f>STDEV(AM26:AM50)</f>
        <v>7.3200521182799003E-2</v>
      </c>
    </row>
    <row r="53" spans="1:55" x14ac:dyDescent="0.25">
      <c r="AD53" s="11"/>
      <c r="AE53" s="7" t="s">
        <v>37</v>
      </c>
      <c r="AF53" s="3">
        <f>100*AF52/AF51</f>
        <v>15.766703586972341</v>
      </c>
      <c r="AG53" s="3">
        <f>100*AG52/AG51</f>
        <v>29.984982021068642</v>
      </c>
      <c r="AM53" s="3">
        <f>100*AM52/AM51</f>
        <v>5.40439729431922</v>
      </c>
    </row>
    <row r="54" spans="1:55" x14ac:dyDescent="0.25">
      <c r="AD54" s="11" t="s">
        <v>40</v>
      </c>
      <c r="AE54" s="7" t="s">
        <v>41</v>
      </c>
      <c r="AF54" s="3">
        <f>AF51-(2*AF52)</f>
        <v>353.27444296702612</v>
      </c>
      <c r="AG54" s="3">
        <f>AG51-(2*AG52)</f>
        <v>224.51113245518769</v>
      </c>
      <c r="AM54" s="3">
        <f>AM51-(2*AM52)</f>
        <v>1.2080612074720116</v>
      </c>
    </row>
    <row r="55" spans="1:55" x14ac:dyDescent="0.25">
      <c r="AD55" s="12"/>
      <c r="AE55" s="7" t="s">
        <v>42</v>
      </c>
      <c r="AF55" s="3">
        <f>AF51+(2*AF52)</f>
        <v>678.68706814408529</v>
      </c>
      <c r="AG55" s="3">
        <f>AG51+(2*AG52)</f>
        <v>897.20223643370105</v>
      </c>
      <c r="AM55" s="3">
        <f>AM51+(2*AM52)</f>
        <v>1.5008632922032075</v>
      </c>
    </row>
    <row r="56" spans="1:55" x14ac:dyDescent="0.25">
      <c r="AD56" s="11" t="s">
        <v>43</v>
      </c>
      <c r="AE56" s="7" t="s">
        <v>44</v>
      </c>
      <c r="AF56" s="3">
        <f>AF51-(3*AF52)</f>
        <v>271.92128667276131</v>
      </c>
      <c r="AG56" s="3">
        <f>AG51-(3*AG52)</f>
        <v>56.338356460559339</v>
      </c>
      <c r="AM56" s="3">
        <f>AM51-(3*AM52)</f>
        <v>1.1348606862892126</v>
      </c>
    </row>
    <row r="57" spans="1:55" x14ac:dyDescent="0.25">
      <c r="AD57" s="10"/>
      <c r="AE57" s="7" t="s">
        <v>45</v>
      </c>
      <c r="AF57" s="3">
        <f>AF51+(3*AF52)</f>
        <v>760.04022443835004</v>
      </c>
      <c r="AG57" s="3">
        <f>AG51+(3*AG52)</f>
        <v>1065.3750124283292</v>
      </c>
      <c r="AM57" s="3">
        <f>AM51+(3*AM52)</f>
        <v>1.5740638133860065</v>
      </c>
    </row>
    <row r="58" spans="1:55" x14ac:dyDescent="0.25">
      <c r="AD58" s="11" t="s">
        <v>46</v>
      </c>
      <c r="AE58" s="7" t="s">
        <v>47</v>
      </c>
      <c r="AF58" s="3">
        <f>AF52*3.14</f>
        <v>255.44891076399142</v>
      </c>
      <c r="AG58" s="3">
        <f>AG52*3.14</f>
        <v>528.06251662313298</v>
      </c>
      <c r="AM58" s="3">
        <f>AM52*3.14</f>
        <v>0.22984963651398888</v>
      </c>
    </row>
    <row r="59" spans="1:55" x14ac:dyDescent="0.25">
      <c r="AD59" s="11" t="s">
        <v>48</v>
      </c>
      <c r="AE59" s="7" t="s">
        <v>49</v>
      </c>
      <c r="AF59" s="3">
        <f>AF52*10</f>
        <v>813.53156294264772</v>
      </c>
      <c r="AG59" s="3">
        <f>AG52*10</f>
        <v>1681.7277599462832</v>
      </c>
      <c r="AM59" s="3">
        <f>AM52*10</f>
        <v>0.73200521182799005</v>
      </c>
    </row>
  </sheetData>
  <conditionalFormatting sqref="J29">
    <cfRule type="cellIs" dxfId="2" priority="1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raw data</vt:lpstr>
      <vt:lpstr>rolling QA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Whitney Woelmer</cp:lastModifiedBy>
  <dcterms:created xsi:type="dcterms:W3CDTF">2018-10-18T17:53:27Z</dcterms:created>
  <dcterms:modified xsi:type="dcterms:W3CDTF">2023-02-22T19:41:20Z</dcterms:modified>
</cp:coreProperties>
</file>