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GitHub/Reservoirs/Data/DataNotYetUploadedToEDI/Sed_trap/Metals/"/>
    </mc:Choice>
  </mc:AlternateContent>
  <xr:revisionPtr revIDLastSave="0" documentId="13_ncr:1_{2AEDBC41-E345-C045-96A1-579E7E9B26EC}" xr6:coauthVersionLast="47" xr6:coauthVersionMax="47" xr10:uidLastSave="{00000000-0000-0000-0000-000000000000}"/>
  <bookViews>
    <workbookView xWindow="0" yWindow="760" windowWidth="15600" windowHeight="17800" xr2:uid="{249630D6-5FA9-4A4A-A46B-7F4357E0D37E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1" l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G51" i="1"/>
  <c r="H50" i="1"/>
  <c r="G50" i="1"/>
  <c r="H49" i="1"/>
  <c r="G49" i="1"/>
  <c r="H48" i="1"/>
  <c r="G48" i="1"/>
  <c r="H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<sst xmlns="http://schemas.openxmlformats.org/spreadsheetml/2006/main" count="355" uniqueCount="295">
  <si>
    <t>Sample_ID</t>
  </si>
  <si>
    <t>F_sed_4m_R1_F1_27May19</t>
  </si>
  <si>
    <t>F_sed_8m_R1_F1_27May19</t>
  </si>
  <si>
    <t>F_sed_4m_R2_F1_10Jun19</t>
  </si>
  <si>
    <t>F_sed_8m_R1_F1_17Jun19</t>
  </si>
  <si>
    <t xml:space="preserve">F_sed_4m_R1_F1_22Jul19 </t>
  </si>
  <si>
    <t xml:space="preserve">F_sed_8m_R1_F1_22Jul19 </t>
  </si>
  <si>
    <t>B_sed_5m_R1_F1_29Apr19</t>
  </si>
  <si>
    <t>Mass on Filter (g)</t>
  </si>
  <si>
    <t>AOR3D34</t>
  </si>
  <si>
    <t>AAR2D23</t>
  </si>
  <si>
    <t>OOR2D23</t>
  </si>
  <si>
    <t>OAR2D34</t>
  </si>
  <si>
    <t>EXP Day 0</t>
  </si>
  <si>
    <t>Sample_date</t>
  </si>
  <si>
    <t>Rack #</t>
  </si>
  <si>
    <t>Mass_on_filter_g</t>
  </si>
  <si>
    <t>Vol_acid_L</t>
  </si>
  <si>
    <t>Vol_acid_used_in_dilution_L</t>
  </si>
  <si>
    <t>Vol_diluted_L</t>
  </si>
  <si>
    <t>F_sed_4m_R1_F1_5Aug19</t>
  </si>
  <si>
    <t>F_sed_4m_R2_F2_5Aug19</t>
  </si>
  <si>
    <t>F_sed_8m_R1_F1_5Aug19</t>
  </si>
  <si>
    <t>F_sed_8m_R2_F1_5Aug19</t>
  </si>
  <si>
    <t xml:space="preserve">F_sed_4m_R1_F2_19Aug19 </t>
  </si>
  <si>
    <t xml:space="preserve">F_sed_4m_R2_F2_19Aug19 </t>
  </si>
  <si>
    <t xml:space="preserve">F_sed_8m_R1_F1_19Aug19 </t>
  </si>
  <si>
    <t xml:space="preserve">F_sed_8m_R2_F1_19Aug19 </t>
  </si>
  <si>
    <t>F_sed_4m_R1_F1_2Sep19</t>
  </si>
  <si>
    <t>F_sed_4m_R2_F1_2Sep19</t>
  </si>
  <si>
    <t>F_sed_8m_R1_F1_2Sep19</t>
  </si>
  <si>
    <t>F_sed_8m_R2_F1_2Sep19</t>
  </si>
  <si>
    <t>F_sed_4m_R1_F1_27Sep19</t>
  </si>
  <si>
    <t>F_sed_4m_R2_F1_27Sep19</t>
  </si>
  <si>
    <t>F_sed_8m_R1_F1_27Sep19</t>
  </si>
  <si>
    <t>F_sed_8m_R2_F1_27Sep19</t>
  </si>
  <si>
    <t xml:space="preserve">F_sed_4m_R1_F1_11Oct19 </t>
  </si>
  <si>
    <t>F_sed_4m_R2_F1_11Oct19</t>
  </si>
  <si>
    <t>F_sed_8m_R1_F2_11Oct19</t>
  </si>
  <si>
    <t>F_sed_8m_R2_F2_11Oct19</t>
  </si>
  <si>
    <t>F_sed_4m_R1_F2_23Oct19</t>
  </si>
  <si>
    <t>F_sed_4m_R2_F2_23Oct19</t>
  </si>
  <si>
    <t>F_sed_8m_R1_F2_23Oct19</t>
  </si>
  <si>
    <t>F_sed_8m_R2_F2_23Oct19</t>
  </si>
  <si>
    <t>F_sed_4m_R1_F1_8Nov19</t>
  </si>
  <si>
    <t>F_sed_4m_R2_F1_8Nov19</t>
  </si>
  <si>
    <t>F_sed_8m_R1_F1_8Nov19</t>
  </si>
  <si>
    <t>F_sed_8m_R2_F1_8Nov19</t>
  </si>
  <si>
    <t>B_sed_5m_R1_F1_8Aug19</t>
  </si>
  <si>
    <t>B_sed_5m_R2_F1_8Aug19</t>
  </si>
  <si>
    <t>B_sed_10m_R1_F2_8Aug19</t>
  </si>
  <si>
    <t>B_sed_10m_R2_F2_8Aug19</t>
  </si>
  <si>
    <t>B_sed_5m_R1_F2_22Aug19</t>
  </si>
  <si>
    <t>B_sed_5m_R2_F2_22Aug19</t>
  </si>
  <si>
    <t>B_sed_10m_R1_F1_22Aug19</t>
  </si>
  <si>
    <t>B_sed_10m_R2_F1_22Aug19</t>
  </si>
  <si>
    <t>B_sed_5m_R1_F1_4Sep19</t>
  </si>
  <si>
    <t>B_sed_5m_R2_F1_4Sep19</t>
  </si>
  <si>
    <t>B_sed_10m_R1_F1_4Sep19</t>
  </si>
  <si>
    <t>B_sed_10m_R2_F1_4Sep19</t>
  </si>
  <si>
    <t>B_sed_5m_R1_F2_20Sep19</t>
  </si>
  <si>
    <t>B_sed_5m_R2_F2_20Sep19</t>
  </si>
  <si>
    <t>B_sed_10m_R1_F2_20Sep19</t>
  </si>
  <si>
    <t>B_sed_10m_R2_F2_20Sep19</t>
  </si>
  <si>
    <t>B_sed_5m_R1_F1_4Oct19</t>
  </si>
  <si>
    <t>B_sed_5m_R2_F1_4Oct19</t>
  </si>
  <si>
    <t>B_sed_10m_R1_F1_4Oct19</t>
  </si>
  <si>
    <t>B_sed_10m_R2_F1_4Oct19</t>
  </si>
  <si>
    <t>B_sed_5m_R1_F1_18Oct19</t>
  </si>
  <si>
    <t>B_sed_5m_R2_F1_18Oct19</t>
  </si>
  <si>
    <t>B_sed_10m_R1_F1_18Oct19</t>
  </si>
  <si>
    <t>B_sed_10m_R2_F1_18Oct19</t>
  </si>
  <si>
    <t>B_sed_5m_R1_F1_28Oct19</t>
  </si>
  <si>
    <t>B_sed_5m_R2_F1_28Oct19</t>
  </si>
  <si>
    <t>B_sed_10m_R1_F1_28Oct19</t>
  </si>
  <si>
    <t>B_sed_10m_R2_F1_28Oct19</t>
  </si>
  <si>
    <t>NIST Standard</t>
  </si>
  <si>
    <t>Acid blank</t>
  </si>
  <si>
    <t>Carousel #</t>
  </si>
  <si>
    <t>NIST Standard 2587</t>
  </si>
  <si>
    <t>Acid Blank</t>
  </si>
  <si>
    <t>Sample Date</t>
  </si>
  <si>
    <t>F_sed_4m_R1_F2_29Apr19</t>
  </si>
  <si>
    <t>F_sed_4m_R2_F2_29Apr19</t>
  </si>
  <si>
    <t>F_sed_8m_R1_F2_29Apr19</t>
  </si>
  <si>
    <t>F_sed_8m_R2_F2_29Apr19</t>
  </si>
  <si>
    <t>F_sed_4m_R1_F2_13May19</t>
  </si>
  <si>
    <t>F_sed_4m_R2_F2_13May19</t>
  </si>
  <si>
    <t>F_sed_8m_R1_F2_13May19</t>
  </si>
  <si>
    <t>F_sed_8m_R2_F2_13May19</t>
  </si>
  <si>
    <t>F_sed_4m_R2_F1_27May19</t>
  </si>
  <si>
    <t>F_sed_8m_R2_F1_27May19</t>
  </si>
  <si>
    <t>F_sed_4m_R1_F1_10Jun19</t>
  </si>
  <si>
    <t>F_sed_8m_R2_F2_10Jun19</t>
  </si>
  <si>
    <t>F_sed_4m_R1_F2_17Jun19</t>
  </si>
  <si>
    <t>F_sed_4m_R2_F2_17Jun19</t>
  </si>
  <si>
    <t>F_sed_8m_R2_F1_17Jun19</t>
  </si>
  <si>
    <t xml:space="preserve">F_sed_4m_R2_F1_22Jul19 </t>
  </si>
  <si>
    <t xml:space="preserve">F_sed_8m_R2_F1_22Jul19 </t>
  </si>
  <si>
    <t>B_sed_5m_R2_F1_29Apr19</t>
  </si>
  <si>
    <t>B_sed_5m_R1_F2_16May19</t>
  </si>
  <si>
    <t>B_sed_5m_R2_F2_16May19</t>
  </si>
  <si>
    <t>B_sed_10m_R1_F1_16May19</t>
  </si>
  <si>
    <t>B_sed_10m_R2_F1_16May19</t>
  </si>
  <si>
    <t>B_sed_5m_R1_F2_30May19</t>
  </si>
  <si>
    <t>B_sed_5m_R2_F2_30May19</t>
  </si>
  <si>
    <t>B_sed_10m_R1_F2_30May19</t>
  </si>
  <si>
    <t>B_sed_10m_R2_F2_30May19</t>
  </si>
  <si>
    <t>B_sed_5m_R1_F1_13Jun19</t>
  </si>
  <si>
    <t>B_sed_5m_R2_F1_13Jun19</t>
  </si>
  <si>
    <t>B_sed_10m_R1_F1_13Jun19</t>
  </si>
  <si>
    <t>B_sed_10m_R2_F1_13Jun19</t>
  </si>
  <si>
    <t>B_sed_5m_R1_F2_20Jun19</t>
  </si>
  <si>
    <t>B_sed_5m_R2_F2_20Jun19</t>
  </si>
  <si>
    <t>B_sed_10m_R1_F1_20Jun19</t>
  </si>
  <si>
    <t>B_sed_10m_R2_F1_20Jun19</t>
  </si>
  <si>
    <t>B_sed_5m_R1_F1_11Jul19</t>
  </si>
  <si>
    <t>B_sed_5m_R2_F1_11Jul19</t>
  </si>
  <si>
    <t>B_sed_10m_R1_F1_11Jul19</t>
  </si>
  <si>
    <t>B_sed_10m_R2_F1_11Jul19</t>
  </si>
  <si>
    <t>Sample #</t>
  </si>
  <si>
    <t>Fe_ppb</t>
  </si>
  <si>
    <t>Mn_ppb</t>
  </si>
  <si>
    <t>Fe_mg_per_L</t>
  </si>
  <si>
    <t>Mn_mg_per_L</t>
  </si>
  <si>
    <t>Volume_filtered_L</t>
  </si>
  <si>
    <t>Volume_total_L</t>
  </si>
  <si>
    <t>Area_of_trap_m2</t>
  </si>
  <si>
    <t>Time_days</t>
  </si>
  <si>
    <t>mg_Fe_per_kg_sed</t>
  </si>
  <si>
    <t>mg_Mn_per_kg_sed</t>
  </si>
  <si>
    <t>Total_Fe_mass_per_trap</t>
  </si>
  <si>
    <t>Total_Mn_mass_per_trap</t>
  </si>
  <si>
    <t>Fe_flux_mg_per_m2d</t>
  </si>
  <si>
    <t>Mn_flux_mg_per_m2d</t>
  </si>
  <si>
    <t>Fe_flux_g_per_m2d</t>
  </si>
  <si>
    <t>Mn_flux_g_per_m2d</t>
  </si>
  <si>
    <t>B_sed_10m_R1_F1_29Apr19</t>
  </si>
  <si>
    <t>F_sed_4m_29Apr19</t>
  </si>
  <si>
    <t>F_sed_8m_29Apr19</t>
  </si>
  <si>
    <t>F_sed_4m_13May19</t>
  </si>
  <si>
    <t>F_sed_8m_13May19</t>
  </si>
  <si>
    <t>F_sed_4m_27May19</t>
  </si>
  <si>
    <t>F_sed_8m_27May19</t>
  </si>
  <si>
    <t>F_sed_4m_10Jun19</t>
  </si>
  <si>
    <t>F_sed_8m_10Jun19</t>
  </si>
  <si>
    <t>F_sed_4m_17Jun19</t>
  </si>
  <si>
    <t>F_sed_8m_17Jun19</t>
  </si>
  <si>
    <t>F_sed_4m_8Jul19</t>
  </si>
  <si>
    <t>F_sed_8m_8Jul19</t>
  </si>
  <si>
    <t xml:space="preserve">F_sed_4m_22Jul19 </t>
  </si>
  <si>
    <t xml:space="preserve">F_sed_8m_22Jul19 </t>
  </si>
  <si>
    <t>B_sed_5m_29Apr19</t>
  </si>
  <si>
    <t>B_sed_10m_29Apr19</t>
  </si>
  <si>
    <t>B_sed_5m_16May19</t>
  </si>
  <si>
    <t>B_sed_10m_16May19</t>
  </si>
  <si>
    <t>B_sed_5m_30May19</t>
  </si>
  <si>
    <t>B_sed_10m_30May19</t>
  </si>
  <si>
    <t>B_sed_5m_13Jun19</t>
  </si>
  <si>
    <t>B_sed_10m_13Jun19</t>
  </si>
  <si>
    <t>B_sed_5m_20Jun19</t>
  </si>
  <si>
    <t>B_sed_10m_20Jun19</t>
  </si>
  <si>
    <t>B_sed_10m_11Jul19</t>
  </si>
  <si>
    <t>B_sed_5m_11Jul19</t>
  </si>
  <si>
    <t>B_sed_5m_25Jul19</t>
  </si>
  <si>
    <t>B_sed_10m_25Jul19</t>
  </si>
  <si>
    <t>F_sed_4m_5Aug19</t>
  </si>
  <si>
    <t>F_sed_8m_5Aug19</t>
  </si>
  <si>
    <t xml:space="preserve">F_sed_4m_19Aug19 </t>
  </si>
  <si>
    <t xml:space="preserve">F_sed_8m_19Aug19 </t>
  </si>
  <si>
    <t>F_sed_4m_2Sep19</t>
  </si>
  <si>
    <t>F_sed_8m_2Sep19</t>
  </si>
  <si>
    <t>F_sed_4m_27Sep19</t>
  </si>
  <si>
    <t>F_sed_8m_27Sep19</t>
  </si>
  <si>
    <t xml:space="preserve">F_sed_4m_11Oct19 </t>
  </si>
  <si>
    <t>F_sed_8m_11Oct19</t>
  </si>
  <si>
    <t>F_sed_4m_23Oct19</t>
  </si>
  <si>
    <t>F_sed_8m_23Oct19</t>
  </si>
  <si>
    <t>F_sed_4m_8Nov19</t>
  </si>
  <si>
    <t>F_sed_8m_8Nov19</t>
  </si>
  <si>
    <t>B_sed_5m_8Aug19</t>
  </si>
  <si>
    <t>B_sed_10m_8Aug19</t>
  </si>
  <si>
    <t>B_sed_5m_22Aug19</t>
  </si>
  <si>
    <t>B_sed_10m_22Aug19</t>
  </si>
  <si>
    <t>B_sed_5m_4Sep19</t>
  </si>
  <si>
    <t>B_sed_10m_4Sep19</t>
  </si>
  <si>
    <t>B_sed_5m_20Sep19</t>
  </si>
  <si>
    <t>B_sed_10m_20Sep19</t>
  </si>
  <si>
    <t>B_sed_5m_4Oct19</t>
  </si>
  <si>
    <t>B_sed_10m_4Oct19</t>
  </si>
  <si>
    <t>B_sed_5m_18Oct19</t>
  </si>
  <si>
    <t>B_sed_10m_18Oct19</t>
  </si>
  <si>
    <t>B_sed_5m_28Oct19</t>
  </si>
  <si>
    <t>B_sed_10m_28Oct19</t>
  </si>
  <si>
    <t>Sample</t>
  </si>
  <si>
    <t>Filter1ID</t>
  </si>
  <si>
    <t>Filter2ID</t>
  </si>
  <si>
    <t>Rack</t>
  </si>
  <si>
    <t>Carousel</t>
  </si>
  <si>
    <t>SampleNum</t>
  </si>
  <si>
    <t>Filter1Mass_g</t>
  </si>
  <si>
    <t>Filter2Mass_g</t>
  </si>
  <si>
    <t>Duration_days</t>
  </si>
  <si>
    <t>F_sed_4m_R1_F1_08Jul19</t>
  </si>
  <si>
    <t>F_sed_8m_R1_F1_08Jul19</t>
  </si>
  <si>
    <t>F_sed_4m_R1_F1_05Aug19</t>
  </si>
  <si>
    <t>F_sed_4m_R2_F2_05Aug19</t>
  </si>
  <si>
    <t>F_sed_4m_R2_F1_08Jul19</t>
  </si>
  <si>
    <t>F_sed_8m_R2_F1_08Jul19</t>
  </si>
  <si>
    <t>F_sed_8m_R1_F1_05Aug19</t>
  </si>
  <si>
    <t>F_sed_8m_R2_F1_05Aug19</t>
  </si>
  <si>
    <t>F_sed_4m_R1_F1_08Nov19</t>
  </si>
  <si>
    <t>F_sed_4m_R2_F1_08Nov19</t>
  </si>
  <si>
    <t>F_sed_8m_R1_F1_08Nov19</t>
  </si>
  <si>
    <t>F_sed_8m_R2_F1_08Nov19</t>
  </si>
  <si>
    <t>B_sed_5m_R1_F1_08Aug19</t>
  </si>
  <si>
    <t>B_sed_5m_R2_F1_08Aug19</t>
  </si>
  <si>
    <t>B_sed_10m_R1_F2_08Aug19</t>
  </si>
  <si>
    <t>B_sed_10m_R2_F2_08Aug19</t>
  </si>
  <si>
    <t>B_sed_5m_R1_F1_04Sep19</t>
  </si>
  <si>
    <t>B_sed_5m_R2_F1_04Sep19</t>
  </si>
  <si>
    <t>B_sed_10m_R1_F1_04Sep19</t>
  </si>
  <si>
    <t>B_sed_10m_R2_F1_04Sep19</t>
  </si>
  <si>
    <t>B_sed_5m_R1_F1_04Oct19</t>
  </si>
  <si>
    <t>B_sed_5m_R2_F1_04Oct19</t>
  </si>
  <si>
    <t>B_sed_10m_R1_F1_04Oct19</t>
  </si>
  <si>
    <t>B_sed_10m_R2_F1_04Oct19</t>
  </si>
  <si>
    <t>11_29Apr19</t>
  </si>
  <si>
    <t>12_29Apr19</t>
  </si>
  <si>
    <t>11_13May19</t>
  </si>
  <si>
    <t>12_13May19</t>
  </si>
  <si>
    <t>11_27May19</t>
  </si>
  <si>
    <t>12_27May19</t>
  </si>
  <si>
    <t>11_10Jun19</t>
  </si>
  <si>
    <t>11_17Jun19</t>
  </si>
  <si>
    <t>12_17Jun19</t>
  </si>
  <si>
    <t>11_08Jul19</t>
  </si>
  <si>
    <t>12_08Jul19</t>
  </si>
  <si>
    <t>11_22Jul19</t>
  </si>
  <si>
    <t>12_22Jul19</t>
  </si>
  <si>
    <t>13_29Apr19</t>
  </si>
  <si>
    <t>13_16May19</t>
  </si>
  <si>
    <t>14_16May19</t>
  </si>
  <si>
    <t>13_30May19</t>
  </si>
  <si>
    <t>14_30May19</t>
  </si>
  <si>
    <t>13_13Jun19</t>
  </si>
  <si>
    <t>14_13Jun19</t>
  </si>
  <si>
    <t>13_20Jun19</t>
  </si>
  <si>
    <t>14_20Jun19</t>
  </si>
  <si>
    <t>13_11Jul19</t>
  </si>
  <si>
    <t>14_11Jul19</t>
  </si>
  <si>
    <t>6_25Jul19</t>
  </si>
  <si>
    <t>8_25Jul19</t>
  </si>
  <si>
    <t>9_1</t>
  </si>
  <si>
    <t>10_1</t>
  </si>
  <si>
    <t>11_05Aug19</t>
  </si>
  <si>
    <t>12_05Aug19</t>
  </si>
  <si>
    <t>11_19Aug19</t>
  </si>
  <si>
    <t>12_19Aug19</t>
  </si>
  <si>
    <t>11_02Sep19</t>
  </si>
  <si>
    <t>F_sed_4m_R1_F1_02Sep19</t>
  </si>
  <si>
    <t>F_sed_4m_R2_F1_02Sep19</t>
  </si>
  <si>
    <t>F_sed_8m_R1_F1_02Sep19</t>
  </si>
  <si>
    <t>F_sed_8m_R2_F1_02Sep19</t>
  </si>
  <si>
    <t>12_02Sep19</t>
  </si>
  <si>
    <t>11_27Sep19</t>
  </si>
  <si>
    <t>12_27Sep19</t>
  </si>
  <si>
    <t>11_11Oct19</t>
  </si>
  <si>
    <t>12_11Oct19</t>
  </si>
  <si>
    <t>11_23Oct19</t>
  </si>
  <si>
    <t>12_23Oct19</t>
  </si>
  <si>
    <t>11_08Nov19</t>
  </si>
  <si>
    <t>12_08Nov19</t>
  </si>
  <si>
    <t>13_08Aug19</t>
  </si>
  <si>
    <t>14_08Aug19</t>
  </si>
  <si>
    <t>13_22Aug19</t>
  </si>
  <si>
    <t>14_22Aug19</t>
  </si>
  <si>
    <t>13_04Sep19</t>
  </si>
  <si>
    <t>14_02Sep19</t>
  </si>
  <si>
    <t>13_20Sep19</t>
  </si>
  <si>
    <t>14_20Sep19</t>
  </si>
  <si>
    <t>13_04Oct19</t>
  </si>
  <si>
    <t>14_04Oct19</t>
  </si>
  <si>
    <t>13_18Oct19</t>
  </si>
  <si>
    <t>14_18Oct19</t>
  </si>
  <si>
    <t>13_28Oct19</t>
  </si>
  <si>
    <t>14_28Oct19</t>
  </si>
  <si>
    <t>9_2</t>
  </si>
  <si>
    <t>10_2</t>
  </si>
  <si>
    <t>4_10Jun19</t>
  </si>
  <si>
    <t>7_29Apr19</t>
  </si>
  <si>
    <t>B_sed_5m_R2_F5_25Jul19</t>
  </si>
  <si>
    <t>B_sed_5m_R2_F2_25Jul19</t>
  </si>
  <si>
    <t>B_sed_10m_R2_F1_25Jul19</t>
  </si>
  <si>
    <t>B_sed_10m_R2_F5_25Jul19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</si>
</sst>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4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E75B-3E90-414C-8216-7205CB44E7BE}">
  <sheetPr>
    <pageSetUpPr fitToPage="1"/>
  </sheetPr>
  <dimension ref="A1:M124"/>
  <sheetViews>
    <sheetView tabSelected="1" topLeftCell="A19" zoomScale="130" zoomScaleNormal="130" workbookViewId="0">
      <selection activeCell="C29" sqref="C29"/>
    </sheetView>
  </sheetViews>
  <sheetFormatPr baseColWidth="10" defaultColWidth="11" defaultRowHeight="16" x14ac:dyDescent="0.2"/>
  <cols>
    <col min="1" max="1" width="11.83203125" bestFit="1" customWidth="1"/>
    <col min="2" max="2" width="30.6640625" bestFit="1" customWidth="1"/>
    <col min="3" max="3" width="30.6640625" customWidth="1"/>
    <col min="4" max="4" width="6.1640625" bestFit="1" customWidth="1"/>
    <col min="5" max="5" width="9.5" bestFit="1" customWidth="1"/>
    <col min="6" max="6" width="11.33203125" bestFit="1" customWidth="1"/>
    <col min="7" max="7" width="15.6640625" bestFit="1" customWidth="1"/>
    <col min="8" max="8" width="15.6640625" customWidth="1"/>
    <col min="9" max="9" width="9.6640625" bestFit="1" customWidth="1"/>
    <col min="10" max="10" width="24.6640625" bestFit="1" customWidth="1"/>
    <col min="11" max="11" width="12" bestFit="1" customWidth="1"/>
  </cols>
  <sheetData>
    <row r="1" spans="1:13" x14ac:dyDescent="0.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200</v>
      </c>
      <c r="H1" s="3" t="s">
        <v>201</v>
      </c>
      <c r="I1" s="1" t="s">
        <v>17</v>
      </c>
      <c r="J1" s="1" t="s">
        <v>18</v>
      </c>
      <c r="K1" s="1" t="s">
        <v>19</v>
      </c>
      <c r="L1" s="8" t="s">
        <v>202</v>
      </c>
    </row>
    <row r="2" spans="1:13" x14ac:dyDescent="0.2">
      <c r="A2" s="1" t="s">
        <v>227</v>
      </c>
      <c r="B2" s="1" t="s">
        <v>82</v>
      </c>
      <c r="C2" s="1" t="s">
        <v>83</v>
      </c>
      <c r="D2" s="6">
        <v>1</v>
      </c>
      <c r="E2" s="6"/>
      <c r="F2" s="6">
        <v>1</v>
      </c>
      <c r="G2" s="3">
        <f>0.13-0.1153</f>
        <v>1.4700000000000005E-2</v>
      </c>
      <c r="H2" s="3">
        <f>0.1251-0.1146</f>
        <v>1.0499999999999995E-2</v>
      </c>
      <c r="I2" s="3">
        <v>0.01</v>
      </c>
      <c r="J2" s="3">
        <v>5.0000000000000001E-4</v>
      </c>
      <c r="K2" s="3">
        <v>0.01</v>
      </c>
      <c r="L2" s="1">
        <v>14</v>
      </c>
      <c r="M2" s="4"/>
    </row>
    <row r="3" spans="1:13" x14ac:dyDescent="0.2">
      <c r="A3" s="1" t="s">
        <v>228</v>
      </c>
      <c r="B3" s="1" t="s">
        <v>84</v>
      </c>
      <c r="C3" s="1" t="s">
        <v>85</v>
      </c>
      <c r="D3" s="6">
        <v>2</v>
      </c>
      <c r="E3" s="6"/>
      <c r="F3" s="6">
        <v>2</v>
      </c>
      <c r="G3" s="3">
        <f>0.125-0.1151</f>
        <v>9.900000000000006E-3</v>
      </c>
      <c r="H3" s="3">
        <f>0.1226-0.1147</f>
        <v>7.9000000000000042E-3</v>
      </c>
      <c r="I3" s="3">
        <v>0.01</v>
      </c>
      <c r="J3" s="3">
        <v>5.0000000000000001E-4</v>
      </c>
      <c r="K3" s="3">
        <v>0.01</v>
      </c>
      <c r="L3" s="1">
        <v>14</v>
      </c>
      <c r="M3" s="4"/>
    </row>
    <row r="4" spans="1:13" x14ac:dyDescent="0.2">
      <c r="A4" s="1" t="s">
        <v>229</v>
      </c>
      <c r="B4" s="1" t="s">
        <v>86</v>
      </c>
      <c r="C4" s="1" t="s">
        <v>87</v>
      </c>
      <c r="D4" s="3">
        <v>3</v>
      </c>
      <c r="E4" s="3"/>
      <c r="F4" s="3">
        <v>3</v>
      </c>
      <c r="G4" s="3">
        <f>0.1203-0.1128</f>
        <v>7.5000000000000067E-3</v>
      </c>
      <c r="H4" s="3">
        <f>0.121-0.1136</f>
        <v>7.3999999999999899E-3</v>
      </c>
      <c r="I4" s="3">
        <v>0.01</v>
      </c>
      <c r="J4" s="3">
        <v>5.0000000000000001E-4</v>
      </c>
      <c r="K4" s="3">
        <v>0.01</v>
      </c>
      <c r="L4" s="1">
        <v>14</v>
      </c>
      <c r="M4" s="4"/>
    </row>
    <row r="5" spans="1:13" x14ac:dyDescent="0.2">
      <c r="A5" s="1" t="s">
        <v>230</v>
      </c>
      <c r="B5" s="1" t="s">
        <v>88</v>
      </c>
      <c r="C5" s="1" t="s">
        <v>89</v>
      </c>
      <c r="D5" s="3">
        <v>4</v>
      </c>
      <c r="E5" s="3"/>
      <c r="F5" s="3">
        <v>4</v>
      </c>
      <c r="G5" s="3">
        <f>0.1236-0.1135</f>
        <v>1.0099999999999998E-2</v>
      </c>
      <c r="H5" s="3">
        <f>0.1236-0.1135</f>
        <v>1.0099999999999998E-2</v>
      </c>
      <c r="I5" s="3">
        <v>0.01</v>
      </c>
      <c r="J5" s="3">
        <v>5.0000000000000001E-4</v>
      </c>
      <c r="K5" s="3">
        <v>0.01</v>
      </c>
      <c r="L5" s="1">
        <v>14</v>
      </c>
      <c r="M5" s="4"/>
    </row>
    <row r="6" spans="1:13" x14ac:dyDescent="0.2">
      <c r="A6" s="1" t="s">
        <v>231</v>
      </c>
      <c r="B6" s="1" t="s">
        <v>1</v>
      </c>
      <c r="C6" s="1" t="s">
        <v>90</v>
      </c>
      <c r="D6" s="3">
        <v>5</v>
      </c>
      <c r="E6" s="3"/>
      <c r="F6" s="3">
        <v>5</v>
      </c>
      <c r="G6" s="3">
        <f>0.123-0.1138</f>
        <v>9.1999999999999998E-3</v>
      </c>
      <c r="H6" s="3">
        <f>0.1246-0.1152</f>
        <v>9.4000000000000056E-3</v>
      </c>
      <c r="I6" s="3">
        <v>0.01</v>
      </c>
      <c r="J6" s="3">
        <v>5.0000000000000001E-4</v>
      </c>
      <c r="K6" s="3">
        <v>0.01</v>
      </c>
      <c r="L6" s="1">
        <v>14</v>
      </c>
      <c r="M6" s="4"/>
    </row>
    <row r="7" spans="1:13" x14ac:dyDescent="0.2">
      <c r="A7" s="1" t="s">
        <v>232</v>
      </c>
      <c r="B7" s="1" t="s">
        <v>2</v>
      </c>
      <c r="C7" s="1" t="s">
        <v>91</v>
      </c>
      <c r="D7" s="3">
        <v>6</v>
      </c>
      <c r="E7" s="3"/>
      <c r="F7" s="3">
        <v>6</v>
      </c>
      <c r="G7" s="3">
        <f>0.1228-0.1138</f>
        <v>9.000000000000008E-3</v>
      </c>
      <c r="H7" s="3">
        <f>0.1226-0.1145</f>
        <v>8.0999999999999961E-3</v>
      </c>
      <c r="I7" s="3">
        <v>0.01</v>
      </c>
      <c r="J7" s="3">
        <v>5.0000000000000001E-4</v>
      </c>
      <c r="K7" s="3">
        <v>0.01</v>
      </c>
      <c r="L7" s="1">
        <v>14</v>
      </c>
    </row>
    <row r="8" spans="1:13" x14ac:dyDescent="0.2">
      <c r="A8" s="1" t="s">
        <v>233</v>
      </c>
      <c r="B8" s="1" t="s">
        <v>92</v>
      </c>
      <c r="C8" s="1" t="s">
        <v>3</v>
      </c>
      <c r="D8" s="3">
        <v>7</v>
      </c>
      <c r="E8" s="3"/>
      <c r="F8" s="3">
        <v>7</v>
      </c>
      <c r="G8" s="3">
        <f>0.1226-0.115</f>
        <v>7.5999999999999956E-3</v>
      </c>
      <c r="H8" s="3">
        <f>0.1215-0.1154</f>
        <v>6.0999999999999943E-3</v>
      </c>
      <c r="I8" s="3">
        <v>0.01</v>
      </c>
      <c r="J8" s="3">
        <v>5.0000000000000001E-4</v>
      </c>
      <c r="K8" s="3">
        <v>0.01</v>
      </c>
      <c r="L8" s="1">
        <v>14</v>
      </c>
      <c r="M8" s="4"/>
    </row>
    <row r="9" spans="1:13" x14ac:dyDescent="0.2">
      <c r="A9" s="1" t="s">
        <v>289</v>
      </c>
      <c r="B9" s="7" t="s">
        <v>93</v>
      </c>
      <c r="C9" s="7"/>
      <c r="D9" s="3">
        <v>8</v>
      </c>
      <c r="E9" s="3"/>
      <c r="F9" s="3">
        <v>8</v>
      </c>
      <c r="G9" s="3">
        <f>0.1266-0.1151</f>
        <v>1.1499999999999996E-2</v>
      </c>
      <c r="H9" s="3"/>
      <c r="I9" s="3">
        <v>0.01</v>
      </c>
      <c r="J9" s="3">
        <v>5.0000000000000001E-4</v>
      </c>
      <c r="K9" s="3">
        <v>0.01</v>
      </c>
      <c r="L9" s="1">
        <v>14</v>
      </c>
    </row>
    <row r="10" spans="1:13" x14ac:dyDescent="0.2">
      <c r="A10" s="1" t="s">
        <v>234</v>
      </c>
      <c r="B10" s="1" t="s">
        <v>94</v>
      </c>
      <c r="C10" s="1" t="s">
        <v>95</v>
      </c>
      <c r="D10" s="3">
        <v>9</v>
      </c>
      <c r="E10" s="3"/>
      <c r="F10" s="3">
        <v>9</v>
      </c>
      <c r="G10" s="3">
        <f>0.1185-0.1139</f>
        <v>4.599999999999993E-3</v>
      </c>
      <c r="H10" s="3">
        <f>0.1181-0.1132</f>
        <v>4.9000000000000016E-3</v>
      </c>
      <c r="I10" s="3">
        <v>0.01</v>
      </c>
      <c r="J10" s="3">
        <v>5.0000000000000001E-4</v>
      </c>
      <c r="K10" s="3">
        <v>0.01</v>
      </c>
      <c r="L10" s="1">
        <v>7</v>
      </c>
      <c r="M10" s="4"/>
    </row>
    <row r="11" spans="1:13" x14ac:dyDescent="0.2">
      <c r="A11" s="8" t="s">
        <v>235</v>
      </c>
      <c r="B11" s="1" t="s">
        <v>4</v>
      </c>
      <c r="C11" s="1" t="s">
        <v>96</v>
      </c>
      <c r="D11" s="3">
        <v>10</v>
      </c>
      <c r="E11" s="3"/>
      <c r="F11" s="3">
        <v>10</v>
      </c>
      <c r="G11" s="3">
        <f>0.1277-0.1148</f>
        <v>1.2900000000000009E-2</v>
      </c>
      <c r="H11" s="3">
        <f>0.1427-0.1153</f>
        <v>2.7399999999999994E-2</v>
      </c>
      <c r="I11" s="3">
        <v>0.01</v>
      </c>
      <c r="J11" s="3">
        <v>5.0000000000000001E-4</v>
      </c>
      <c r="K11" s="3">
        <v>0.01</v>
      </c>
      <c r="L11" s="1">
        <v>7</v>
      </c>
    </row>
    <row r="12" spans="1:13" x14ac:dyDescent="0.2">
      <c r="A12" s="1" t="s">
        <v>236</v>
      </c>
      <c r="B12" s="1" t="s">
        <v>203</v>
      </c>
      <c r="C12" s="1" t="s">
        <v>207</v>
      </c>
      <c r="D12" s="3">
        <v>11</v>
      </c>
      <c r="E12" s="3"/>
      <c r="F12" s="3">
        <v>11</v>
      </c>
      <c r="G12" s="3">
        <f>0.131-0.1151</f>
        <v>1.5900000000000011E-2</v>
      </c>
      <c r="H12" s="3">
        <f>0.128-0.1139</f>
        <v>1.4100000000000001E-2</v>
      </c>
      <c r="I12" s="3">
        <v>0.01</v>
      </c>
      <c r="J12" s="3">
        <v>5.0000000000000001E-4</v>
      </c>
      <c r="K12" s="3">
        <v>0.01</v>
      </c>
      <c r="L12" s="1">
        <v>21</v>
      </c>
      <c r="M12" s="4"/>
    </row>
    <row r="13" spans="1:13" x14ac:dyDescent="0.2">
      <c r="A13" s="1" t="s">
        <v>237</v>
      </c>
      <c r="B13" s="1" t="s">
        <v>204</v>
      </c>
      <c r="C13" s="1" t="s">
        <v>208</v>
      </c>
      <c r="D13" s="3">
        <v>12</v>
      </c>
      <c r="E13" s="3"/>
      <c r="F13" s="3">
        <v>12</v>
      </c>
      <c r="G13" s="3">
        <f>0.1323-0.1145</f>
        <v>1.7799999999999996E-2</v>
      </c>
      <c r="H13" s="3">
        <f>0.1331-0.1136</f>
        <v>1.949999999999999E-2</v>
      </c>
      <c r="I13" s="3">
        <v>0.01</v>
      </c>
      <c r="J13" s="3">
        <v>5.0000000000000001E-4</v>
      </c>
      <c r="K13" s="3">
        <v>0.01</v>
      </c>
      <c r="L13" s="1">
        <v>21</v>
      </c>
    </row>
    <row r="14" spans="1:13" x14ac:dyDescent="0.2">
      <c r="A14" s="1" t="s">
        <v>238</v>
      </c>
      <c r="B14" s="1" t="s">
        <v>5</v>
      </c>
      <c r="C14" s="1" t="s">
        <v>97</v>
      </c>
      <c r="D14" s="3">
        <v>13</v>
      </c>
      <c r="E14" s="3"/>
      <c r="F14" s="3">
        <v>13</v>
      </c>
      <c r="G14" s="3">
        <f>0.1281-0.1148</f>
        <v>1.3299999999999992E-2</v>
      </c>
      <c r="H14" s="3">
        <f>0.1216-0.1139</f>
        <v>7.6999999999999985E-3</v>
      </c>
      <c r="I14" s="3">
        <v>0.01</v>
      </c>
      <c r="J14" s="3">
        <v>5.0000000000000001E-4</v>
      </c>
      <c r="K14" s="3">
        <v>0.01</v>
      </c>
      <c r="L14" s="1">
        <v>14</v>
      </c>
      <c r="M14" s="4"/>
    </row>
    <row r="15" spans="1:13" x14ac:dyDescent="0.2">
      <c r="A15" s="1" t="s">
        <v>239</v>
      </c>
      <c r="B15" s="1" t="s">
        <v>6</v>
      </c>
      <c r="C15" s="1" t="s">
        <v>98</v>
      </c>
      <c r="D15" s="3">
        <v>14</v>
      </c>
      <c r="E15" s="3"/>
      <c r="F15" s="3">
        <v>14</v>
      </c>
      <c r="G15" s="3">
        <f>0.1303-0.1139</f>
        <v>1.6399999999999998E-2</v>
      </c>
      <c r="H15" s="3">
        <f>0.1521-0.1135</f>
        <v>3.8600000000000009E-2</v>
      </c>
      <c r="I15" s="3">
        <v>0.01</v>
      </c>
      <c r="J15" s="3">
        <v>5.0000000000000001E-4</v>
      </c>
      <c r="K15" s="3">
        <v>0.01</v>
      </c>
      <c r="L15" s="1">
        <v>14</v>
      </c>
    </row>
    <row r="16" spans="1:13" x14ac:dyDescent="0.2">
      <c r="A16" s="1" t="s">
        <v>240</v>
      </c>
      <c r="B16" s="1" t="s">
        <v>7</v>
      </c>
      <c r="C16" s="1" t="s">
        <v>99</v>
      </c>
      <c r="D16" s="3">
        <v>15</v>
      </c>
      <c r="E16" s="3"/>
      <c r="F16" s="3">
        <v>15</v>
      </c>
      <c r="G16" s="3">
        <f>0.1321-0.1153</f>
        <v>1.6799999999999995E-2</v>
      </c>
      <c r="H16" s="3">
        <f>0.1232-0.1145</f>
        <v>8.6999999999999994E-3</v>
      </c>
      <c r="I16" s="3">
        <v>0.01</v>
      </c>
      <c r="J16" s="3">
        <v>5.0000000000000001E-4</v>
      </c>
      <c r="K16" s="3">
        <v>0.01</v>
      </c>
      <c r="L16" s="1">
        <v>21</v>
      </c>
      <c r="M16" s="4"/>
    </row>
    <row r="17" spans="1:13" x14ac:dyDescent="0.2">
      <c r="A17" s="1" t="s">
        <v>290</v>
      </c>
      <c r="B17" s="1" t="s">
        <v>137</v>
      </c>
      <c r="C17" s="1"/>
      <c r="D17" s="3">
        <v>16</v>
      </c>
      <c r="E17" s="3"/>
      <c r="F17" s="3">
        <v>16</v>
      </c>
      <c r="G17" s="3">
        <v>8.0999999999999996E-3</v>
      </c>
      <c r="H17" s="3"/>
      <c r="I17" s="3">
        <v>0.01</v>
      </c>
      <c r="J17" s="3">
        <v>5.0000000000000001E-4</v>
      </c>
      <c r="K17" s="3">
        <v>0.01</v>
      </c>
      <c r="L17" s="1">
        <v>21</v>
      </c>
    </row>
    <row r="18" spans="1:13" x14ac:dyDescent="0.2">
      <c r="A18" s="1" t="s">
        <v>241</v>
      </c>
      <c r="B18" s="1" t="s">
        <v>100</v>
      </c>
      <c r="C18" s="1" t="s">
        <v>101</v>
      </c>
      <c r="D18" s="3">
        <v>17</v>
      </c>
      <c r="E18" s="3"/>
      <c r="F18" s="3">
        <v>17</v>
      </c>
      <c r="G18" s="3">
        <f>0.1284-0.1147</f>
        <v>1.369999999999999E-2</v>
      </c>
      <c r="H18" s="3">
        <f>0.124-0.1143</f>
        <v>9.7000000000000003E-3</v>
      </c>
      <c r="I18" s="3">
        <v>0.01</v>
      </c>
      <c r="J18" s="3">
        <v>5.0000000000000001E-4</v>
      </c>
      <c r="K18" s="3">
        <v>0.01</v>
      </c>
      <c r="L18" s="1">
        <v>17</v>
      </c>
      <c r="M18" s="4"/>
    </row>
    <row r="19" spans="1:13" x14ac:dyDescent="0.2">
      <c r="A19" s="1" t="s">
        <v>242</v>
      </c>
      <c r="B19" s="1" t="s">
        <v>102</v>
      </c>
      <c r="C19" s="1" t="s">
        <v>103</v>
      </c>
      <c r="D19" s="3">
        <v>18</v>
      </c>
      <c r="E19" s="3"/>
      <c r="F19" s="3">
        <v>18</v>
      </c>
      <c r="G19" s="3">
        <f>0.1305-0.1156</f>
        <v>1.490000000000001E-2</v>
      </c>
      <c r="H19" s="3">
        <f>0.1241-0.1148</f>
        <v>9.3000000000000027E-3</v>
      </c>
      <c r="I19" s="3">
        <v>0.01</v>
      </c>
      <c r="J19" s="3">
        <v>5.0000000000000001E-4</v>
      </c>
      <c r="K19" s="3">
        <v>0.01</v>
      </c>
      <c r="L19" s="1">
        <v>17</v>
      </c>
    </row>
    <row r="20" spans="1:13" x14ac:dyDescent="0.2">
      <c r="A20" s="1" t="s">
        <v>243</v>
      </c>
      <c r="B20" s="1" t="s">
        <v>104</v>
      </c>
      <c r="C20" s="1" t="s">
        <v>105</v>
      </c>
      <c r="D20" s="3">
        <v>19</v>
      </c>
      <c r="E20" s="3"/>
      <c r="F20" s="3">
        <v>19</v>
      </c>
      <c r="G20" s="3">
        <f>0.1231-0.1133</f>
        <v>9.8000000000000032E-3</v>
      </c>
      <c r="H20" s="3">
        <f>0.1229-0.1151</f>
        <v>7.8000000000000014E-3</v>
      </c>
      <c r="I20" s="3">
        <v>0.01</v>
      </c>
      <c r="J20" s="3">
        <v>5.0000000000000001E-4</v>
      </c>
      <c r="K20" s="3">
        <v>0.01</v>
      </c>
      <c r="L20" s="1">
        <v>14</v>
      </c>
      <c r="M20" s="4"/>
    </row>
    <row r="21" spans="1:13" x14ac:dyDescent="0.2">
      <c r="A21" s="1" t="s">
        <v>244</v>
      </c>
      <c r="B21" s="1" t="s">
        <v>106</v>
      </c>
      <c r="C21" s="1" t="s">
        <v>107</v>
      </c>
      <c r="D21" s="3">
        <v>20</v>
      </c>
      <c r="E21" s="3"/>
      <c r="F21" s="3">
        <v>20</v>
      </c>
      <c r="G21" s="3">
        <f>0.1254-0.1152</f>
        <v>1.0200000000000015E-2</v>
      </c>
      <c r="H21" s="3">
        <f>0.1257-0.1144</f>
        <v>1.1300000000000004E-2</v>
      </c>
      <c r="I21" s="3">
        <v>0.01</v>
      </c>
      <c r="J21" s="3">
        <v>5.0000000000000001E-4</v>
      </c>
      <c r="K21" s="3">
        <v>0.01</v>
      </c>
      <c r="L21" s="1">
        <v>14</v>
      </c>
    </row>
    <row r="22" spans="1:13" x14ac:dyDescent="0.2">
      <c r="A22" s="1" t="s">
        <v>245</v>
      </c>
      <c r="B22" s="1" t="s">
        <v>108</v>
      </c>
      <c r="C22" s="1" t="s">
        <v>109</v>
      </c>
      <c r="D22" s="3">
        <v>21</v>
      </c>
      <c r="E22" s="3"/>
      <c r="F22" s="3">
        <v>21</v>
      </c>
      <c r="G22" s="3">
        <f>0.1292-0.115</f>
        <v>1.4200000000000004E-2</v>
      </c>
      <c r="H22" s="3">
        <f>0.124-0.114</f>
        <v>9.999999999999995E-3</v>
      </c>
      <c r="I22" s="3">
        <v>0.01</v>
      </c>
      <c r="J22" s="3">
        <v>5.0000000000000001E-4</v>
      </c>
      <c r="K22" s="3">
        <v>0.01</v>
      </c>
      <c r="L22" s="1">
        <v>14</v>
      </c>
      <c r="M22" s="4"/>
    </row>
    <row r="23" spans="1:13" x14ac:dyDescent="0.2">
      <c r="A23" s="1" t="s">
        <v>246</v>
      </c>
      <c r="B23" s="1" t="s">
        <v>110</v>
      </c>
      <c r="C23" s="1" t="s">
        <v>111</v>
      </c>
      <c r="D23" s="3">
        <v>22</v>
      </c>
      <c r="E23" s="3"/>
      <c r="F23" s="3">
        <v>22</v>
      </c>
      <c r="G23" s="3">
        <f>0.1295-0.114</f>
        <v>1.55E-2</v>
      </c>
      <c r="H23" s="3">
        <f>0.1299-0.1142</f>
        <v>1.5699999999999992E-2</v>
      </c>
      <c r="I23" s="3">
        <v>0.01</v>
      </c>
      <c r="J23" s="3">
        <v>5.0000000000000001E-4</v>
      </c>
      <c r="K23" s="3">
        <v>0.01</v>
      </c>
      <c r="L23" s="1">
        <v>14</v>
      </c>
    </row>
    <row r="24" spans="1:13" x14ac:dyDescent="0.2">
      <c r="A24" s="1" t="s">
        <v>247</v>
      </c>
      <c r="B24" s="1" t="s">
        <v>112</v>
      </c>
      <c r="C24" s="1" t="s">
        <v>113</v>
      </c>
      <c r="D24" s="3">
        <v>23</v>
      </c>
      <c r="E24" s="3"/>
      <c r="F24" s="3">
        <v>23</v>
      </c>
      <c r="G24" s="3">
        <f>0.1187-0.1143</f>
        <v>4.4000000000000011E-3</v>
      </c>
      <c r="H24" s="3">
        <f>0.119-0.115</f>
        <v>3.9999999999999897E-3</v>
      </c>
      <c r="I24" s="3">
        <v>0.01</v>
      </c>
      <c r="J24" s="3">
        <v>5.0000000000000001E-4</v>
      </c>
      <c r="K24" s="3">
        <v>0.01</v>
      </c>
      <c r="L24" s="1">
        <v>7</v>
      </c>
      <c r="M24" s="4"/>
    </row>
    <row r="25" spans="1:13" x14ac:dyDescent="0.2">
      <c r="A25" s="1" t="s">
        <v>248</v>
      </c>
      <c r="B25" s="1" t="s">
        <v>114</v>
      </c>
      <c r="C25" s="1" t="s">
        <v>115</v>
      </c>
      <c r="D25" s="3">
        <v>24</v>
      </c>
      <c r="E25" s="3"/>
      <c r="F25" s="3">
        <v>24</v>
      </c>
      <c r="G25" s="3">
        <f>0.1332-0.1147</f>
        <v>1.8500000000000016E-2</v>
      </c>
      <c r="H25" s="3">
        <f>0.1215-0.114</f>
        <v>7.4999999999999928E-3</v>
      </c>
      <c r="I25" s="3">
        <v>0.01</v>
      </c>
      <c r="J25" s="3">
        <v>5.0000000000000001E-4</v>
      </c>
      <c r="K25" s="3">
        <v>0.01</v>
      </c>
      <c r="L25" s="1">
        <v>7</v>
      </c>
    </row>
    <row r="26" spans="1:13" x14ac:dyDescent="0.2">
      <c r="A26" s="1" t="s">
        <v>249</v>
      </c>
      <c r="B26" s="1" t="s">
        <v>116</v>
      </c>
      <c r="C26" s="1" t="s">
        <v>117</v>
      </c>
      <c r="D26" s="3">
        <v>25</v>
      </c>
      <c r="E26" s="3"/>
      <c r="F26" s="3">
        <v>25</v>
      </c>
      <c r="G26" s="3">
        <f>0.1294-0.1134</f>
        <v>1.5999999999999986E-2</v>
      </c>
      <c r="H26" s="3">
        <f>0.1273-0.1144</f>
        <v>1.2899999999999995E-2</v>
      </c>
      <c r="I26" s="3">
        <v>0.01</v>
      </c>
      <c r="J26" s="3">
        <v>5.0000000000000001E-4</v>
      </c>
      <c r="K26" s="3">
        <v>0.01</v>
      </c>
      <c r="L26" s="1">
        <v>21</v>
      </c>
      <c r="M26" s="4"/>
    </row>
    <row r="27" spans="1:13" x14ac:dyDescent="0.2">
      <c r="A27" s="1" t="s">
        <v>250</v>
      </c>
      <c r="B27" s="1" t="s">
        <v>118</v>
      </c>
      <c r="C27" s="1" t="s">
        <v>119</v>
      </c>
      <c r="D27" s="3">
        <v>26</v>
      </c>
      <c r="E27" s="3"/>
      <c r="F27" s="3">
        <v>26</v>
      </c>
      <c r="G27" s="3">
        <f>0.1381-0.1141</f>
        <v>2.4000000000000007E-2</v>
      </c>
      <c r="H27" s="3">
        <f>0.1348-0.1144</f>
        <v>2.0400000000000001E-2</v>
      </c>
      <c r="I27" s="3">
        <v>0.01</v>
      </c>
      <c r="J27" s="3">
        <v>5.0000000000000001E-4</v>
      </c>
      <c r="K27" s="3">
        <v>0.01</v>
      </c>
      <c r="L27" s="1">
        <v>21</v>
      </c>
    </row>
    <row r="28" spans="1:13" x14ac:dyDescent="0.2">
      <c r="A28" s="1" t="s">
        <v>251</v>
      </c>
      <c r="B28" s="1" t="s">
        <v>291</v>
      </c>
      <c r="C28" s="1" t="s">
        <v>292</v>
      </c>
      <c r="D28" s="3">
        <v>27</v>
      </c>
      <c r="E28" s="3"/>
      <c r="F28" s="3">
        <v>27</v>
      </c>
      <c r="G28" s="3">
        <f>0.1237-0.1145</f>
        <v>9.1999999999999998E-3</v>
      </c>
      <c r="H28" s="3">
        <f>0.1297-0.1142</f>
        <v>1.5500000000000014E-2</v>
      </c>
      <c r="I28" s="3">
        <v>0.01</v>
      </c>
      <c r="J28" s="3">
        <v>5.0000000000000001E-4</v>
      </c>
      <c r="K28" s="3">
        <v>0.01</v>
      </c>
      <c r="L28" s="1">
        <v>14</v>
      </c>
      <c r="M28" s="4"/>
    </row>
    <row r="29" spans="1:13" x14ac:dyDescent="0.2">
      <c r="A29" s="1" t="s">
        <v>252</v>
      </c>
      <c r="B29" s="1" t="s">
        <v>294</v>
      </c>
      <c r="C29" s="1" t="s">
        <v>293</v>
      </c>
      <c r="D29" s="3">
        <v>28</v>
      </c>
      <c r="E29" s="3"/>
      <c r="F29" s="3">
        <v>28</v>
      </c>
      <c r="G29" s="3">
        <f>0.1325-0.1138</f>
        <v>1.8700000000000008E-2</v>
      </c>
      <c r="H29" s="3">
        <f>0.1295-0.1146</f>
        <v>1.490000000000001E-2</v>
      </c>
      <c r="I29" s="3">
        <v>0.01</v>
      </c>
      <c r="J29" s="3">
        <v>5.0000000000000001E-4</v>
      </c>
      <c r="K29" s="3">
        <v>0.01</v>
      </c>
      <c r="L29" s="1">
        <v>14</v>
      </c>
    </row>
    <row r="30" spans="1:13" x14ac:dyDescent="0.2">
      <c r="A30" s="1" t="s">
        <v>253</v>
      </c>
      <c r="B30" s="1" t="s">
        <v>79</v>
      </c>
      <c r="C30" s="1"/>
      <c r="D30" s="3">
        <v>34</v>
      </c>
      <c r="E30" s="1"/>
      <c r="F30" s="3">
        <v>34</v>
      </c>
      <c r="G30" s="3">
        <v>2.1000000000000001E-2</v>
      </c>
      <c r="H30" s="3"/>
      <c r="I30" s="3">
        <v>0.01</v>
      </c>
      <c r="J30" s="3">
        <v>5.0000000000000001E-3</v>
      </c>
      <c r="K30" s="3">
        <v>0.01</v>
      </c>
      <c r="M30" s="4"/>
    </row>
    <row r="31" spans="1:13" x14ac:dyDescent="0.2">
      <c r="A31" s="1" t="s">
        <v>254</v>
      </c>
      <c r="B31" s="1" t="s">
        <v>80</v>
      </c>
      <c r="C31" s="1"/>
      <c r="D31" s="3">
        <v>35</v>
      </c>
      <c r="E31" s="1"/>
      <c r="F31" s="3">
        <v>35</v>
      </c>
      <c r="G31" s="3">
        <v>0</v>
      </c>
      <c r="H31" s="3"/>
      <c r="I31" s="3">
        <v>0.01</v>
      </c>
      <c r="J31" s="3">
        <v>5.0000000000000001E-3</v>
      </c>
      <c r="K31" s="3">
        <v>0.01</v>
      </c>
    </row>
    <row r="32" spans="1:13" x14ac:dyDescent="0.2">
      <c r="A32" s="2" t="s">
        <v>255</v>
      </c>
      <c r="B32" s="1" t="s">
        <v>205</v>
      </c>
      <c r="C32" s="1" t="s">
        <v>206</v>
      </c>
      <c r="D32" s="3">
        <v>1</v>
      </c>
      <c r="E32" s="3"/>
      <c r="F32" s="6">
        <v>36</v>
      </c>
      <c r="G32" s="3">
        <f>0.1203-0.1135</f>
        <v>6.8000000000000005E-3</v>
      </c>
      <c r="H32" s="3">
        <f>0.1219-0.1139</f>
        <v>7.9999999999999932E-3</v>
      </c>
      <c r="I32" s="3">
        <v>0.01</v>
      </c>
      <c r="J32" s="3">
        <v>5.0000000000000001E-4</v>
      </c>
      <c r="K32" s="3">
        <v>0.01</v>
      </c>
      <c r="L32" s="1">
        <v>14</v>
      </c>
      <c r="M32" s="4"/>
    </row>
    <row r="33" spans="1:13" x14ac:dyDescent="0.2">
      <c r="A33" s="2" t="s">
        <v>256</v>
      </c>
      <c r="B33" s="1" t="s">
        <v>209</v>
      </c>
      <c r="C33" s="1" t="s">
        <v>210</v>
      </c>
      <c r="D33" s="3">
        <v>2</v>
      </c>
      <c r="E33" s="3"/>
      <c r="F33" s="6">
        <v>37</v>
      </c>
      <c r="G33" s="3">
        <f>0.1245-0.1149</f>
        <v>9.5999999999999974E-3</v>
      </c>
      <c r="H33" s="3">
        <f>0.1239-0.1143</f>
        <v>9.5999999999999974E-3</v>
      </c>
      <c r="I33" s="3">
        <v>0.01</v>
      </c>
      <c r="J33" s="3">
        <v>5.0000000000000001E-4</v>
      </c>
      <c r="K33" s="3">
        <v>0.01</v>
      </c>
      <c r="L33" s="1">
        <v>14</v>
      </c>
    </row>
    <row r="34" spans="1:13" x14ac:dyDescent="0.2">
      <c r="A34" s="2" t="s">
        <v>257</v>
      </c>
      <c r="B34" s="1" t="s">
        <v>24</v>
      </c>
      <c r="C34" s="1" t="s">
        <v>25</v>
      </c>
      <c r="D34" s="3">
        <v>3</v>
      </c>
      <c r="E34" s="3"/>
      <c r="F34" s="6">
        <v>38</v>
      </c>
      <c r="G34" s="3">
        <f>0.1218-0.1144</f>
        <v>7.4000000000000038E-3</v>
      </c>
      <c r="H34" s="3">
        <f>0.1197-0.1138</f>
        <v>5.9000000000000025E-3</v>
      </c>
      <c r="I34" s="3">
        <v>0.01</v>
      </c>
      <c r="J34" s="3">
        <v>5.0000000000000001E-4</v>
      </c>
      <c r="K34" s="3">
        <v>0.01</v>
      </c>
      <c r="L34" s="1">
        <v>14</v>
      </c>
      <c r="M34" s="4"/>
    </row>
    <row r="35" spans="1:13" x14ac:dyDescent="0.2">
      <c r="A35" s="2" t="s">
        <v>258</v>
      </c>
      <c r="B35" s="1" t="s">
        <v>26</v>
      </c>
      <c r="C35" s="1" t="s">
        <v>27</v>
      </c>
      <c r="D35" s="3">
        <v>4</v>
      </c>
      <c r="E35" s="3"/>
      <c r="F35" s="6">
        <v>39</v>
      </c>
      <c r="G35" s="3">
        <f>0.1291-0.114</f>
        <v>1.5099999999999988E-2</v>
      </c>
      <c r="H35" s="3">
        <f>0.1262-0.1135</f>
        <v>1.2700000000000003E-2</v>
      </c>
      <c r="I35" s="3">
        <v>0.01</v>
      </c>
      <c r="J35" s="3">
        <v>5.0000000000000001E-4</v>
      </c>
      <c r="K35" s="3">
        <v>0.01</v>
      </c>
      <c r="L35" s="1">
        <v>14</v>
      </c>
    </row>
    <row r="36" spans="1:13" x14ac:dyDescent="0.2">
      <c r="A36" s="2" t="s">
        <v>259</v>
      </c>
      <c r="B36" s="1" t="s">
        <v>260</v>
      </c>
      <c r="C36" s="1" t="s">
        <v>261</v>
      </c>
      <c r="D36" s="3">
        <v>5</v>
      </c>
      <c r="E36" s="3"/>
      <c r="F36" s="6">
        <v>40</v>
      </c>
      <c r="G36" s="3">
        <f>0.1168-0.1137</f>
        <v>3.1000000000000055E-3</v>
      </c>
      <c r="H36" s="3">
        <f>0.1186-0.1147</f>
        <v>3.9000000000000007E-3</v>
      </c>
      <c r="I36" s="3">
        <v>0.01</v>
      </c>
      <c r="J36" s="3">
        <v>5.0000000000000001E-4</v>
      </c>
      <c r="K36" s="3">
        <v>0.01</v>
      </c>
      <c r="L36" s="1">
        <v>14</v>
      </c>
      <c r="M36" s="4"/>
    </row>
    <row r="37" spans="1:13" x14ac:dyDescent="0.2">
      <c r="A37" s="2" t="s">
        <v>264</v>
      </c>
      <c r="B37" s="1" t="s">
        <v>262</v>
      </c>
      <c r="C37" s="1" t="s">
        <v>263</v>
      </c>
      <c r="D37" s="3">
        <v>6</v>
      </c>
      <c r="E37" s="3"/>
      <c r="F37" s="6">
        <v>41</v>
      </c>
      <c r="G37" s="3">
        <f>0.1205-0.1151</f>
        <v>5.400000000000002E-3</v>
      </c>
      <c r="H37" s="3">
        <f>0.1278-0.1148</f>
        <v>1.2999999999999998E-2</v>
      </c>
      <c r="I37" s="3">
        <v>0.01</v>
      </c>
      <c r="J37" s="3">
        <v>5.0000000000000001E-4</v>
      </c>
      <c r="K37" s="3">
        <v>0.01</v>
      </c>
      <c r="L37" s="1">
        <v>14</v>
      </c>
    </row>
    <row r="38" spans="1:13" x14ac:dyDescent="0.2">
      <c r="A38" s="2" t="s">
        <v>265</v>
      </c>
      <c r="B38" s="1" t="s">
        <v>32</v>
      </c>
      <c r="C38" s="1" t="s">
        <v>33</v>
      </c>
      <c r="D38" s="3">
        <v>7</v>
      </c>
      <c r="E38" s="3"/>
      <c r="F38" s="6">
        <v>42</v>
      </c>
      <c r="G38" s="3">
        <f>0.1211-0.1136</f>
        <v>7.4999999999999928E-3</v>
      </c>
      <c r="H38" s="3">
        <f>0.1185-0.1142</f>
        <v>4.2999999999999983E-3</v>
      </c>
      <c r="I38" s="3">
        <v>0.01</v>
      </c>
      <c r="J38" s="3">
        <v>5.0000000000000001E-4</v>
      </c>
      <c r="K38" s="3">
        <v>0.01</v>
      </c>
      <c r="L38" s="1">
        <v>25</v>
      </c>
      <c r="M38" s="4"/>
    </row>
    <row r="39" spans="1:13" x14ac:dyDescent="0.2">
      <c r="A39" s="2" t="s">
        <v>266</v>
      </c>
      <c r="B39" s="1" t="s">
        <v>34</v>
      </c>
      <c r="C39" s="1" t="s">
        <v>35</v>
      </c>
      <c r="D39" s="3">
        <v>8</v>
      </c>
      <c r="E39" s="3"/>
      <c r="F39" s="6">
        <v>43</v>
      </c>
      <c r="G39" s="3">
        <f>0.1265-0.1142</f>
        <v>1.2300000000000005E-2</v>
      </c>
      <c r="H39" s="3">
        <f>0.1247-0.1146</f>
        <v>1.0100000000000012E-2</v>
      </c>
      <c r="I39" s="3">
        <v>0.01</v>
      </c>
      <c r="J39" s="3">
        <v>5.0000000000000001E-4</v>
      </c>
      <c r="K39" s="3">
        <v>0.01</v>
      </c>
      <c r="L39" s="1">
        <v>25</v>
      </c>
    </row>
    <row r="40" spans="1:13" x14ac:dyDescent="0.2">
      <c r="A40" s="2" t="s">
        <v>267</v>
      </c>
      <c r="B40" s="1" t="s">
        <v>36</v>
      </c>
      <c r="C40" s="1" t="s">
        <v>37</v>
      </c>
      <c r="D40" s="3">
        <v>9</v>
      </c>
      <c r="E40" s="3"/>
      <c r="F40" s="6">
        <v>44</v>
      </c>
      <c r="G40" s="3">
        <f>0.118-0.1141</f>
        <v>3.9000000000000007E-3</v>
      </c>
      <c r="H40" s="3">
        <f>0.1192-0.1144</f>
        <v>4.7999999999999987E-3</v>
      </c>
      <c r="I40" s="3">
        <v>0.01</v>
      </c>
      <c r="J40" s="3">
        <v>5.0000000000000001E-4</v>
      </c>
      <c r="K40" s="3">
        <v>0.01</v>
      </c>
      <c r="L40" s="1">
        <v>14</v>
      </c>
      <c r="M40" s="4"/>
    </row>
    <row r="41" spans="1:13" x14ac:dyDescent="0.2">
      <c r="A41" s="2" t="s">
        <v>268</v>
      </c>
      <c r="B41" s="1" t="s">
        <v>38</v>
      </c>
      <c r="C41" s="1" t="s">
        <v>39</v>
      </c>
      <c r="D41" s="3">
        <v>10</v>
      </c>
      <c r="E41" s="3"/>
      <c r="F41" s="6">
        <v>45</v>
      </c>
      <c r="G41" s="3">
        <f>0.1247-0.1155</f>
        <v>9.1999999999999998E-3</v>
      </c>
      <c r="H41" s="3">
        <f>0.1261-0.1148</f>
        <v>1.1299999999999991E-2</v>
      </c>
      <c r="I41" s="3">
        <v>0.01</v>
      </c>
      <c r="J41" s="3">
        <v>5.0000000000000001E-4</v>
      </c>
      <c r="K41" s="3">
        <v>0.01</v>
      </c>
      <c r="L41" s="1">
        <v>14</v>
      </c>
    </row>
    <row r="42" spans="1:13" x14ac:dyDescent="0.2">
      <c r="A42" s="2" t="s">
        <v>269</v>
      </c>
      <c r="B42" s="1" t="s">
        <v>40</v>
      </c>
      <c r="C42" s="1" t="s">
        <v>41</v>
      </c>
      <c r="D42" s="3">
        <v>11</v>
      </c>
      <c r="E42" s="3"/>
      <c r="F42" s="6">
        <v>46</v>
      </c>
      <c r="G42" s="3">
        <f>0.1192-0.1143</f>
        <v>4.9000000000000016E-3</v>
      </c>
      <c r="H42" s="3">
        <f>0.1183-0.114</f>
        <v>4.2999999999999983E-3</v>
      </c>
      <c r="I42" s="3">
        <v>0.01</v>
      </c>
      <c r="J42" s="3">
        <v>5.0000000000000001E-4</v>
      </c>
      <c r="K42" s="3">
        <v>0.01</v>
      </c>
      <c r="L42" s="1">
        <v>12</v>
      </c>
      <c r="M42" s="4"/>
    </row>
    <row r="43" spans="1:13" x14ac:dyDescent="0.2">
      <c r="A43" s="2" t="s">
        <v>270</v>
      </c>
      <c r="B43" s="1" t="s">
        <v>42</v>
      </c>
      <c r="C43" s="1" t="s">
        <v>43</v>
      </c>
      <c r="D43" s="3">
        <v>12</v>
      </c>
      <c r="E43" s="3"/>
      <c r="F43" s="6">
        <v>47</v>
      </c>
      <c r="G43" s="3">
        <f>0.124-0.1143</f>
        <v>9.7000000000000003E-3</v>
      </c>
      <c r="H43" s="3">
        <f>0.1253-0.1141</f>
        <v>1.1200000000000002E-2</v>
      </c>
      <c r="I43" s="3">
        <v>0.01</v>
      </c>
      <c r="J43" s="3">
        <v>5.0000000000000001E-4</v>
      </c>
      <c r="K43" s="3">
        <v>0.01</v>
      </c>
      <c r="L43" s="1">
        <v>12</v>
      </c>
    </row>
    <row r="44" spans="1:13" x14ac:dyDescent="0.2">
      <c r="A44" s="2" t="s">
        <v>271</v>
      </c>
      <c r="B44" s="1" t="s">
        <v>211</v>
      </c>
      <c r="C44" s="1" t="s">
        <v>212</v>
      </c>
      <c r="D44" s="3">
        <v>13</v>
      </c>
      <c r="E44" s="3"/>
      <c r="F44" s="6">
        <v>48</v>
      </c>
      <c r="G44" s="3">
        <f>0.1228-0.115</f>
        <v>7.8000000000000014E-3</v>
      </c>
      <c r="H44" s="3">
        <f>0.126-0.1147</f>
        <v>1.1300000000000004E-2</v>
      </c>
      <c r="I44" s="3">
        <v>0.01</v>
      </c>
      <c r="J44" s="3">
        <v>5.0000000000000001E-4</v>
      </c>
      <c r="K44" s="3">
        <v>0.01</v>
      </c>
      <c r="L44" s="1">
        <v>16</v>
      </c>
      <c r="M44" s="4"/>
    </row>
    <row r="45" spans="1:13" x14ac:dyDescent="0.2">
      <c r="A45" s="2" t="s">
        <v>272</v>
      </c>
      <c r="B45" s="1" t="s">
        <v>213</v>
      </c>
      <c r="C45" s="1" t="s">
        <v>214</v>
      </c>
      <c r="D45" s="3">
        <v>14</v>
      </c>
      <c r="E45" s="3"/>
      <c r="F45" s="6">
        <v>49</v>
      </c>
      <c r="G45" s="3">
        <f>0.127-0.1138</f>
        <v>1.3200000000000003E-2</v>
      </c>
      <c r="H45" s="3">
        <f>0.1224-0.1141</f>
        <v>8.3000000000000018E-3</v>
      </c>
      <c r="I45" s="3">
        <v>0.01</v>
      </c>
      <c r="J45" s="3">
        <v>5.0000000000000001E-4</v>
      </c>
      <c r="K45" s="3">
        <v>0.01</v>
      </c>
      <c r="L45" s="1">
        <v>16</v>
      </c>
    </row>
    <row r="46" spans="1:13" x14ac:dyDescent="0.2">
      <c r="A46" s="2" t="s">
        <v>273</v>
      </c>
      <c r="B46" s="1" t="s">
        <v>215</v>
      </c>
      <c r="C46" s="1" t="s">
        <v>216</v>
      </c>
      <c r="D46" s="3">
        <v>15</v>
      </c>
      <c r="E46" s="3"/>
      <c r="F46" s="6">
        <v>50</v>
      </c>
      <c r="G46" s="3">
        <f>0.1236-0.1152</f>
        <v>8.4000000000000047E-3</v>
      </c>
      <c r="H46" s="3">
        <f>0.1234-0.1138</f>
        <v>9.5999999999999974E-3</v>
      </c>
      <c r="I46" s="3">
        <v>0.01</v>
      </c>
      <c r="J46" s="3">
        <v>5.0000000000000001E-4</v>
      </c>
      <c r="K46" s="3">
        <v>0.01</v>
      </c>
      <c r="M46" s="4"/>
    </row>
    <row r="47" spans="1:13" x14ac:dyDescent="0.2">
      <c r="A47" s="2" t="s">
        <v>274</v>
      </c>
      <c r="B47" s="1" t="s">
        <v>217</v>
      </c>
      <c r="C47" s="1" t="s">
        <v>218</v>
      </c>
      <c r="D47" s="3">
        <v>16</v>
      </c>
      <c r="E47" s="3"/>
      <c r="F47" s="6">
        <v>51</v>
      </c>
      <c r="G47" s="3">
        <v>8.5000000000000006E-3</v>
      </c>
      <c r="H47" s="3">
        <f>0.1267-0.1142</f>
        <v>1.2500000000000011E-2</v>
      </c>
      <c r="I47" s="3">
        <v>0.01</v>
      </c>
      <c r="J47" s="3">
        <v>5.0000000000000001E-4</v>
      </c>
      <c r="K47" s="3">
        <v>0.01</v>
      </c>
    </row>
    <row r="48" spans="1:13" x14ac:dyDescent="0.2">
      <c r="A48" s="2" t="s">
        <v>275</v>
      </c>
      <c r="B48" s="1" t="s">
        <v>52</v>
      </c>
      <c r="C48" s="1" t="s">
        <v>53</v>
      </c>
      <c r="D48" s="3">
        <v>17</v>
      </c>
      <c r="E48" s="3"/>
      <c r="F48" s="6">
        <v>52</v>
      </c>
      <c r="G48" s="3">
        <f>0.1176-0.1136</f>
        <v>3.9999999999999897E-3</v>
      </c>
      <c r="H48" s="3">
        <f>0.12-0.1145</f>
        <v>5.499999999999991E-3</v>
      </c>
      <c r="I48" s="3">
        <v>0.01</v>
      </c>
      <c r="J48" s="3">
        <v>5.0000000000000001E-4</v>
      </c>
      <c r="K48" s="3">
        <v>0.01</v>
      </c>
      <c r="M48" s="4"/>
    </row>
    <row r="49" spans="1:13" x14ac:dyDescent="0.2">
      <c r="A49" s="2" t="s">
        <v>276</v>
      </c>
      <c r="B49" s="1" t="s">
        <v>54</v>
      </c>
      <c r="C49" s="1" t="s">
        <v>55</v>
      </c>
      <c r="D49" s="3">
        <v>18</v>
      </c>
      <c r="E49" s="3"/>
      <c r="F49" s="6">
        <v>53</v>
      </c>
      <c r="G49" s="3">
        <f>0.1263-0.1145</f>
        <v>1.1799999999999991E-2</v>
      </c>
      <c r="H49" s="3">
        <f>0.125-0.1139</f>
        <v>1.1099999999999999E-2</v>
      </c>
      <c r="I49" s="3">
        <v>0.01</v>
      </c>
      <c r="J49" s="3">
        <v>5.0000000000000001E-4</v>
      </c>
      <c r="K49" s="3">
        <v>0.01</v>
      </c>
    </row>
    <row r="50" spans="1:13" x14ac:dyDescent="0.2">
      <c r="A50" s="2" t="s">
        <v>277</v>
      </c>
      <c r="B50" s="1" t="s">
        <v>219</v>
      </c>
      <c r="C50" s="1" t="s">
        <v>220</v>
      </c>
      <c r="D50" s="3">
        <v>19</v>
      </c>
      <c r="E50" s="3"/>
      <c r="F50" s="6">
        <v>54</v>
      </c>
      <c r="G50" s="3">
        <f>0.1183-0.1149</f>
        <v>3.4000000000000002E-3</v>
      </c>
      <c r="H50" s="3">
        <f>0.1187-0.1147</f>
        <v>4.0000000000000036E-3</v>
      </c>
      <c r="I50" s="3">
        <v>0.01</v>
      </c>
      <c r="J50" s="3">
        <v>5.0000000000000001E-4</v>
      </c>
      <c r="K50" s="3">
        <v>0.01</v>
      </c>
      <c r="M50" s="4"/>
    </row>
    <row r="51" spans="1:13" x14ac:dyDescent="0.2">
      <c r="A51" s="2" t="s">
        <v>278</v>
      </c>
      <c r="B51" s="1" t="s">
        <v>221</v>
      </c>
      <c r="C51" s="1" t="s">
        <v>222</v>
      </c>
      <c r="D51" s="3">
        <v>20</v>
      </c>
      <c r="E51" s="3"/>
      <c r="F51" s="6">
        <v>55</v>
      </c>
      <c r="G51" s="3">
        <f>0.1249-0.114</f>
        <v>1.0899999999999993E-2</v>
      </c>
      <c r="H51" s="3">
        <f>0.128-0.1147</f>
        <v>1.3300000000000006E-2</v>
      </c>
      <c r="I51" s="3">
        <v>0.01</v>
      </c>
      <c r="J51" s="3">
        <v>5.0000000000000001E-4</v>
      </c>
      <c r="K51" s="3">
        <v>0.01</v>
      </c>
    </row>
    <row r="52" spans="1:13" x14ac:dyDescent="0.2">
      <c r="A52" s="2" t="s">
        <v>279</v>
      </c>
      <c r="B52" s="1" t="s">
        <v>60</v>
      </c>
      <c r="C52" s="1" t="s">
        <v>61</v>
      </c>
      <c r="D52" s="3">
        <v>21</v>
      </c>
      <c r="E52" s="3"/>
      <c r="F52" s="6">
        <v>56</v>
      </c>
      <c r="G52" s="3">
        <f>0.1175-0.1145</f>
        <v>2.9999999999999888E-3</v>
      </c>
      <c r="H52" s="3">
        <f>0.1175-0.114</f>
        <v>3.4999999999999892E-3</v>
      </c>
      <c r="I52" s="3">
        <v>0.01</v>
      </c>
      <c r="J52" s="3">
        <v>5.0000000000000001E-4</v>
      </c>
      <c r="K52" s="3">
        <v>0.01</v>
      </c>
      <c r="M52" s="4"/>
    </row>
    <row r="53" spans="1:13" x14ac:dyDescent="0.2">
      <c r="A53" s="2" t="s">
        <v>280</v>
      </c>
      <c r="B53" s="1" t="s">
        <v>62</v>
      </c>
      <c r="C53" s="1" t="s">
        <v>63</v>
      </c>
      <c r="D53" s="3">
        <v>22</v>
      </c>
      <c r="E53" s="3"/>
      <c r="F53" s="6">
        <v>57</v>
      </c>
      <c r="G53" s="3">
        <f>0.1239-0.1144</f>
        <v>9.4999999999999946E-3</v>
      </c>
      <c r="H53" s="3">
        <f>0.1251-0.115</f>
        <v>1.0099999999999984E-2</v>
      </c>
      <c r="I53" s="3">
        <v>0.01</v>
      </c>
      <c r="J53" s="3">
        <v>5.0000000000000001E-4</v>
      </c>
      <c r="K53" s="3">
        <v>0.01</v>
      </c>
    </row>
    <row r="54" spans="1:13" x14ac:dyDescent="0.2">
      <c r="A54" s="2" t="s">
        <v>281</v>
      </c>
      <c r="B54" s="1" t="s">
        <v>223</v>
      </c>
      <c r="C54" s="1" t="s">
        <v>224</v>
      </c>
      <c r="D54" s="3">
        <v>23</v>
      </c>
      <c r="E54" s="3"/>
      <c r="F54" s="6">
        <v>58</v>
      </c>
      <c r="G54" s="3">
        <f>0.1186-0.1155</f>
        <v>3.0999999999999917E-3</v>
      </c>
      <c r="H54" s="3">
        <f>0.1231-0.1139</f>
        <v>9.1999999999999998E-3</v>
      </c>
      <c r="I54" s="3">
        <v>0.01</v>
      </c>
      <c r="J54" s="3">
        <v>5.0000000000000001E-4</v>
      </c>
      <c r="K54" s="3">
        <v>0.01</v>
      </c>
      <c r="M54" s="4"/>
    </row>
    <row r="55" spans="1:13" x14ac:dyDescent="0.2">
      <c r="A55" s="2" t="s">
        <v>282</v>
      </c>
      <c r="B55" s="1" t="s">
        <v>225</v>
      </c>
      <c r="C55" s="1" t="s">
        <v>226</v>
      </c>
      <c r="D55" s="3">
        <v>24</v>
      </c>
      <c r="E55" s="3"/>
      <c r="F55" s="6">
        <v>59</v>
      </c>
      <c r="G55" s="3">
        <f>0.1269-0.1146</f>
        <v>1.2300000000000019E-2</v>
      </c>
      <c r="H55" s="3">
        <f>0.1232-0.1147</f>
        <v>8.5000000000000075E-3</v>
      </c>
      <c r="I55" s="3">
        <v>0.01</v>
      </c>
      <c r="J55" s="3">
        <v>5.0000000000000001E-4</v>
      </c>
      <c r="K55" s="3">
        <v>0.01</v>
      </c>
    </row>
    <row r="56" spans="1:13" x14ac:dyDescent="0.2">
      <c r="A56" s="2" t="s">
        <v>283</v>
      </c>
      <c r="B56" s="1" t="s">
        <v>68</v>
      </c>
      <c r="C56" s="1" t="s">
        <v>69</v>
      </c>
      <c r="D56" s="3">
        <v>25</v>
      </c>
      <c r="E56" s="3"/>
      <c r="F56" s="6">
        <v>60</v>
      </c>
      <c r="G56" s="3">
        <f>0.1228-0.1146</f>
        <v>8.2000000000000128E-3</v>
      </c>
      <c r="H56" s="3">
        <f>0.1243-0.1148</f>
        <v>9.4999999999999946E-3</v>
      </c>
      <c r="I56" s="3">
        <v>0.01</v>
      </c>
      <c r="J56" s="3">
        <v>5.0000000000000001E-4</v>
      </c>
      <c r="K56" s="3">
        <v>0.01</v>
      </c>
      <c r="M56" s="4"/>
    </row>
    <row r="57" spans="1:13" x14ac:dyDescent="0.2">
      <c r="A57" s="2" t="s">
        <v>284</v>
      </c>
      <c r="B57" s="1" t="s">
        <v>70</v>
      </c>
      <c r="C57" s="1" t="s">
        <v>71</v>
      </c>
      <c r="D57" s="3">
        <v>26</v>
      </c>
      <c r="E57" s="3"/>
      <c r="F57" s="6">
        <v>61</v>
      </c>
      <c r="G57" s="3">
        <f>0.1233-0.1144</f>
        <v>8.9000000000000051E-3</v>
      </c>
      <c r="H57" s="3">
        <f>0.126-0.1151</f>
        <v>1.0900000000000007E-2</v>
      </c>
      <c r="I57" s="3">
        <v>0.01</v>
      </c>
      <c r="J57" s="3">
        <v>5.0000000000000001E-4</v>
      </c>
      <c r="K57" s="3">
        <v>0.01</v>
      </c>
    </row>
    <row r="58" spans="1:13" x14ac:dyDescent="0.2">
      <c r="A58" s="2" t="s">
        <v>285</v>
      </c>
      <c r="B58" s="1" t="s">
        <v>72</v>
      </c>
      <c r="C58" s="1" t="s">
        <v>73</v>
      </c>
      <c r="D58" s="3">
        <v>27</v>
      </c>
      <c r="E58" s="3"/>
      <c r="F58" s="6">
        <v>62</v>
      </c>
      <c r="G58" s="3">
        <f>0.1181-0.1142</f>
        <v>3.9000000000000007E-3</v>
      </c>
      <c r="H58" s="3">
        <f>0.1201-0.1156</f>
        <v>4.500000000000004E-3</v>
      </c>
      <c r="I58" s="3">
        <v>0.01</v>
      </c>
      <c r="J58" s="3">
        <v>5.0000000000000001E-4</v>
      </c>
      <c r="K58" s="3">
        <v>0.01</v>
      </c>
      <c r="M58" s="4"/>
    </row>
    <row r="59" spans="1:13" x14ac:dyDescent="0.2">
      <c r="A59" s="2" t="s">
        <v>286</v>
      </c>
      <c r="B59" s="1" t="s">
        <v>74</v>
      </c>
      <c r="C59" s="1" t="s">
        <v>75</v>
      </c>
      <c r="D59" s="3">
        <v>28</v>
      </c>
      <c r="E59" s="3"/>
      <c r="F59" s="6">
        <v>63</v>
      </c>
      <c r="G59" s="3">
        <f>0.1253-0.1142</f>
        <v>1.1099999999999999E-2</v>
      </c>
      <c r="H59" s="3">
        <f>0.1252-0.1144</f>
        <v>1.0800000000000004E-2</v>
      </c>
      <c r="I59" s="3">
        <v>0.01</v>
      </c>
      <c r="J59" s="3">
        <v>5.0000000000000001E-4</v>
      </c>
      <c r="K59" s="3">
        <v>0.01</v>
      </c>
      <c r="M59" s="4"/>
    </row>
    <row r="60" spans="1:13" x14ac:dyDescent="0.2">
      <c r="A60" s="1" t="s">
        <v>287</v>
      </c>
      <c r="B60" s="1" t="s">
        <v>76</v>
      </c>
      <c r="C60" s="3"/>
      <c r="D60" s="1">
        <v>29</v>
      </c>
      <c r="E60" s="1"/>
      <c r="F60" s="9">
        <v>64</v>
      </c>
      <c r="G60" s="1">
        <v>1.2999999999999999E-2</v>
      </c>
      <c r="H60" s="3"/>
      <c r="I60" s="1">
        <v>0.01</v>
      </c>
      <c r="J60" s="1">
        <v>5.0000000000000001E-4</v>
      </c>
      <c r="K60" s="1">
        <v>0.01</v>
      </c>
      <c r="L60" s="5"/>
      <c r="M60" s="4"/>
    </row>
    <row r="61" spans="1:13" x14ac:dyDescent="0.2">
      <c r="A61" s="9" t="s">
        <v>288</v>
      </c>
      <c r="B61" s="9" t="s">
        <v>77</v>
      </c>
      <c r="C61" s="6"/>
      <c r="D61" s="9">
        <v>30</v>
      </c>
      <c r="E61" s="9"/>
      <c r="F61" s="9">
        <v>65</v>
      </c>
      <c r="G61" s="9">
        <v>0</v>
      </c>
      <c r="H61" s="6"/>
      <c r="I61" s="9">
        <v>0.01</v>
      </c>
      <c r="J61" s="9">
        <v>5.0000000000000001E-4</v>
      </c>
      <c r="K61" s="9">
        <v>0.01</v>
      </c>
      <c r="L61" s="5"/>
      <c r="M61" s="4"/>
    </row>
    <row r="62" spans="1:13" x14ac:dyDescent="0.2">
      <c r="L62" s="5"/>
      <c r="M62" s="4"/>
    </row>
    <row r="63" spans="1:13" x14ac:dyDescent="0.2">
      <c r="C63" s="10"/>
      <c r="H63" s="10"/>
      <c r="L63" s="5"/>
      <c r="M63" s="4"/>
    </row>
    <row r="64" spans="1:13" x14ac:dyDescent="0.2">
      <c r="L64" s="5"/>
      <c r="M64" s="4"/>
    </row>
    <row r="65" spans="12:13" x14ac:dyDescent="0.2">
      <c r="L65" s="5"/>
      <c r="M65" s="4"/>
    </row>
    <row r="66" spans="12:13" x14ac:dyDescent="0.2">
      <c r="L66" s="5"/>
    </row>
    <row r="67" spans="12:13" x14ac:dyDescent="0.2">
      <c r="L67" s="5"/>
      <c r="M67" s="4"/>
    </row>
    <row r="68" spans="12:13" x14ac:dyDescent="0.2">
      <c r="L68" s="5"/>
    </row>
    <row r="69" spans="12:13" x14ac:dyDescent="0.2">
      <c r="L69" s="5"/>
      <c r="M69" s="4"/>
    </row>
    <row r="70" spans="12:13" x14ac:dyDescent="0.2">
      <c r="L70" s="5"/>
    </row>
    <row r="71" spans="12:13" x14ac:dyDescent="0.2">
      <c r="L71" s="5"/>
      <c r="M71" s="4"/>
    </row>
    <row r="72" spans="12:13" x14ac:dyDescent="0.2">
      <c r="L72" s="5"/>
    </row>
    <row r="73" spans="12:13" x14ac:dyDescent="0.2">
      <c r="L73" s="5"/>
      <c r="M73" s="4"/>
    </row>
    <row r="74" spans="12:13" x14ac:dyDescent="0.2">
      <c r="L74" s="5"/>
    </row>
    <row r="75" spans="12:13" x14ac:dyDescent="0.2">
      <c r="L75" s="5"/>
      <c r="M75" s="4"/>
    </row>
    <row r="76" spans="12:13" x14ac:dyDescent="0.2">
      <c r="L76" s="5"/>
    </row>
    <row r="77" spans="12:13" x14ac:dyDescent="0.2">
      <c r="L77" s="5"/>
      <c r="M77" s="4"/>
    </row>
    <row r="78" spans="12:13" x14ac:dyDescent="0.2">
      <c r="L78" s="5"/>
    </row>
    <row r="79" spans="12:13" x14ac:dyDescent="0.2">
      <c r="L79" s="5"/>
      <c r="M79" s="4"/>
    </row>
    <row r="80" spans="12:13" x14ac:dyDescent="0.2">
      <c r="L80" s="5"/>
    </row>
    <row r="81" spans="12:13" x14ac:dyDescent="0.2">
      <c r="L81" s="5"/>
      <c r="M81" s="4"/>
    </row>
    <row r="82" spans="12:13" x14ac:dyDescent="0.2">
      <c r="L82" s="5"/>
    </row>
    <row r="83" spans="12:13" x14ac:dyDescent="0.2">
      <c r="L83" s="5"/>
      <c r="M83" s="4"/>
    </row>
    <row r="84" spans="12:13" x14ac:dyDescent="0.2">
      <c r="L84" s="5"/>
    </row>
    <row r="85" spans="12:13" x14ac:dyDescent="0.2">
      <c r="L85" s="5"/>
      <c r="M85" s="4"/>
    </row>
    <row r="86" spans="12:13" x14ac:dyDescent="0.2">
      <c r="L86" s="5"/>
    </row>
    <row r="87" spans="12:13" x14ac:dyDescent="0.2">
      <c r="L87" s="5"/>
      <c r="M87" s="4"/>
    </row>
    <row r="88" spans="12:13" x14ac:dyDescent="0.2">
      <c r="L88" s="5"/>
    </row>
    <row r="89" spans="12:13" x14ac:dyDescent="0.2">
      <c r="L89" s="5"/>
      <c r="M89" s="4"/>
    </row>
    <row r="90" spans="12:13" x14ac:dyDescent="0.2">
      <c r="L90" s="5"/>
    </row>
    <row r="91" spans="12:13" x14ac:dyDescent="0.2">
      <c r="L91" s="5"/>
      <c r="M91" s="4"/>
    </row>
    <row r="92" spans="12:13" x14ac:dyDescent="0.2">
      <c r="L92" s="5"/>
    </row>
    <row r="93" spans="12:13" x14ac:dyDescent="0.2">
      <c r="L93" s="5"/>
      <c r="M93" s="4"/>
    </row>
    <row r="94" spans="12:13" x14ac:dyDescent="0.2">
      <c r="L94" s="5"/>
    </row>
    <row r="95" spans="12:13" x14ac:dyDescent="0.2">
      <c r="L95" s="5"/>
      <c r="M95" s="4"/>
    </row>
    <row r="96" spans="12:13" x14ac:dyDescent="0.2">
      <c r="L96" s="5"/>
    </row>
    <row r="97" spans="12:13" x14ac:dyDescent="0.2">
      <c r="L97" s="5"/>
      <c r="M97" s="4"/>
    </row>
    <row r="98" spans="12:13" x14ac:dyDescent="0.2">
      <c r="L98" s="5"/>
    </row>
    <row r="99" spans="12:13" x14ac:dyDescent="0.2">
      <c r="L99" s="5"/>
      <c r="M99" s="4"/>
    </row>
    <row r="100" spans="12:13" x14ac:dyDescent="0.2">
      <c r="L100" s="5"/>
    </row>
    <row r="101" spans="12:13" x14ac:dyDescent="0.2">
      <c r="L101" s="5"/>
      <c r="M101" s="4"/>
    </row>
    <row r="102" spans="12:13" x14ac:dyDescent="0.2">
      <c r="L102" s="5"/>
    </row>
    <row r="103" spans="12:13" x14ac:dyDescent="0.2">
      <c r="L103" s="5"/>
      <c r="M103" s="4"/>
    </row>
    <row r="104" spans="12:13" x14ac:dyDescent="0.2">
      <c r="L104" s="5"/>
    </row>
    <row r="105" spans="12:13" x14ac:dyDescent="0.2">
      <c r="L105" s="5"/>
      <c r="M105" s="4"/>
    </row>
    <row r="106" spans="12:13" x14ac:dyDescent="0.2">
      <c r="L106" s="5"/>
    </row>
    <row r="107" spans="12:13" x14ac:dyDescent="0.2">
      <c r="L107" s="5"/>
      <c r="M107" s="4"/>
    </row>
    <row r="108" spans="12:13" x14ac:dyDescent="0.2">
      <c r="L108" s="5"/>
    </row>
    <row r="109" spans="12:13" x14ac:dyDescent="0.2">
      <c r="L109" s="5"/>
      <c r="M109" s="4"/>
    </row>
    <row r="110" spans="12:13" x14ac:dyDescent="0.2">
      <c r="L110" s="5"/>
    </row>
    <row r="111" spans="12:13" x14ac:dyDescent="0.2">
      <c r="L111" s="5"/>
      <c r="M111" s="4"/>
    </row>
    <row r="112" spans="12:13" x14ac:dyDescent="0.2">
      <c r="L112" s="5"/>
    </row>
    <row r="113" spans="12:13" x14ac:dyDescent="0.2">
      <c r="L113" s="5"/>
      <c r="M113" s="4"/>
    </row>
    <row r="114" spans="12:13" x14ac:dyDescent="0.2">
      <c r="L114" s="5"/>
    </row>
    <row r="115" spans="12:13" x14ac:dyDescent="0.2">
      <c r="L115" s="5"/>
      <c r="M115" s="4"/>
    </row>
    <row r="116" spans="12:13" x14ac:dyDescent="0.2">
      <c r="L116" s="5"/>
    </row>
    <row r="117" spans="12:13" x14ac:dyDescent="0.2">
      <c r="L117" s="5"/>
      <c r="M117" s="4"/>
    </row>
    <row r="118" spans="12:13" x14ac:dyDescent="0.2">
      <c r="L118" s="5"/>
    </row>
    <row r="119" spans="12:13" x14ac:dyDescent="0.2">
      <c r="L119" s="5"/>
      <c r="M119" s="4"/>
    </row>
    <row r="120" spans="12:13" x14ac:dyDescent="0.2">
      <c r="L120" s="5"/>
    </row>
    <row r="121" spans="12:13" x14ac:dyDescent="0.2">
      <c r="L121" s="5"/>
      <c r="M121" s="4"/>
    </row>
    <row r="122" spans="12:13" x14ac:dyDescent="0.2">
      <c r="L122" s="5"/>
    </row>
    <row r="123" spans="12:13" x14ac:dyDescent="0.2">
      <c r="L123" s="5"/>
      <c r="M123" s="4"/>
    </row>
    <row r="124" spans="12:13" x14ac:dyDescent="0.2">
      <c r="L124" s="5"/>
    </row>
  </sheetData>
  <pageMargins left="0.7" right="0.7" top="0.75" bottom="0.75" header="0.3" footer="0.3"/>
  <pageSetup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DC19-47C3-B94C-9716-5E12B957837D}">
  <dimension ref="A1:L1"/>
  <sheetViews>
    <sheetView workbookViewId="0">
      <selection sqref="A1:L1"/>
    </sheetView>
  </sheetViews>
  <sheetFormatPr baseColWidth="10" defaultRowHeight="16" x14ac:dyDescent="0.2"/>
  <sheetData>
    <row r="1" spans="1:12" x14ac:dyDescent="0.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200</v>
      </c>
      <c r="H1" s="3" t="s">
        <v>201</v>
      </c>
      <c r="I1" s="1" t="s">
        <v>17</v>
      </c>
      <c r="J1" s="1" t="s">
        <v>18</v>
      </c>
      <c r="K1" s="1" t="s">
        <v>19</v>
      </c>
      <c r="L1" s="8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30F1-B36D-7646-9F5D-96F71EB4BA24}">
  <dimension ref="A1:Y86"/>
  <sheetViews>
    <sheetView workbookViewId="0">
      <selection activeCell="K51" sqref="K51"/>
    </sheetView>
  </sheetViews>
  <sheetFormatPr baseColWidth="10" defaultRowHeight="16" x14ac:dyDescent="0.2"/>
  <cols>
    <col min="2" max="2" width="31.33203125" bestFit="1" customWidth="1"/>
  </cols>
  <sheetData>
    <row r="1" spans="1:25" x14ac:dyDescent="0.2">
      <c r="A1" t="s">
        <v>81</v>
      </c>
      <c r="B1" t="s">
        <v>0</v>
      </c>
      <c r="C1" t="s">
        <v>15</v>
      </c>
      <c r="D1" t="s">
        <v>78</v>
      </c>
      <c r="E1" t="s">
        <v>120</v>
      </c>
      <c r="F1" t="s">
        <v>8</v>
      </c>
      <c r="G1" t="s">
        <v>17</v>
      </c>
      <c r="H1" t="s">
        <v>18</v>
      </c>
      <c r="I1" t="s">
        <v>19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</row>
    <row r="2" spans="1:25" x14ac:dyDescent="0.2">
      <c r="B2" t="s">
        <v>138</v>
      </c>
      <c r="C2">
        <v>1</v>
      </c>
      <c r="E2">
        <v>1</v>
      </c>
      <c r="F2">
        <v>2.52E-2</v>
      </c>
      <c r="G2">
        <v>0.01</v>
      </c>
      <c r="H2">
        <v>5.0000000000000001E-4</v>
      </c>
      <c r="I2">
        <v>0.01</v>
      </c>
    </row>
    <row r="3" spans="1:25" x14ac:dyDescent="0.2">
      <c r="B3" t="s">
        <v>139</v>
      </c>
      <c r="C3">
        <v>2</v>
      </c>
      <c r="E3">
        <v>2</v>
      </c>
      <c r="F3">
        <v>1.780000000000001E-2</v>
      </c>
      <c r="G3">
        <v>0.01</v>
      </c>
      <c r="H3">
        <v>5.0000000000000001E-4</v>
      </c>
      <c r="I3">
        <v>0.01</v>
      </c>
    </row>
    <row r="4" spans="1:25" x14ac:dyDescent="0.2">
      <c r="B4" t="s">
        <v>140</v>
      </c>
      <c r="C4">
        <v>3</v>
      </c>
      <c r="E4">
        <v>3</v>
      </c>
      <c r="F4">
        <v>1.4899999999999997E-2</v>
      </c>
      <c r="G4">
        <v>0.01</v>
      </c>
      <c r="H4">
        <v>5.0000000000000001E-4</v>
      </c>
      <c r="I4">
        <v>0.01</v>
      </c>
    </row>
    <row r="5" spans="1:25" x14ac:dyDescent="0.2">
      <c r="B5" t="s">
        <v>141</v>
      </c>
      <c r="C5">
        <v>4</v>
      </c>
      <c r="E5">
        <v>4</v>
      </c>
      <c r="F5">
        <v>2.0199999999999996E-2</v>
      </c>
      <c r="G5">
        <v>0.01</v>
      </c>
      <c r="H5">
        <v>5.0000000000000001E-4</v>
      </c>
      <c r="I5">
        <v>0.01</v>
      </c>
    </row>
    <row r="6" spans="1:25" x14ac:dyDescent="0.2">
      <c r="B6" t="s">
        <v>142</v>
      </c>
      <c r="C6">
        <v>5</v>
      </c>
      <c r="E6">
        <v>5</v>
      </c>
      <c r="F6">
        <v>1.8600000000000005E-2</v>
      </c>
      <c r="G6">
        <v>0.01</v>
      </c>
      <c r="H6">
        <v>5.0000000000000001E-4</v>
      </c>
      <c r="I6">
        <v>0.01</v>
      </c>
    </row>
    <row r="7" spans="1:25" x14ac:dyDescent="0.2">
      <c r="B7" t="s">
        <v>143</v>
      </c>
      <c r="C7">
        <v>6</v>
      </c>
      <c r="E7">
        <v>6</v>
      </c>
      <c r="F7">
        <v>1.7100000000000004E-2</v>
      </c>
      <c r="G7">
        <v>0.01</v>
      </c>
      <c r="H7">
        <v>5.0000000000000001E-4</v>
      </c>
      <c r="I7">
        <v>0.01</v>
      </c>
    </row>
    <row r="8" spans="1:25" x14ac:dyDescent="0.2">
      <c r="B8" t="s">
        <v>144</v>
      </c>
      <c r="C8">
        <v>7</v>
      </c>
      <c r="E8">
        <v>7</v>
      </c>
      <c r="F8">
        <v>1.369999999999999E-2</v>
      </c>
      <c r="G8">
        <v>0.01</v>
      </c>
      <c r="H8">
        <v>5.0000000000000001E-4</v>
      </c>
      <c r="I8">
        <v>0.01</v>
      </c>
    </row>
    <row r="9" spans="1:25" x14ac:dyDescent="0.2">
      <c r="B9" t="s">
        <v>145</v>
      </c>
      <c r="C9">
        <v>8</v>
      </c>
      <c r="E9">
        <v>8</v>
      </c>
      <c r="F9">
        <v>1.1499999999999996E-2</v>
      </c>
      <c r="G9">
        <v>0.01</v>
      </c>
      <c r="H9">
        <v>5.0000000000000001E-4</v>
      </c>
      <c r="I9">
        <v>0.01</v>
      </c>
    </row>
    <row r="10" spans="1:25" x14ac:dyDescent="0.2">
      <c r="B10" t="s">
        <v>146</v>
      </c>
      <c r="C10">
        <v>9</v>
      </c>
      <c r="E10">
        <v>9</v>
      </c>
      <c r="F10">
        <v>9.4999999999999946E-3</v>
      </c>
      <c r="G10">
        <v>0.01</v>
      </c>
      <c r="H10">
        <v>5.0000000000000001E-4</v>
      </c>
      <c r="I10">
        <v>0.01</v>
      </c>
    </row>
    <row r="11" spans="1:25" x14ac:dyDescent="0.2">
      <c r="B11" t="s">
        <v>147</v>
      </c>
      <c r="C11">
        <v>10</v>
      </c>
      <c r="E11">
        <v>10</v>
      </c>
      <c r="F11">
        <v>4.0300000000000002E-2</v>
      </c>
      <c r="G11">
        <v>0.01</v>
      </c>
      <c r="H11">
        <v>5.0000000000000001E-4</v>
      </c>
      <c r="I11">
        <v>0.01</v>
      </c>
    </row>
    <row r="12" spans="1:25" x14ac:dyDescent="0.2">
      <c r="B12" t="s">
        <v>148</v>
      </c>
      <c r="C12">
        <v>11</v>
      </c>
      <c r="E12">
        <v>11</v>
      </c>
      <c r="F12">
        <v>3.0000000000000013E-2</v>
      </c>
      <c r="G12">
        <v>0.01</v>
      </c>
      <c r="H12">
        <v>5.0000000000000001E-4</v>
      </c>
      <c r="I12">
        <v>0.01</v>
      </c>
    </row>
    <row r="13" spans="1:25" x14ac:dyDescent="0.2">
      <c r="B13" t="s">
        <v>149</v>
      </c>
      <c r="C13">
        <v>12</v>
      </c>
      <c r="E13">
        <v>12</v>
      </c>
      <c r="F13">
        <v>3.7299999999999986E-2</v>
      </c>
      <c r="G13">
        <v>0.01</v>
      </c>
      <c r="H13">
        <v>5.0000000000000001E-4</v>
      </c>
      <c r="I13">
        <v>0.01</v>
      </c>
    </row>
    <row r="14" spans="1:25" x14ac:dyDescent="0.2">
      <c r="B14" t="s">
        <v>150</v>
      </c>
      <c r="C14">
        <v>13</v>
      </c>
      <c r="E14">
        <v>13</v>
      </c>
      <c r="F14">
        <v>2.0999999999999991E-2</v>
      </c>
      <c r="G14">
        <v>0.01</v>
      </c>
      <c r="H14">
        <v>5.0000000000000001E-4</v>
      </c>
      <c r="I14">
        <v>0.01</v>
      </c>
    </row>
    <row r="15" spans="1:25" x14ac:dyDescent="0.2">
      <c r="B15" t="s">
        <v>151</v>
      </c>
      <c r="C15">
        <v>14</v>
      </c>
      <c r="E15">
        <v>14</v>
      </c>
      <c r="F15">
        <v>5.5000000000000007E-2</v>
      </c>
      <c r="G15">
        <v>0.01</v>
      </c>
      <c r="H15">
        <v>5.0000000000000001E-4</v>
      </c>
      <c r="I15">
        <v>0.01</v>
      </c>
    </row>
    <row r="16" spans="1:25" x14ac:dyDescent="0.2">
      <c r="B16" t="s">
        <v>152</v>
      </c>
      <c r="C16">
        <v>15</v>
      </c>
      <c r="E16">
        <v>15</v>
      </c>
      <c r="F16">
        <v>2.5499999999999995E-2</v>
      </c>
      <c r="G16">
        <v>0.01</v>
      </c>
      <c r="H16">
        <v>5.0000000000000001E-4</v>
      </c>
      <c r="I16">
        <v>0.01</v>
      </c>
    </row>
    <row r="17" spans="2:9" x14ac:dyDescent="0.2">
      <c r="B17" t="s">
        <v>153</v>
      </c>
      <c r="C17">
        <v>16</v>
      </c>
      <c r="E17">
        <v>16</v>
      </c>
      <c r="F17">
        <v>8.0999999999999996E-3</v>
      </c>
      <c r="G17">
        <v>0.01</v>
      </c>
      <c r="H17">
        <v>5.0000000000000001E-4</v>
      </c>
      <c r="I17">
        <v>0.01</v>
      </c>
    </row>
    <row r="18" spans="2:9" x14ac:dyDescent="0.2">
      <c r="B18" t="s">
        <v>154</v>
      </c>
      <c r="C18">
        <v>17</v>
      </c>
      <c r="E18">
        <v>17</v>
      </c>
      <c r="F18">
        <v>2.339999999999999E-2</v>
      </c>
      <c r="G18">
        <v>0.01</v>
      </c>
      <c r="H18">
        <v>5.0000000000000001E-4</v>
      </c>
      <c r="I18">
        <v>0.01</v>
      </c>
    </row>
    <row r="19" spans="2:9" x14ac:dyDescent="0.2">
      <c r="B19" t="s">
        <v>155</v>
      </c>
      <c r="C19">
        <v>18</v>
      </c>
      <c r="E19">
        <v>18</v>
      </c>
      <c r="F19">
        <v>2.4200000000000013E-2</v>
      </c>
      <c r="G19">
        <v>0.01</v>
      </c>
      <c r="H19">
        <v>5.0000000000000001E-4</v>
      </c>
      <c r="I19">
        <v>0.01</v>
      </c>
    </row>
    <row r="20" spans="2:9" x14ac:dyDescent="0.2">
      <c r="B20" t="s">
        <v>156</v>
      </c>
      <c r="C20">
        <v>19</v>
      </c>
      <c r="E20">
        <v>19</v>
      </c>
      <c r="F20">
        <v>1.7600000000000005E-2</v>
      </c>
      <c r="G20">
        <v>0.01</v>
      </c>
      <c r="H20">
        <v>5.0000000000000001E-4</v>
      </c>
      <c r="I20">
        <v>0.01</v>
      </c>
    </row>
    <row r="21" spans="2:9" x14ac:dyDescent="0.2">
      <c r="B21" t="s">
        <v>157</v>
      </c>
      <c r="C21">
        <v>20</v>
      </c>
      <c r="E21">
        <v>20</v>
      </c>
      <c r="F21">
        <v>2.1500000000000019E-2</v>
      </c>
      <c r="G21">
        <v>0.01</v>
      </c>
      <c r="H21">
        <v>5.0000000000000001E-4</v>
      </c>
      <c r="I21">
        <v>0.01</v>
      </c>
    </row>
    <row r="22" spans="2:9" x14ac:dyDescent="0.2">
      <c r="B22" t="s">
        <v>158</v>
      </c>
      <c r="C22">
        <v>21</v>
      </c>
      <c r="E22">
        <v>21</v>
      </c>
      <c r="F22">
        <v>2.4199999999999999E-2</v>
      </c>
      <c r="G22">
        <v>0.01</v>
      </c>
      <c r="H22">
        <v>5.0000000000000001E-4</v>
      </c>
      <c r="I22">
        <v>0.01</v>
      </c>
    </row>
    <row r="23" spans="2:9" x14ac:dyDescent="0.2">
      <c r="B23" t="s">
        <v>159</v>
      </c>
      <c r="C23">
        <v>22</v>
      </c>
      <c r="E23">
        <v>22</v>
      </c>
      <c r="F23">
        <v>3.1199999999999992E-2</v>
      </c>
      <c r="G23">
        <v>0.01</v>
      </c>
      <c r="H23">
        <v>5.0000000000000001E-4</v>
      </c>
      <c r="I23">
        <v>0.01</v>
      </c>
    </row>
    <row r="24" spans="2:9" x14ac:dyDescent="0.2">
      <c r="B24" t="s">
        <v>160</v>
      </c>
      <c r="C24">
        <v>23</v>
      </c>
      <c r="E24">
        <v>23</v>
      </c>
      <c r="F24">
        <v>8.3999999999999908E-3</v>
      </c>
      <c r="G24">
        <v>0.01</v>
      </c>
      <c r="H24">
        <v>5.0000000000000001E-4</v>
      </c>
      <c r="I24">
        <v>0.01</v>
      </c>
    </row>
    <row r="25" spans="2:9" x14ac:dyDescent="0.2">
      <c r="B25" t="s">
        <v>161</v>
      </c>
      <c r="C25">
        <v>24</v>
      </c>
      <c r="E25">
        <v>24</v>
      </c>
      <c r="F25">
        <v>2.6000000000000009E-2</v>
      </c>
      <c r="G25">
        <v>0.01</v>
      </c>
      <c r="H25">
        <v>5.0000000000000001E-4</v>
      </c>
      <c r="I25">
        <v>0.01</v>
      </c>
    </row>
    <row r="26" spans="2:9" x14ac:dyDescent="0.2">
      <c r="B26" t="s">
        <v>163</v>
      </c>
      <c r="C26">
        <v>25</v>
      </c>
      <c r="E26">
        <v>25</v>
      </c>
      <c r="F26">
        <v>2.8899999999999981E-2</v>
      </c>
      <c r="G26">
        <v>0.01</v>
      </c>
      <c r="H26">
        <v>5.0000000000000001E-4</v>
      </c>
      <c r="I26">
        <v>0.01</v>
      </c>
    </row>
    <row r="27" spans="2:9" x14ac:dyDescent="0.2">
      <c r="B27" t="s">
        <v>162</v>
      </c>
      <c r="C27">
        <v>26</v>
      </c>
      <c r="E27">
        <v>26</v>
      </c>
      <c r="F27">
        <v>4.4400000000000009E-2</v>
      </c>
      <c r="G27">
        <v>0.01</v>
      </c>
      <c r="H27">
        <v>5.0000000000000001E-4</v>
      </c>
      <c r="I27">
        <v>0.01</v>
      </c>
    </row>
    <row r="28" spans="2:9" x14ac:dyDescent="0.2">
      <c r="B28" t="s">
        <v>164</v>
      </c>
      <c r="C28">
        <v>27</v>
      </c>
      <c r="E28">
        <v>27</v>
      </c>
      <c r="F28">
        <v>2.4700000000000014E-2</v>
      </c>
      <c r="G28">
        <v>0.01</v>
      </c>
      <c r="H28">
        <v>5.0000000000000001E-4</v>
      </c>
      <c r="I28">
        <v>0.01</v>
      </c>
    </row>
    <row r="29" spans="2:9" x14ac:dyDescent="0.2">
      <c r="B29" t="s">
        <v>165</v>
      </c>
      <c r="C29">
        <v>28</v>
      </c>
      <c r="E29">
        <v>28</v>
      </c>
      <c r="F29">
        <v>3.3600000000000019E-2</v>
      </c>
      <c r="G29">
        <v>0.01</v>
      </c>
      <c r="H29">
        <v>5.0000000000000001E-4</v>
      </c>
      <c r="I29">
        <v>0.01</v>
      </c>
    </row>
    <row r="30" spans="2:9" x14ac:dyDescent="0.2">
      <c r="B30" t="s">
        <v>9</v>
      </c>
      <c r="C30">
        <v>29</v>
      </c>
      <c r="E30">
        <v>29</v>
      </c>
      <c r="F30">
        <v>0.02</v>
      </c>
      <c r="G30">
        <v>0.01</v>
      </c>
      <c r="H30">
        <v>5.0000000000000001E-3</v>
      </c>
      <c r="I30">
        <v>0.01</v>
      </c>
    </row>
    <row r="31" spans="2:9" x14ac:dyDescent="0.2">
      <c r="B31" t="s">
        <v>10</v>
      </c>
      <c r="C31">
        <v>30</v>
      </c>
      <c r="E31">
        <v>30</v>
      </c>
      <c r="F31">
        <v>2.1999999999999999E-2</v>
      </c>
      <c r="G31">
        <v>0.01</v>
      </c>
      <c r="H31">
        <v>5.0000000000000001E-3</v>
      </c>
      <c r="I31">
        <v>0.01</v>
      </c>
    </row>
    <row r="32" spans="2:9" x14ac:dyDescent="0.2">
      <c r="B32" t="s">
        <v>11</v>
      </c>
      <c r="C32">
        <v>31</v>
      </c>
      <c r="E32">
        <v>31</v>
      </c>
      <c r="F32">
        <v>1.7999999999999999E-2</v>
      </c>
      <c r="G32">
        <v>0.01</v>
      </c>
      <c r="H32">
        <v>5.0000000000000001E-3</v>
      </c>
      <c r="I32">
        <v>0.01</v>
      </c>
    </row>
    <row r="33" spans="1:9" x14ac:dyDescent="0.2">
      <c r="B33" t="s">
        <v>12</v>
      </c>
      <c r="C33">
        <v>32</v>
      </c>
      <c r="E33">
        <v>32</v>
      </c>
      <c r="F33">
        <v>2.1000000000000001E-2</v>
      </c>
      <c r="G33">
        <v>0.01</v>
      </c>
      <c r="H33">
        <v>5.0000000000000001E-3</v>
      </c>
      <c r="I33">
        <v>0.01</v>
      </c>
    </row>
    <row r="34" spans="1:9" x14ac:dyDescent="0.2">
      <c r="B34" t="s">
        <v>13</v>
      </c>
      <c r="C34">
        <v>33</v>
      </c>
      <c r="E34">
        <v>33</v>
      </c>
      <c r="F34">
        <v>2.1999999999999999E-2</v>
      </c>
      <c r="G34">
        <v>0.01</v>
      </c>
      <c r="H34">
        <v>5.0000000000000001E-3</v>
      </c>
      <c r="I34">
        <v>0.01</v>
      </c>
    </row>
    <row r="35" spans="1:9" x14ac:dyDescent="0.2">
      <c r="B35" t="s">
        <v>79</v>
      </c>
      <c r="C35">
        <v>34</v>
      </c>
      <c r="E35">
        <v>34</v>
      </c>
      <c r="F35">
        <v>2.1000000000000001E-2</v>
      </c>
      <c r="G35">
        <v>0.01</v>
      </c>
      <c r="H35">
        <v>5.0000000000000001E-3</v>
      </c>
      <c r="I35">
        <v>0.01</v>
      </c>
    </row>
    <row r="36" spans="1:9" x14ac:dyDescent="0.2">
      <c r="B36" t="s">
        <v>80</v>
      </c>
      <c r="C36">
        <v>35</v>
      </c>
      <c r="E36">
        <v>35</v>
      </c>
      <c r="F36">
        <v>0</v>
      </c>
      <c r="G36">
        <v>0.01</v>
      </c>
      <c r="H36">
        <v>5.0000000000000001E-3</v>
      </c>
      <c r="I36">
        <v>0.01</v>
      </c>
    </row>
    <row r="37" spans="1:9" x14ac:dyDescent="0.2">
      <c r="A37" s="2">
        <v>43682</v>
      </c>
      <c r="B37" t="s">
        <v>166</v>
      </c>
      <c r="C37">
        <v>1</v>
      </c>
      <c r="E37">
        <v>36</v>
      </c>
      <c r="F37">
        <v>1.4799999999999994E-2</v>
      </c>
      <c r="G37">
        <v>0.01</v>
      </c>
      <c r="H37">
        <v>5.0000000000000001E-4</v>
      </c>
      <c r="I37">
        <v>0.01</v>
      </c>
    </row>
    <row r="38" spans="1:9" x14ac:dyDescent="0.2">
      <c r="A38" s="2">
        <v>43682</v>
      </c>
      <c r="B38" t="s">
        <v>167</v>
      </c>
      <c r="C38">
        <v>2</v>
      </c>
      <c r="E38">
        <v>37</v>
      </c>
      <c r="F38">
        <v>1.9199999999999995E-2</v>
      </c>
      <c r="G38">
        <v>0.01</v>
      </c>
      <c r="H38">
        <v>5.0000000000000001E-4</v>
      </c>
      <c r="I38">
        <v>0.01</v>
      </c>
    </row>
    <row r="39" spans="1:9" x14ac:dyDescent="0.2">
      <c r="A39" s="2">
        <v>43696</v>
      </c>
      <c r="B39" t="s">
        <v>168</v>
      </c>
      <c r="C39">
        <v>3</v>
      </c>
      <c r="E39">
        <v>38</v>
      </c>
      <c r="F39">
        <v>1.3300000000000006E-2</v>
      </c>
      <c r="G39">
        <v>0.01</v>
      </c>
      <c r="H39">
        <v>5.0000000000000001E-4</v>
      </c>
      <c r="I39">
        <v>0.01</v>
      </c>
    </row>
    <row r="40" spans="1:9" x14ac:dyDescent="0.2">
      <c r="A40" s="2">
        <v>43696</v>
      </c>
      <c r="B40" t="s">
        <v>169</v>
      </c>
      <c r="C40">
        <v>4</v>
      </c>
      <c r="E40">
        <v>39</v>
      </c>
      <c r="F40">
        <v>2.7799999999999991E-2</v>
      </c>
      <c r="G40">
        <v>0.01</v>
      </c>
      <c r="H40">
        <v>5.0000000000000001E-4</v>
      </c>
      <c r="I40">
        <v>0.01</v>
      </c>
    </row>
    <row r="41" spans="1:9" x14ac:dyDescent="0.2">
      <c r="A41" s="2">
        <v>43710</v>
      </c>
      <c r="B41" t="s">
        <v>170</v>
      </c>
      <c r="C41">
        <v>5</v>
      </c>
      <c r="E41">
        <v>40</v>
      </c>
      <c r="F41">
        <v>7.0000000000000062E-3</v>
      </c>
      <c r="G41">
        <v>0.01</v>
      </c>
      <c r="H41">
        <v>5.0000000000000001E-4</v>
      </c>
      <c r="I41">
        <v>0.01</v>
      </c>
    </row>
    <row r="42" spans="1:9" x14ac:dyDescent="0.2">
      <c r="A42" s="2">
        <v>43710</v>
      </c>
      <c r="B42" t="s">
        <v>171</v>
      </c>
      <c r="C42">
        <v>6</v>
      </c>
      <c r="E42">
        <v>41</v>
      </c>
      <c r="F42">
        <v>1.84E-2</v>
      </c>
      <c r="G42">
        <v>0.01</v>
      </c>
      <c r="H42">
        <v>5.0000000000000001E-4</v>
      </c>
      <c r="I42">
        <v>0.01</v>
      </c>
    </row>
    <row r="43" spans="1:9" x14ac:dyDescent="0.2">
      <c r="A43" s="2">
        <v>43735</v>
      </c>
      <c r="B43" t="s">
        <v>172</v>
      </c>
      <c r="C43">
        <v>7</v>
      </c>
      <c r="E43">
        <v>42</v>
      </c>
      <c r="F43">
        <v>1.1799999999999991E-2</v>
      </c>
      <c r="G43">
        <v>0.01</v>
      </c>
      <c r="H43">
        <v>5.0000000000000001E-4</v>
      </c>
      <c r="I43">
        <v>0.01</v>
      </c>
    </row>
    <row r="44" spans="1:9" x14ac:dyDescent="0.2">
      <c r="A44" s="2">
        <v>43735</v>
      </c>
      <c r="B44" t="s">
        <v>173</v>
      </c>
      <c r="C44">
        <v>8</v>
      </c>
      <c r="E44">
        <v>43</v>
      </c>
      <c r="F44">
        <v>2.2400000000000017E-2</v>
      </c>
      <c r="G44">
        <v>0.01</v>
      </c>
      <c r="H44">
        <v>5.0000000000000001E-4</v>
      </c>
      <c r="I44">
        <v>0.01</v>
      </c>
    </row>
    <row r="45" spans="1:9" x14ac:dyDescent="0.2">
      <c r="A45" s="2">
        <v>43735</v>
      </c>
      <c r="B45" t="s">
        <v>174</v>
      </c>
      <c r="C45">
        <v>9</v>
      </c>
      <c r="E45">
        <v>44</v>
      </c>
      <c r="F45">
        <v>8.6999999999999994E-3</v>
      </c>
      <c r="G45">
        <v>0.01</v>
      </c>
      <c r="H45">
        <v>5.0000000000000001E-4</v>
      </c>
      <c r="I45">
        <v>0.01</v>
      </c>
    </row>
    <row r="46" spans="1:9" x14ac:dyDescent="0.2">
      <c r="A46" s="2">
        <v>43735</v>
      </c>
      <c r="B46" t="s">
        <v>175</v>
      </c>
      <c r="C46">
        <v>10</v>
      </c>
      <c r="E46">
        <v>45</v>
      </c>
      <c r="F46">
        <v>2.049999999999999E-2</v>
      </c>
      <c r="G46">
        <v>0.01</v>
      </c>
      <c r="H46">
        <v>5.0000000000000001E-4</v>
      </c>
      <c r="I46">
        <v>0.01</v>
      </c>
    </row>
    <row r="47" spans="1:9" x14ac:dyDescent="0.2">
      <c r="A47" s="2">
        <v>43749</v>
      </c>
      <c r="B47" t="s">
        <v>176</v>
      </c>
      <c r="C47">
        <v>11</v>
      </c>
      <c r="E47">
        <v>46</v>
      </c>
      <c r="F47">
        <v>9.1999999999999998E-3</v>
      </c>
      <c r="G47">
        <v>0.01</v>
      </c>
      <c r="H47">
        <v>5.0000000000000001E-4</v>
      </c>
      <c r="I47">
        <v>0.01</v>
      </c>
    </row>
    <row r="48" spans="1:9" x14ac:dyDescent="0.2">
      <c r="A48" s="2">
        <v>43749</v>
      </c>
      <c r="B48" t="s">
        <v>177</v>
      </c>
      <c r="C48">
        <v>12</v>
      </c>
      <c r="E48">
        <v>47</v>
      </c>
      <c r="F48">
        <v>2.0900000000000002E-2</v>
      </c>
      <c r="G48">
        <v>0.01</v>
      </c>
      <c r="H48">
        <v>5.0000000000000001E-4</v>
      </c>
      <c r="I48">
        <v>0.01</v>
      </c>
    </row>
    <row r="49" spans="1:9" x14ac:dyDescent="0.2">
      <c r="A49" s="2">
        <v>43749</v>
      </c>
      <c r="B49" t="s">
        <v>178</v>
      </c>
      <c r="C49">
        <v>13</v>
      </c>
      <c r="E49">
        <v>48</v>
      </c>
      <c r="F49">
        <v>1.9100000000000006E-2</v>
      </c>
      <c r="G49">
        <v>0.01</v>
      </c>
      <c r="H49">
        <v>5.0000000000000001E-4</v>
      </c>
      <c r="I49">
        <v>0.01</v>
      </c>
    </row>
    <row r="50" spans="1:9" x14ac:dyDescent="0.2">
      <c r="A50" s="2">
        <v>43749</v>
      </c>
      <c r="B50" t="s">
        <v>179</v>
      </c>
      <c r="C50">
        <v>14</v>
      </c>
      <c r="E50">
        <v>49</v>
      </c>
      <c r="F50">
        <v>2.1500000000000005E-2</v>
      </c>
      <c r="G50">
        <v>0.01</v>
      </c>
      <c r="H50">
        <v>5.0000000000000001E-4</v>
      </c>
      <c r="I50">
        <v>0.01</v>
      </c>
    </row>
    <row r="51" spans="1:9" x14ac:dyDescent="0.2">
      <c r="A51" s="2">
        <v>43761</v>
      </c>
      <c r="B51" t="s">
        <v>180</v>
      </c>
      <c r="C51">
        <v>15</v>
      </c>
      <c r="E51">
        <v>50</v>
      </c>
      <c r="F51">
        <v>1.8000000000000002E-2</v>
      </c>
      <c r="G51">
        <v>0.01</v>
      </c>
      <c r="H51">
        <v>5.0000000000000001E-4</v>
      </c>
      <c r="I51">
        <v>0.01</v>
      </c>
    </row>
    <row r="52" spans="1:9" x14ac:dyDescent="0.2">
      <c r="A52" s="2">
        <v>43761</v>
      </c>
      <c r="B52" t="s">
        <v>181</v>
      </c>
      <c r="C52">
        <v>16</v>
      </c>
      <c r="E52">
        <v>51</v>
      </c>
      <c r="F52">
        <v>2.1000000000000012E-2</v>
      </c>
      <c r="G52">
        <v>0.01</v>
      </c>
      <c r="H52">
        <v>5.0000000000000001E-4</v>
      </c>
      <c r="I52">
        <v>0.01</v>
      </c>
    </row>
    <row r="53" spans="1:9" x14ac:dyDescent="0.2">
      <c r="A53" s="2">
        <v>43761</v>
      </c>
      <c r="B53" t="s">
        <v>182</v>
      </c>
      <c r="C53">
        <v>17</v>
      </c>
      <c r="E53">
        <v>52</v>
      </c>
      <c r="F53">
        <v>9.4999999999999807E-3</v>
      </c>
      <c r="G53">
        <v>0.01</v>
      </c>
      <c r="H53">
        <v>5.0000000000000001E-4</v>
      </c>
      <c r="I53">
        <v>0.01</v>
      </c>
    </row>
    <row r="54" spans="1:9" x14ac:dyDescent="0.2">
      <c r="A54" s="2">
        <v>43761</v>
      </c>
      <c r="B54" t="s">
        <v>183</v>
      </c>
      <c r="C54">
        <v>18</v>
      </c>
      <c r="E54">
        <v>53</v>
      </c>
      <c r="F54">
        <v>2.289999999999999E-2</v>
      </c>
      <c r="G54">
        <v>0.01</v>
      </c>
      <c r="H54">
        <v>5.0000000000000001E-4</v>
      </c>
      <c r="I54">
        <v>0.01</v>
      </c>
    </row>
    <row r="55" spans="1:9" x14ac:dyDescent="0.2">
      <c r="A55" s="2">
        <v>43777</v>
      </c>
      <c r="B55" t="s">
        <v>184</v>
      </c>
      <c r="C55">
        <v>19</v>
      </c>
      <c r="E55">
        <v>54</v>
      </c>
      <c r="F55">
        <v>7.4000000000000038E-3</v>
      </c>
      <c r="G55">
        <v>0.01</v>
      </c>
      <c r="H55">
        <v>5.0000000000000001E-4</v>
      </c>
      <c r="I55">
        <v>0.01</v>
      </c>
    </row>
    <row r="56" spans="1:9" x14ac:dyDescent="0.2">
      <c r="A56" s="2">
        <v>43777</v>
      </c>
      <c r="B56" t="s">
        <v>185</v>
      </c>
      <c r="C56">
        <v>20</v>
      </c>
      <c r="E56">
        <v>55</v>
      </c>
      <c r="F56">
        <v>2.4199999999999999E-2</v>
      </c>
      <c r="G56">
        <v>0.01</v>
      </c>
      <c r="H56">
        <v>5.0000000000000001E-4</v>
      </c>
      <c r="I56">
        <v>0.01</v>
      </c>
    </row>
    <row r="57" spans="1:9" x14ac:dyDescent="0.2">
      <c r="A57" s="2">
        <v>43777</v>
      </c>
      <c r="B57" t="s">
        <v>186</v>
      </c>
      <c r="C57">
        <v>21</v>
      </c>
      <c r="E57">
        <v>56</v>
      </c>
      <c r="F57">
        <v>6.499999999999978E-3</v>
      </c>
      <c r="G57">
        <v>0.01</v>
      </c>
      <c r="H57">
        <v>5.0000000000000001E-4</v>
      </c>
      <c r="I57">
        <v>0.01</v>
      </c>
    </row>
    <row r="58" spans="1:9" x14ac:dyDescent="0.2">
      <c r="A58" s="2">
        <v>43777</v>
      </c>
      <c r="B58" t="s">
        <v>187</v>
      </c>
      <c r="C58">
        <v>22</v>
      </c>
      <c r="E58">
        <v>57</v>
      </c>
      <c r="F58">
        <v>1.9599999999999979E-2</v>
      </c>
      <c r="G58">
        <v>0.01</v>
      </c>
      <c r="H58">
        <v>5.0000000000000001E-4</v>
      </c>
      <c r="I58">
        <v>0.01</v>
      </c>
    </row>
    <row r="59" spans="1:9" x14ac:dyDescent="0.2">
      <c r="A59" s="2">
        <v>43685</v>
      </c>
      <c r="B59" t="s">
        <v>188</v>
      </c>
      <c r="C59">
        <v>23</v>
      </c>
      <c r="E59">
        <v>58</v>
      </c>
      <c r="F59">
        <v>1.2299999999999991E-2</v>
      </c>
      <c r="G59">
        <v>0.01</v>
      </c>
      <c r="H59">
        <v>5.0000000000000001E-4</v>
      </c>
      <c r="I59">
        <v>0.01</v>
      </c>
    </row>
    <row r="60" spans="1:9" x14ac:dyDescent="0.2">
      <c r="A60" s="2">
        <v>43685</v>
      </c>
      <c r="B60" t="s">
        <v>189</v>
      </c>
      <c r="C60">
        <v>24</v>
      </c>
      <c r="E60">
        <v>59</v>
      </c>
      <c r="F60">
        <v>2.0800000000000027E-2</v>
      </c>
      <c r="G60">
        <v>0.01</v>
      </c>
      <c r="H60">
        <v>5.0000000000000001E-4</v>
      </c>
      <c r="I60">
        <v>0.01</v>
      </c>
    </row>
    <row r="61" spans="1:9" x14ac:dyDescent="0.2">
      <c r="A61" s="2">
        <v>43685</v>
      </c>
      <c r="B61" t="s">
        <v>190</v>
      </c>
      <c r="C61">
        <v>25</v>
      </c>
      <c r="E61">
        <v>60</v>
      </c>
      <c r="F61">
        <v>1.7700000000000007E-2</v>
      </c>
      <c r="G61">
        <v>0.01</v>
      </c>
      <c r="H61">
        <v>5.0000000000000001E-4</v>
      </c>
      <c r="I61">
        <v>0.01</v>
      </c>
    </row>
    <row r="62" spans="1:9" x14ac:dyDescent="0.2">
      <c r="A62" s="2">
        <v>43685</v>
      </c>
      <c r="B62" t="s">
        <v>191</v>
      </c>
      <c r="C62">
        <v>26</v>
      </c>
      <c r="E62">
        <v>61</v>
      </c>
      <c r="F62">
        <v>1.9800000000000012E-2</v>
      </c>
      <c r="G62">
        <v>0.01</v>
      </c>
      <c r="H62">
        <v>5.0000000000000001E-4</v>
      </c>
      <c r="I62">
        <v>0.01</v>
      </c>
    </row>
    <row r="63" spans="1:9" x14ac:dyDescent="0.2">
      <c r="A63" s="2">
        <v>43699</v>
      </c>
      <c r="B63" t="s">
        <v>192</v>
      </c>
      <c r="C63">
        <v>27</v>
      </c>
      <c r="E63">
        <v>62</v>
      </c>
      <c r="F63">
        <v>8.4000000000000047E-3</v>
      </c>
      <c r="G63">
        <v>0.01</v>
      </c>
      <c r="H63">
        <v>5.0000000000000001E-4</v>
      </c>
      <c r="I63">
        <v>0.01</v>
      </c>
    </row>
    <row r="64" spans="1:9" x14ac:dyDescent="0.2">
      <c r="A64" s="2">
        <v>43699</v>
      </c>
      <c r="B64" t="s">
        <v>193</v>
      </c>
      <c r="C64">
        <v>28</v>
      </c>
      <c r="E64">
        <v>63</v>
      </c>
      <c r="F64">
        <v>2.1900000000000003E-2</v>
      </c>
      <c r="G64">
        <v>0.01</v>
      </c>
      <c r="H64">
        <v>5.0000000000000001E-4</v>
      </c>
      <c r="I64">
        <v>0.01</v>
      </c>
    </row>
    <row r="65" spans="1:9" x14ac:dyDescent="0.2">
      <c r="A65" s="2">
        <v>43699</v>
      </c>
      <c r="B65" t="s">
        <v>76</v>
      </c>
      <c r="C65">
        <v>29</v>
      </c>
      <c r="E65">
        <v>64</v>
      </c>
      <c r="F65">
        <v>1.2999999999999999E-2</v>
      </c>
      <c r="G65">
        <v>0.01</v>
      </c>
      <c r="H65">
        <v>5.0000000000000001E-4</v>
      </c>
      <c r="I65">
        <v>0.01</v>
      </c>
    </row>
    <row r="66" spans="1:9" x14ac:dyDescent="0.2">
      <c r="A66" s="2">
        <v>43699</v>
      </c>
      <c r="B66" t="s">
        <v>77</v>
      </c>
      <c r="C66">
        <v>30</v>
      </c>
      <c r="E66">
        <v>65</v>
      </c>
      <c r="F66">
        <v>0</v>
      </c>
      <c r="G66">
        <v>0.01</v>
      </c>
      <c r="H66">
        <v>5.0000000000000001E-4</v>
      </c>
      <c r="I66">
        <v>0.01</v>
      </c>
    </row>
    <row r="67" spans="1:9" x14ac:dyDescent="0.2">
      <c r="A67" s="2">
        <v>43712</v>
      </c>
    </row>
    <row r="68" spans="1:9" x14ac:dyDescent="0.2">
      <c r="A68" s="2">
        <v>43712</v>
      </c>
    </row>
    <row r="69" spans="1:9" x14ac:dyDescent="0.2">
      <c r="A69" s="2">
        <v>43712</v>
      </c>
    </row>
    <row r="70" spans="1:9" x14ac:dyDescent="0.2">
      <c r="A70" s="2">
        <v>43712</v>
      </c>
    </row>
    <row r="71" spans="1:9" x14ac:dyDescent="0.2">
      <c r="A71" s="2">
        <v>43728</v>
      </c>
    </row>
    <row r="72" spans="1:9" x14ac:dyDescent="0.2">
      <c r="A72" s="2">
        <v>43728</v>
      </c>
    </row>
    <row r="73" spans="1:9" x14ac:dyDescent="0.2">
      <c r="A73" s="2">
        <v>43728</v>
      </c>
    </row>
    <row r="74" spans="1:9" x14ac:dyDescent="0.2">
      <c r="A74" s="2">
        <v>43728</v>
      </c>
    </row>
    <row r="75" spans="1:9" x14ac:dyDescent="0.2">
      <c r="A75" s="2">
        <v>43742</v>
      </c>
    </row>
    <row r="76" spans="1:9" x14ac:dyDescent="0.2">
      <c r="A76" s="2">
        <v>43742</v>
      </c>
    </row>
    <row r="77" spans="1:9" x14ac:dyDescent="0.2">
      <c r="A77" s="2">
        <v>43742</v>
      </c>
    </row>
    <row r="78" spans="1:9" x14ac:dyDescent="0.2">
      <c r="A78" s="2">
        <v>43742</v>
      </c>
    </row>
    <row r="79" spans="1:9" x14ac:dyDescent="0.2">
      <c r="A79" s="2">
        <v>43756</v>
      </c>
    </row>
    <row r="80" spans="1:9" x14ac:dyDescent="0.2">
      <c r="A80" s="2">
        <v>43756</v>
      </c>
    </row>
    <row r="81" spans="1:1" x14ac:dyDescent="0.2">
      <c r="A81" s="2">
        <v>43756</v>
      </c>
    </row>
    <row r="82" spans="1:1" x14ac:dyDescent="0.2">
      <c r="A82" s="2">
        <v>43756</v>
      </c>
    </row>
    <row r="83" spans="1:1" x14ac:dyDescent="0.2">
      <c r="A83" s="2">
        <v>43766</v>
      </c>
    </row>
    <row r="84" spans="1:1" x14ac:dyDescent="0.2">
      <c r="A84" s="2">
        <v>43766</v>
      </c>
    </row>
    <row r="85" spans="1:1" x14ac:dyDescent="0.2">
      <c r="A85" s="2">
        <v>43766</v>
      </c>
    </row>
    <row r="86" spans="1:1" x14ac:dyDescent="0.2">
      <c r="A86" s="2">
        <v>43766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8246-72C3-4445-9ECF-1035308DCB0C}">
  <dimension ref="A1:I61"/>
  <sheetViews>
    <sheetView workbookViewId="0">
      <selection activeCell="B67" sqref="B67"/>
    </sheetView>
  </sheetViews>
  <sheetFormatPr baseColWidth="10" defaultColWidth="8.83203125" defaultRowHeight="16" x14ac:dyDescent="0.2"/>
  <cols>
    <col min="1" max="1" width="11" bestFit="1" customWidth="1"/>
    <col min="2" max="2" width="24.83203125" bestFit="1" customWidth="1"/>
    <col min="3" max="3" width="8.1640625" bestFit="1" customWidth="1"/>
    <col min="4" max="4" width="9.5" bestFit="1" customWidth="1"/>
    <col min="5" max="5" width="8.1640625" bestFit="1" customWidth="1"/>
    <col min="6" max="6" width="15.1640625" bestFit="1" customWidth="1"/>
    <col min="7" max="7" width="9.6640625" bestFit="1" customWidth="1"/>
    <col min="8" max="8" width="24.6640625" bestFit="1" customWidth="1"/>
    <col min="9" max="9" width="12" bestFit="1" customWidth="1"/>
  </cols>
  <sheetData>
    <row r="1" spans="1:9" x14ac:dyDescent="0.2">
      <c r="A1" s="1" t="s">
        <v>14</v>
      </c>
      <c r="B1" s="1" t="s">
        <v>0</v>
      </c>
      <c r="C1" s="1" t="s">
        <v>15</v>
      </c>
      <c r="D1" s="1" t="s">
        <v>78</v>
      </c>
      <c r="E1" s="1" t="s">
        <v>120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2">
      <c r="A2" s="2">
        <v>43682</v>
      </c>
      <c r="B2" s="1" t="s">
        <v>20</v>
      </c>
      <c r="C2" s="11">
        <v>1</v>
      </c>
      <c r="D2" s="11"/>
      <c r="E2" s="12">
        <v>36</v>
      </c>
      <c r="F2" s="3">
        <f>0.1203-0.1135</f>
        <v>6.8000000000000005E-3</v>
      </c>
      <c r="G2" s="11">
        <v>0.01</v>
      </c>
      <c r="H2" s="11">
        <v>5.0000000000000001E-4</v>
      </c>
      <c r="I2" s="11">
        <v>0.01</v>
      </c>
    </row>
    <row r="3" spans="1:9" x14ac:dyDescent="0.2">
      <c r="A3" s="2">
        <v>43682</v>
      </c>
      <c r="B3" s="1" t="s">
        <v>21</v>
      </c>
      <c r="C3" s="11"/>
      <c r="D3" s="11"/>
      <c r="E3" s="13"/>
      <c r="F3" s="3">
        <f>0.1219-0.1139</f>
        <v>7.9999999999999932E-3</v>
      </c>
      <c r="G3" s="11"/>
      <c r="H3" s="11"/>
      <c r="I3" s="11"/>
    </row>
    <row r="4" spans="1:9" x14ac:dyDescent="0.2">
      <c r="A4" s="2">
        <v>43682</v>
      </c>
      <c r="B4" s="1" t="s">
        <v>22</v>
      </c>
      <c r="C4" s="11">
        <v>2</v>
      </c>
      <c r="D4" s="11"/>
      <c r="E4" s="12">
        <v>37</v>
      </c>
      <c r="F4" s="3">
        <f>0.1245-0.1149</f>
        <v>9.5999999999999974E-3</v>
      </c>
      <c r="G4" s="11">
        <v>0.01</v>
      </c>
      <c r="H4" s="11">
        <v>5.0000000000000001E-4</v>
      </c>
      <c r="I4" s="11">
        <v>0.01</v>
      </c>
    </row>
    <row r="5" spans="1:9" x14ac:dyDescent="0.2">
      <c r="A5" s="2">
        <v>43682</v>
      </c>
      <c r="B5" s="1" t="s">
        <v>23</v>
      </c>
      <c r="C5" s="11"/>
      <c r="D5" s="11"/>
      <c r="E5" s="13"/>
      <c r="F5" s="3">
        <f>0.1239-0.1143</f>
        <v>9.5999999999999974E-3</v>
      </c>
      <c r="G5" s="11"/>
      <c r="H5" s="11"/>
      <c r="I5" s="11"/>
    </row>
    <row r="6" spans="1:9" x14ac:dyDescent="0.2">
      <c r="A6" s="2">
        <v>43696</v>
      </c>
      <c r="B6" s="1" t="s">
        <v>24</v>
      </c>
      <c r="C6" s="11">
        <v>3</v>
      </c>
      <c r="D6" s="11"/>
      <c r="E6" s="12">
        <v>38</v>
      </c>
      <c r="F6" s="3">
        <f>0.1218-0.1144</f>
        <v>7.4000000000000038E-3</v>
      </c>
      <c r="G6" s="11">
        <v>0.01</v>
      </c>
      <c r="H6" s="11">
        <v>5.0000000000000001E-4</v>
      </c>
      <c r="I6" s="11">
        <v>0.01</v>
      </c>
    </row>
    <row r="7" spans="1:9" x14ac:dyDescent="0.2">
      <c r="A7" s="2">
        <v>43696</v>
      </c>
      <c r="B7" s="1" t="s">
        <v>25</v>
      </c>
      <c r="C7" s="11"/>
      <c r="D7" s="11"/>
      <c r="E7" s="13"/>
      <c r="F7" s="3">
        <f>0.1197-0.1138</f>
        <v>5.9000000000000025E-3</v>
      </c>
      <c r="G7" s="11"/>
      <c r="H7" s="11"/>
      <c r="I7" s="11"/>
    </row>
    <row r="8" spans="1:9" x14ac:dyDescent="0.2">
      <c r="A8" s="2">
        <v>43696</v>
      </c>
      <c r="B8" s="1" t="s">
        <v>26</v>
      </c>
      <c r="C8" s="11">
        <v>4</v>
      </c>
      <c r="D8" s="11"/>
      <c r="E8" s="12">
        <v>39</v>
      </c>
      <c r="F8" s="3">
        <f>0.1291-0.114</f>
        <v>1.5099999999999988E-2</v>
      </c>
      <c r="G8" s="11">
        <v>0.01</v>
      </c>
      <c r="H8" s="11">
        <v>5.0000000000000001E-4</v>
      </c>
      <c r="I8" s="11">
        <v>0.01</v>
      </c>
    </row>
    <row r="9" spans="1:9" x14ac:dyDescent="0.2">
      <c r="A9" s="2">
        <v>43696</v>
      </c>
      <c r="B9" s="1" t="s">
        <v>27</v>
      </c>
      <c r="C9" s="11"/>
      <c r="D9" s="11"/>
      <c r="E9" s="13"/>
      <c r="F9" s="3">
        <f>0.1262-0.1135</f>
        <v>1.2700000000000003E-2</v>
      </c>
      <c r="G9" s="11"/>
      <c r="H9" s="11"/>
      <c r="I9" s="11"/>
    </row>
    <row r="10" spans="1:9" x14ac:dyDescent="0.2">
      <c r="A10" s="2">
        <v>43710</v>
      </c>
      <c r="B10" s="1" t="s">
        <v>28</v>
      </c>
      <c r="C10" s="11">
        <v>5</v>
      </c>
      <c r="D10" s="11"/>
      <c r="E10" s="12">
        <v>40</v>
      </c>
      <c r="F10" s="3">
        <f>0.1168-0.1137</f>
        <v>3.1000000000000055E-3</v>
      </c>
      <c r="G10" s="11">
        <v>0.01</v>
      </c>
      <c r="H10" s="11">
        <v>5.0000000000000001E-4</v>
      </c>
      <c r="I10" s="11">
        <v>0.01</v>
      </c>
    </row>
    <row r="11" spans="1:9" x14ac:dyDescent="0.2">
      <c r="A11" s="2">
        <v>43710</v>
      </c>
      <c r="B11" s="1" t="s">
        <v>29</v>
      </c>
      <c r="C11" s="11"/>
      <c r="D11" s="11"/>
      <c r="E11" s="13"/>
      <c r="F11" s="3">
        <f>0.1186-0.1147</f>
        <v>3.9000000000000007E-3</v>
      </c>
      <c r="G11" s="11"/>
      <c r="H11" s="11"/>
      <c r="I11" s="11"/>
    </row>
    <row r="12" spans="1:9" x14ac:dyDescent="0.2">
      <c r="A12" s="2">
        <v>43710</v>
      </c>
      <c r="B12" s="1" t="s">
        <v>30</v>
      </c>
      <c r="C12" s="11">
        <v>6</v>
      </c>
      <c r="D12" s="11"/>
      <c r="E12" s="12">
        <v>41</v>
      </c>
      <c r="F12" s="3">
        <f>0.1205-0.1151</f>
        <v>5.400000000000002E-3</v>
      </c>
      <c r="G12" s="11">
        <v>0.01</v>
      </c>
      <c r="H12" s="11">
        <v>5.0000000000000001E-4</v>
      </c>
      <c r="I12" s="11">
        <v>0.01</v>
      </c>
    </row>
    <row r="13" spans="1:9" x14ac:dyDescent="0.2">
      <c r="A13" s="2">
        <v>43710</v>
      </c>
      <c r="B13" s="1" t="s">
        <v>31</v>
      </c>
      <c r="C13" s="11"/>
      <c r="D13" s="11"/>
      <c r="E13" s="13"/>
      <c r="F13" s="3">
        <f>0.1278-0.1148</f>
        <v>1.2999999999999998E-2</v>
      </c>
      <c r="G13" s="11"/>
      <c r="H13" s="11"/>
      <c r="I13" s="11"/>
    </row>
    <row r="14" spans="1:9" x14ac:dyDescent="0.2">
      <c r="A14" s="2">
        <v>43735</v>
      </c>
      <c r="B14" s="1" t="s">
        <v>32</v>
      </c>
      <c r="C14" s="11">
        <v>7</v>
      </c>
      <c r="D14" s="11"/>
      <c r="E14" s="12">
        <v>42</v>
      </c>
      <c r="F14" s="3">
        <f>0.1211-0.1136</f>
        <v>7.4999999999999928E-3</v>
      </c>
      <c r="G14" s="11">
        <v>0.01</v>
      </c>
      <c r="H14" s="11">
        <v>5.0000000000000001E-4</v>
      </c>
      <c r="I14" s="11">
        <v>0.01</v>
      </c>
    </row>
    <row r="15" spans="1:9" x14ac:dyDescent="0.2">
      <c r="A15" s="2">
        <v>43735</v>
      </c>
      <c r="B15" s="1" t="s">
        <v>33</v>
      </c>
      <c r="C15" s="11"/>
      <c r="D15" s="11"/>
      <c r="E15" s="13"/>
      <c r="F15" s="3">
        <f>0.1185-0.1142</f>
        <v>4.2999999999999983E-3</v>
      </c>
      <c r="G15" s="11"/>
      <c r="H15" s="11"/>
      <c r="I15" s="11"/>
    </row>
    <row r="16" spans="1:9" x14ac:dyDescent="0.2">
      <c r="A16" s="2">
        <v>43735</v>
      </c>
      <c r="B16" s="1" t="s">
        <v>34</v>
      </c>
      <c r="C16" s="11">
        <v>8</v>
      </c>
      <c r="D16" s="11"/>
      <c r="E16" s="12">
        <v>43</v>
      </c>
      <c r="F16" s="3">
        <f>0.1265-0.1142</f>
        <v>1.2300000000000005E-2</v>
      </c>
      <c r="G16" s="11">
        <v>0.01</v>
      </c>
      <c r="H16" s="11">
        <v>5.0000000000000001E-4</v>
      </c>
      <c r="I16" s="11">
        <v>0.01</v>
      </c>
    </row>
    <row r="17" spans="1:9" x14ac:dyDescent="0.2">
      <c r="A17" s="2">
        <v>43735</v>
      </c>
      <c r="B17" s="1" t="s">
        <v>35</v>
      </c>
      <c r="C17" s="11"/>
      <c r="D17" s="11"/>
      <c r="E17" s="13"/>
      <c r="F17" s="3">
        <f>0.1247-0.1146</f>
        <v>1.0100000000000012E-2</v>
      </c>
      <c r="G17" s="11"/>
      <c r="H17" s="11"/>
      <c r="I17" s="11"/>
    </row>
    <row r="18" spans="1:9" x14ac:dyDescent="0.2">
      <c r="A18" s="2">
        <v>43749</v>
      </c>
      <c r="B18" s="1" t="s">
        <v>36</v>
      </c>
      <c r="C18" s="11">
        <v>9</v>
      </c>
      <c r="D18" s="11"/>
      <c r="E18" s="12">
        <v>44</v>
      </c>
      <c r="F18" s="3">
        <f>0.118-0.1141</f>
        <v>3.9000000000000007E-3</v>
      </c>
      <c r="G18" s="11">
        <v>0.01</v>
      </c>
      <c r="H18" s="11">
        <v>5.0000000000000001E-4</v>
      </c>
      <c r="I18" s="11">
        <v>0.01</v>
      </c>
    </row>
    <row r="19" spans="1:9" x14ac:dyDescent="0.2">
      <c r="A19" s="2">
        <v>43749</v>
      </c>
      <c r="B19" s="1" t="s">
        <v>37</v>
      </c>
      <c r="C19" s="11"/>
      <c r="D19" s="11"/>
      <c r="E19" s="13"/>
      <c r="F19" s="3">
        <f>0.1192-0.1144</f>
        <v>4.7999999999999987E-3</v>
      </c>
      <c r="G19" s="11"/>
      <c r="H19" s="11"/>
      <c r="I19" s="11"/>
    </row>
    <row r="20" spans="1:9" x14ac:dyDescent="0.2">
      <c r="A20" s="2">
        <v>43749</v>
      </c>
      <c r="B20" s="1" t="s">
        <v>38</v>
      </c>
      <c r="C20" s="11">
        <v>10</v>
      </c>
      <c r="D20" s="11"/>
      <c r="E20" s="12">
        <v>45</v>
      </c>
      <c r="F20" s="3">
        <f>0.1247-0.1155</f>
        <v>9.1999999999999998E-3</v>
      </c>
      <c r="G20" s="11">
        <v>0.01</v>
      </c>
      <c r="H20" s="11">
        <v>5.0000000000000001E-4</v>
      </c>
      <c r="I20" s="11">
        <v>0.01</v>
      </c>
    </row>
    <row r="21" spans="1:9" x14ac:dyDescent="0.2">
      <c r="A21" s="2">
        <v>43749</v>
      </c>
      <c r="B21" s="1" t="s">
        <v>39</v>
      </c>
      <c r="C21" s="11"/>
      <c r="D21" s="11"/>
      <c r="E21" s="13"/>
      <c r="F21" s="3">
        <f>0.1261-0.1148</f>
        <v>1.1299999999999991E-2</v>
      </c>
      <c r="G21" s="11"/>
      <c r="H21" s="11"/>
      <c r="I21" s="11"/>
    </row>
    <row r="22" spans="1:9" x14ac:dyDescent="0.2">
      <c r="A22" s="2">
        <v>43761</v>
      </c>
      <c r="B22" s="1" t="s">
        <v>40</v>
      </c>
      <c r="C22" s="11">
        <v>11</v>
      </c>
      <c r="D22" s="11"/>
      <c r="E22" s="12">
        <v>46</v>
      </c>
      <c r="F22" s="3">
        <f>0.1192-0.1143</f>
        <v>4.9000000000000016E-3</v>
      </c>
      <c r="G22" s="11">
        <v>0.01</v>
      </c>
      <c r="H22" s="11">
        <v>5.0000000000000001E-4</v>
      </c>
      <c r="I22" s="11">
        <v>0.01</v>
      </c>
    </row>
    <row r="23" spans="1:9" x14ac:dyDescent="0.2">
      <c r="A23" s="2">
        <v>43761</v>
      </c>
      <c r="B23" s="1" t="s">
        <v>41</v>
      </c>
      <c r="C23" s="11"/>
      <c r="D23" s="11"/>
      <c r="E23" s="13"/>
      <c r="F23" s="3">
        <f>0.1183-0.114</f>
        <v>4.2999999999999983E-3</v>
      </c>
      <c r="G23" s="11"/>
      <c r="H23" s="11"/>
      <c r="I23" s="11"/>
    </row>
    <row r="24" spans="1:9" x14ac:dyDescent="0.2">
      <c r="A24" s="2">
        <v>43761</v>
      </c>
      <c r="B24" s="1" t="s">
        <v>42</v>
      </c>
      <c r="C24" s="11">
        <v>12</v>
      </c>
      <c r="D24" s="11"/>
      <c r="E24" s="12">
        <v>47</v>
      </c>
      <c r="F24" s="3">
        <f>0.124-0.1143</f>
        <v>9.7000000000000003E-3</v>
      </c>
      <c r="G24" s="11">
        <v>0.01</v>
      </c>
      <c r="H24" s="11">
        <v>5.0000000000000001E-4</v>
      </c>
      <c r="I24" s="11">
        <v>0.01</v>
      </c>
    </row>
    <row r="25" spans="1:9" x14ac:dyDescent="0.2">
      <c r="A25" s="2">
        <v>43761</v>
      </c>
      <c r="B25" s="1" t="s">
        <v>43</v>
      </c>
      <c r="C25" s="11"/>
      <c r="D25" s="11"/>
      <c r="E25" s="13"/>
      <c r="F25" s="3">
        <f>0.1253-0.1141</f>
        <v>1.1200000000000002E-2</v>
      </c>
      <c r="G25" s="11"/>
      <c r="H25" s="11"/>
      <c r="I25" s="11"/>
    </row>
    <row r="26" spans="1:9" x14ac:dyDescent="0.2">
      <c r="A26" s="2">
        <v>43777</v>
      </c>
      <c r="B26" s="1" t="s">
        <v>44</v>
      </c>
      <c r="C26" s="11">
        <v>13</v>
      </c>
      <c r="D26" s="11"/>
      <c r="E26" s="12">
        <v>48</v>
      </c>
      <c r="F26" s="3">
        <f>0.1228-0.115</f>
        <v>7.8000000000000014E-3</v>
      </c>
      <c r="G26" s="11">
        <v>0.01</v>
      </c>
      <c r="H26" s="11">
        <v>5.0000000000000001E-4</v>
      </c>
      <c r="I26" s="11">
        <v>0.01</v>
      </c>
    </row>
    <row r="27" spans="1:9" x14ac:dyDescent="0.2">
      <c r="A27" s="2">
        <v>43777</v>
      </c>
      <c r="B27" s="1" t="s">
        <v>45</v>
      </c>
      <c r="C27" s="11"/>
      <c r="D27" s="11"/>
      <c r="E27" s="13"/>
      <c r="F27" s="3">
        <f>0.126-0.1147</f>
        <v>1.1300000000000004E-2</v>
      </c>
      <c r="G27" s="11"/>
      <c r="H27" s="11"/>
      <c r="I27" s="11"/>
    </row>
    <row r="28" spans="1:9" x14ac:dyDescent="0.2">
      <c r="A28" s="2">
        <v>43777</v>
      </c>
      <c r="B28" s="1" t="s">
        <v>46</v>
      </c>
      <c r="C28" s="11">
        <v>14</v>
      </c>
      <c r="D28" s="11"/>
      <c r="E28" s="12">
        <v>49</v>
      </c>
      <c r="F28" s="3">
        <f>0.127-0.1138</f>
        <v>1.3200000000000003E-2</v>
      </c>
      <c r="G28" s="11">
        <v>0.01</v>
      </c>
      <c r="H28" s="11">
        <v>5.0000000000000001E-4</v>
      </c>
      <c r="I28" s="11">
        <v>0.01</v>
      </c>
    </row>
    <row r="29" spans="1:9" x14ac:dyDescent="0.2">
      <c r="A29" s="2">
        <v>43777</v>
      </c>
      <c r="B29" s="1" t="s">
        <v>47</v>
      </c>
      <c r="C29" s="11"/>
      <c r="D29" s="11"/>
      <c r="E29" s="13"/>
      <c r="F29" s="3">
        <f>0.1224-0.1141</f>
        <v>8.3000000000000018E-3</v>
      </c>
      <c r="G29" s="11"/>
      <c r="H29" s="11"/>
      <c r="I29" s="11"/>
    </row>
    <row r="30" spans="1:9" x14ac:dyDescent="0.2">
      <c r="A30" s="2">
        <v>43685</v>
      </c>
      <c r="B30" s="1" t="s">
        <v>48</v>
      </c>
      <c r="C30" s="11">
        <v>15</v>
      </c>
      <c r="D30" s="11"/>
      <c r="E30" s="12">
        <v>50</v>
      </c>
      <c r="F30" s="3">
        <f>0.1236-0.1152</f>
        <v>8.4000000000000047E-3</v>
      </c>
      <c r="G30" s="11">
        <v>0.01</v>
      </c>
      <c r="H30" s="11">
        <v>5.0000000000000001E-4</v>
      </c>
      <c r="I30" s="11">
        <v>0.01</v>
      </c>
    </row>
    <row r="31" spans="1:9" x14ac:dyDescent="0.2">
      <c r="A31" s="2">
        <v>43685</v>
      </c>
      <c r="B31" s="1" t="s">
        <v>49</v>
      </c>
      <c r="C31" s="11"/>
      <c r="D31" s="11"/>
      <c r="E31" s="13"/>
      <c r="F31" s="3">
        <f>0.1234-0.1138</f>
        <v>9.5999999999999974E-3</v>
      </c>
      <c r="G31" s="11"/>
      <c r="H31" s="11"/>
      <c r="I31" s="11"/>
    </row>
    <row r="32" spans="1:9" x14ac:dyDescent="0.2">
      <c r="A32" s="2">
        <v>43685</v>
      </c>
      <c r="B32" s="1" t="s">
        <v>50</v>
      </c>
      <c r="C32" s="11">
        <v>16</v>
      </c>
      <c r="D32" s="11"/>
      <c r="E32" s="12">
        <v>51</v>
      </c>
      <c r="F32" s="3">
        <v>8.5000000000000006E-3</v>
      </c>
      <c r="G32" s="11">
        <v>0.01</v>
      </c>
      <c r="H32" s="11">
        <v>5.0000000000000001E-4</v>
      </c>
      <c r="I32" s="11">
        <v>0.01</v>
      </c>
    </row>
    <row r="33" spans="1:9" x14ac:dyDescent="0.2">
      <c r="A33" s="2">
        <v>43685</v>
      </c>
      <c r="B33" s="1" t="s">
        <v>51</v>
      </c>
      <c r="C33" s="11"/>
      <c r="D33" s="11"/>
      <c r="E33" s="13"/>
      <c r="F33" s="3">
        <f>0.1267-0.1142</f>
        <v>1.2500000000000011E-2</v>
      </c>
      <c r="G33" s="11"/>
      <c r="H33" s="11"/>
      <c r="I33" s="11"/>
    </row>
    <row r="34" spans="1:9" x14ac:dyDescent="0.2">
      <c r="A34" s="2">
        <v>43699</v>
      </c>
      <c r="B34" s="1" t="s">
        <v>52</v>
      </c>
      <c r="C34" s="11">
        <v>17</v>
      </c>
      <c r="D34" s="11"/>
      <c r="E34" s="12">
        <v>52</v>
      </c>
      <c r="F34" s="3">
        <f>0.1176-0.1136</f>
        <v>3.9999999999999897E-3</v>
      </c>
      <c r="G34" s="11">
        <v>0.01</v>
      </c>
      <c r="H34" s="11">
        <v>5.0000000000000001E-4</v>
      </c>
      <c r="I34" s="11">
        <v>0.01</v>
      </c>
    </row>
    <row r="35" spans="1:9" x14ac:dyDescent="0.2">
      <c r="A35" s="2">
        <v>43699</v>
      </c>
      <c r="B35" s="1" t="s">
        <v>53</v>
      </c>
      <c r="C35" s="11"/>
      <c r="D35" s="11"/>
      <c r="E35" s="13"/>
      <c r="F35" s="3">
        <f>0.12-0.1145</f>
        <v>5.499999999999991E-3</v>
      </c>
      <c r="G35" s="11"/>
      <c r="H35" s="11"/>
      <c r="I35" s="11"/>
    </row>
    <row r="36" spans="1:9" x14ac:dyDescent="0.2">
      <c r="A36" s="2">
        <v>43699</v>
      </c>
      <c r="B36" s="1" t="s">
        <v>54</v>
      </c>
      <c r="C36" s="11">
        <v>18</v>
      </c>
      <c r="D36" s="11"/>
      <c r="E36" s="12">
        <v>53</v>
      </c>
      <c r="F36" s="3">
        <f>0.1263-0.1145</f>
        <v>1.1799999999999991E-2</v>
      </c>
      <c r="G36" s="11">
        <v>0.01</v>
      </c>
      <c r="H36" s="11">
        <v>5.0000000000000001E-4</v>
      </c>
      <c r="I36" s="11">
        <v>0.01</v>
      </c>
    </row>
    <row r="37" spans="1:9" x14ac:dyDescent="0.2">
      <c r="A37" s="2">
        <v>43699</v>
      </c>
      <c r="B37" s="1" t="s">
        <v>55</v>
      </c>
      <c r="C37" s="11"/>
      <c r="D37" s="11"/>
      <c r="E37" s="13"/>
      <c r="F37" s="3">
        <f>0.125-0.1139</f>
        <v>1.1099999999999999E-2</v>
      </c>
      <c r="G37" s="11"/>
      <c r="H37" s="11"/>
      <c r="I37" s="11"/>
    </row>
    <row r="38" spans="1:9" x14ac:dyDescent="0.2">
      <c r="A38" s="2">
        <v>43712</v>
      </c>
      <c r="B38" s="1" t="s">
        <v>56</v>
      </c>
      <c r="C38" s="11">
        <v>19</v>
      </c>
      <c r="D38" s="11"/>
      <c r="E38" s="12">
        <v>54</v>
      </c>
      <c r="F38" s="3">
        <f>0.1183-0.1149</f>
        <v>3.4000000000000002E-3</v>
      </c>
      <c r="G38" s="11">
        <v>0.01</v>
      </c>
      <c r="H38" s="11">
        <v>5.0000000000000001E-4</v>
      </c>
      <c r="I38" s="11">
        <v>0.01</v>
      </c>
    </row>
    <row r="39" spans="1:9" x14ac:dyDescent="0.2">
      <c r="A39" s="2">
        <v>43712</v>
      </c>
      <c r="B39" s="1" t="s">
        <v>57</v>
      </c>
      <c r="C39" s="11"/>
      <c r="D39" s="11"/>
      <c r="E39" s="13"/>
      <c r="F39" s="3">
        <f>0.1187-0.1147</f>
        <v>4.0000000000000036E-3</v>
      </c>
      <c r="G39" s="11"/>
      <c r="H39" s="11"/>
      <c r="I39" s="11"/>
    </row>
    <row r="40" spans="1:9" x14ac:dyDescent="0.2">
      <c r="A40" s="2">
        <v>43712</v>
      </c>
      <c r="B40" s="1" t="s">
        <v>58</v>
      </c>
      <c r="C40" s="11">
        <v>20</v>
      </c>
      <c r="D40" s="11"/>
      <c r="E40" s="12">
        <v>55</v>
      </c>
      <c r="F40" s="3">
        <f>0.1249-0.114</f>
        <v>1.0899999999999993E-2</v>
      </c>
      <c r="G40" s="11">
        <v>0.01</v>
      </c>
      <c r="H40" s="11">
        <v>5.0000000000000001E-4</v>
      </c>
      <c r="I40" s="11">
        <v>0.01</v>
      </c>
    </row>
    <row r="41" spans="1:9" x14ac:dyDescent="0.2">
      <c r="A41" s="2">
        <v>43712</v>
      </c>
      <c r="B41" s="1" t="s">
        <v>59</v>
      </c>
      <c r="C41" s="11"/>
      <c r="D41" s="11"/>
      <c r="E41" s="13"/>
      <c r="F41" s="3">
        <f>0.128-0.1147</f>
        <v>1.3300000000000006E-2</v>
      </c>
      <c r="G41" s="11"/>
      <c r="H41" s="11"/>
      <c r="I41" s="11"/>
    </row>
    <row r="42" spans="1:9" x14ac:dyDescent="0.2">
      <c r="A42" s="2">
        <v>43728</v>
      </c>
      <c r="B42" s="1" t="s">
        <v>60</v>
      </c>
      <c r="C42" s="11">
        <v>21</v>
      </c>
      <c r="D42" s="11"/>
      <c r="E42" s="12">
        <v>56</v>
      </c>
      <c r="F42" s="3">
        <f>0.1175-0.1145</f>
        <v>2.9999999999999888E-3</v>
      </c>
      <c r="G42" s="11">
        <v>0.01</v>
      </c>
      <c r="H42" s="11">
        <v>5.0000000000000001E-4</v>
      </c>
      <c r="I42" s="11">
        <v>0.01</v>
      </c>
    </row>
    <row r="43" spans="1:9" x14ac:dyDescent="0.2">
      <c r="A43" s="2">
        <v>43728</v>
      </c>
      <c r="B43" s="1" t="s">
        <v>61</v>
      </c>
      <c r="C43" s="11"/>
      <c r="D43" s="11"/>
      <c r="E43" s="13"/>
      <c r="F43" s="3">
        <f>0.1175-0.114</f>
        <v>3.4999999999999892E-3</v>
      </c>
      <c r="G43" s="11"/>
      <c r="H43" s="11"/>
      <c r="I43" s="11"/>
    </row>
    <row r="44" spans="1:9" x14ac:dyDescent="0.2">
      <c r="A44" s="2">
        <v>43728</v>
      </c>
      <c r="B44" s="1" t="s">
        <v>62</v>
      </c>
      <c r="C44" s="11">
        <v>22</v>
      </c>
      <c r="D44" s="11"/>
      <c r="E44" s="12">
        <v>57</v>
      </c>
      <c r="F44" s="3">
        <f>0.1239-0.1144</f>
        <v>9.4999999999999946E-3</v>
      </c>
      <c r="G44" s="11">
        <v>0.01</v>
      </c>
      <c r="H44" s="11">
        <v>5.0000000000000001E-4</v>
      </c>
      <c r="I44" s="11">
        <v>0.01</v>
      </c>
    </row>
    <row r="45" spans="1:9" x14ac:dyDescent="0.2">
      <c r="A45" s="2">
        <v>43728</v>
      </c>
      <c r="B45" s="1" t="s">
        <v>63</v>
      </c>
      <c r="C45" s="11"/>
      <c r="D45" s="11"/>
      <c r="E45" s="13"/>
      <c r="F45" s="3">
        <f>0.1251-0.115</f>
        <v>1.0099999999999984E-2</v>
      </c>
      <c r="G45" s="11"/>
      <c r="H45" s="11"/>
      <c r="I45" s="11"/>
    </row>
    <row r="46" spans="1:9" x14ac:dyDescent="0.2">
      <c r="A46" s="2">
        <v>43742</v>
      </c>
      <c r="B46" s="1" t="s">
        <v>64</v>
      </c>
      <c r="C46" s="11">
        <v>23</v>
      </c>
      <c r="D46" s="11"/>
      <c r="E46" s="12">
        <v>58</v>
      </c>
      <c r="F46" s="3">
        <f>0.1186-0.1155</f>
        <v>3.0999999999999917E-3</v>
      </c>
      <c r="G46" s="11">
        <v>0.01</v>
      </c>
      <c r="H46" s="11">
        <v>5.0000000000000001E-4</v>
      </c>
      <c r="I46" s="11">
        <v>0.01</v>
      </c>
    </row>
    <row r="47" spans="1:9" x14ac:dyDescent="0.2">
      <c r="A47" s="2">
        <v>43742</v>
      </c>
      <c r="B47" s="1" t="s">
        <v>65</v>
      </c>
      <c r="C47" s="11"/>
      <c r="D47" s="11"/>
      <c r="E47" s="13"/>
      <c r="F47" s="3">
        <f>0.1231-0.1139</f>
        <v>9.1999999999999998E-3</v>
      </c>
      <c r="G47" s="11"/>
      <c r="H47" s="11"/>
      <c r="I47" s="11"/>
    </row>
    <row r="48" spans="1:9" x14ac:dyDescent="0.2">
      <c r="A48" s="2">
        <v>43742</v>
      </c>
      <c r="B48" s="1" t="s">
        <v>66</v>
      </c>
      <c r="C48" s="11">
        <v>24</v>
      </c>
      <c r="D48" s="11"/>
      <c r="E48" s="12">
        <v>59</v>
      </c>
      <c r="F48" s="3">
        <f>0.1269-0.1146</f>
        <v>1.2300000000000019E-2</v>
      </c>
      <c r="G48" s="11">
        <v>0.01</v>
      </c>
      <c r="H48" s="11">
        <v>5.0000000000000001E-4</v>
      </c>
      <c r="I48" s="11">
        <v>0.01</v>
      </c>
    </row>
    <row r="49" spans="1:9" x14ac:dyDescent="0.2">
      <c r="A49" s="2">
        <v>43742</v>
      </c>
      <c r="B49" s="1" t="s">
        <v>67</v>
      </c>
      <c r="C49" s="11"/>
      <c r="D49" s="11"/>
      <c r="E49" s="13"/>
      <c r="F49" s="3">
        <f>0.1232-0.1147</f>
        <v>8.5000000000000075E-3</v>
      </c>
      <c r="G49" s="11"/>
      <c r="H49" s="11"/>
      <c r="I49" s="11"/>
    </row>
    <row r="50" spans="1:9" x14ac:dyDescent="0.2">
      <c r="A50" s="2">
        <v>43756</v>
      </c>
      <c r="B50" s="1" t="s">
        <v>68</v>
      </c>
      <c r="C50" s="11">
        <v>25</v>
      </c>
      <c r="D50" s="11"/>
      <c r="E50" s="12">
        <v>60</v>
      </c>
      <c r="F50" s="3">
        <f>0.1228-0.1146</f>
        <v>8.2000000000000128E-3</v>
      </c>
      <c r="G50" s="11">
        <v>0.01</v>
      </c>
      <c r="H50" s="11">
        <v>5.0000000000000001E-4</v>
      </c>
      <c r="I50" s="11">
        <v>0.01</v>
      </c>
    </row>
    <row r="51" spans="1:9" x14ac:dyDescent="0.2">
      <c r="A51" s="2">
        <v>43756</v>
      </c>
      <c r="B51" s="1" t="s">
        <v>69</v>
      </c>
      <c r="C51" s="11"/>
      <c r="D51" s="11"/>
      <c r="E51" s="13"/>
      <c r="F51" s="3">
        <f>0.1243-0.1148</f>
        <v>9.4999999999999946E-3</v>
      </c>
      <c r="G51" s="11"/>
      <c r="H51" s="11"/>
      <c r="I51" s="11"/>
    </row>
    <row r="52" spans="1:9" x14ac:dyDescent="0.2">
      <c r="A52" s="2">
        <v>43756</v>
      </c>
      <c r="B52" s="1" t="s">
        <v>70</v>
      </c>
      <c r="C52" s="11">
        <v>26</v>
      </c>
      <c r="D52" s="11"/>
      <c r="E52" s="12">
        <v>61</v>
      </c>
      <c r="F52" s="3">
        <f>0.1233-0.1144</f>
        <v>8.9000000000000051E-3</v>
      </c>
      <c r="G52" s="11">
        <v>0.01</v>
      </c>
      <c r="H52" s="11">
        <v>5.0000000000000001E-4</v>
      </c>
      <c r="I52" s="11">
        <v>0.01</v>
      </c>
    </row>
    <row r="53" spans="1:9" x14ac:dyDescent="0.2">
      <c r="A53" s="2">
        <v>43756</v>
      </c>
      <c r="B53" s="1" t="s">
        <v>71</v>
      </c>
      <c r="C53" s="11"/>
      <c r="D53" s="11"/>
      <c r="E53" s="13"/>
      <c r="F53" s="3">
        <f>0.126-0.1151</f>
        <v>1.0900000000000007E-2</v>
      </c>
      <c r="G53" s="11"/>
      <c r="H53" s="11"/>
      <c r="I53" s="11"/>
    </row>
    <row r="54" spans="1:9" x14ac:dyDescent="0.2">
      <c r="A54" s="2">
        <v>43766</v>
      </c>
      <c r="B54" s="1" t="s">
        <v>72</v>
      </c>
      <c r="C54" s="11">
        <v>27</v>
      </c>
      <c r="D54" s="11"/>
      <c r="E54" s="12">
        <v>62</v>
      </c>
      <c r="F54" s="3">
        <f>0.1181-0.1142</f>
        <v>3.9000000000000007E-3</v>
      </c>
      <c r="G54" s="11">
        <v>0.01</v>
      </c>
      <c r="H54" s="11">
        <v>5.0000000000000001E-4</v>
      </c>
      <c r="I54" s="11">
        <v>0.01</v>
      </c>
    </row>
    <row r="55" spans="1:9" x14ac:dyDescent="0.2">
      <c r="A55" s="2">
        <v>43766</v>
      </c>
      <c r="B55" s="1" t="s">
        <v>73</v>
      </c>
      <c r="C55" s="11"/>
      <c r="D55" s="11"/>
      <c r="E55" s="13"/>
      <c r="F55" s="3">
        <f>0.1201-0.1156</f>
        <v>4.500000000000004E-3</v>
      </c>
      <c r="G55" s="11"/>
      <c r="H55" s="11"/>
      <c r="I55" s="11"/>
    </row>
    <row r="56" spans="1:9" x14ac:dyDescent="0.2">
      <c r="A56" s="2">
        <v>43766</v>
      </c>
      <c r="B56" s="1" t="s">
        <v>74</v>
      </c>
      <c r="C56" s="11">
        <v>28</v>
      </c>
      <c r="D56" s="11"/>
      <c r="E56" s="12">
        <v>63</v>
      </c>
      <c r="F56" s="3">
        <f>0.1253-0.1142</f>
        <v>1.1099999999999999E-2</v>
      </c>
      <c r="G56" s="11">
        <v>0.01</v>
      </c>
      <c r="H56" s="11">
        <v>5.0000000000000001E-4</v>
      </c>
      <c r="I56" s="11">
        <v>0.01</v>
      </c>
    </row>
    <row r="57" spans="1:9" x14ac:dyDescent="0.2">
      <c r="A57" s="2">
        <v>43766</v>
      </c>
      <c r="B57" s="1" t="s">
        <v>75</v>
      </c>
      <c r="C57" s="11"/>
      <c r="D57" s="11"/>
      <c r="E57" s="13"/>
      <c r="F57" s="3">
        <f>0.1252-0.1144</f>
        <v>1.0800000000000004E-2</v>
      </c>
      <c r="G57" s="11"/>
      <c r="H57" s="11"/>
      <c r="I57" s="11"/>
    </row>
    <row r="58" spans="1:9" x14ac:dyDescent="0.2">
      <c r="A58" s="1"/>
      <c r="B58" s="11" t="s">
        <v>76</v>
      </c>
      <c r="C58" s="11">
        <v>29</v>
      </c>
      <c r="D58" s="11"/>
      <c r="E58" s="12">
        <v>64</v>
      </c>
      <c r="F58" s="11">
        <v>1.2999999999999999E-2</v>
      </c>
      <c r="G58" s="11">
        <v>0.01</v>
      </c>
      <c r="H58" s="11">
        <v>5.0000000000000001E-4</v>
      </c>
      <c r="I58" s="11">
        <v>0.01</v>
      </c>
    </row>
    <row r="59" spans="1:9" x14ac:dyDescent="0.2">
      <c r="A59" s="1"/>
      <c r="B59" s="11"/>
      <c r="C59" s="11"/>
      <c r="D59" s="11"/>
      <c r="E59" s="13"/>
      <c r="F59" s="11"/>
      <c r="G59" s="11"/>
      <c r="H59" s="11"/>
      <c r="I59" s="11"/>
    </row>
    <row r="60" spans="1:9" x14ac:dyDescent="0.2">
      <c r="A60" s="1"/>
      <c r="B60" s="11" t="s">
        <v>77</v>
      </c>
      <c r="C60" s="11">
        <v>30</v>
      </c>
      <c r="D60" s="11"/>
      <c r="E60" s="12">
        <v>65</v>
      </c>
      <c r="F60" s="11">
        <v>0</v>
      </c>
      <c r="G60" s="11">
        <v>0.01</v>
      </c>
      <c r="H60" s="11">
        <v>5.0000000000000001E-4</v>
      </c>
      <c r="I60" s="11">
        <v>0.01</v>
      </c>
    </row>
    <row r="61" spans="1:9" x14ac:dyDescent="0.2">
      <c r="A61" s="1"/>
      <c r="B61" s="11"/>
      <c r="C61" s="11"/>
      <c r="D61" s="11"/>
      <c r="E61" s="13"/>
      <c r="F61" s="11"/>
      <c r="G61" s="11"/>
      <c r="H61" s="11"/>
      <c r="I61" s="11"/>
    </row>
  </sheetData>
  <mergeCells count="184">
    <mergeCell ref="C2:C3"/>
    <mergeCell ref="D2:D3"/>
    <mergeCell ref="G2:G3"/>
    <mergeCell ref="H2:H3"/>
    <mergeCell ref="I2:I3"/>
    <mergeCell ref="C4:C5"/>
    <mergeCell ref="D4:D5"/>
    <mergeCell ref="G4:G5"/>
    <mergeCell ref="H4:H5"/>
    <mergeCell ref="I4:I5"/>
    <mergeCell ref="E2:E3"/>
    <mergeCell ref="E4:E5"/>
    <mergeCell ref="C6:C7"/>
    <mergeCell ref="D6:D7"/>
    <mergeCell ref="G6:G7"/>
    <mergeCell ref="H6:H7"/>
    <mergeCell ref="I6:I7"/>
    <mergeCell ref="C8:C9"/>
    <mergeCell ref="D8:D9"/>
    <mergeCell ref="G8:G9"/>
    <mergeCell ref="H8:H9"/>
    <mergeCell ref="I8:I9"/>
    <mergeCell ref="E8:E9"/>
    <mergeCell ref="E6:E7"/>
    <mergeCell ref="C10:C11"/>
    <mergeCell ref="D10:D11"/>
    <mergeCell ref="G10:G11"/>
    <mergeCell ref="H10:H11"/>
    <mergeCell ref="I10:I11"/>
    <mergeCell ref="C12:C13"/>
    <mergeCell ref="D12:D13"/>
    <mergeCell ref="G12:G13"/>
    <mergeCell ref="H12:H13"/>
    <mergeCell ref="I12:I13"/>
    <mergeCell ref="E12:E13"/>
    <mergeCell ref="E10:E11"/>
    <mergeCell ref="C14:C15"/>
    <mergeCell ref="D14:D15"/>
    <mergeCell ref="G14:G15"/>
    <mergeCell ref="H14:H15"/>
    <mergeCell ref="I14:I15"/>
    <mergeCell ref="C16:C17"/>
    <mergeCell ref="D16:D17"/>
    <mergeCell ref="G16:G17"/>
    <mergeCell ref="H16:H17"/>
    <mergeCell ref="I16:I17"/>
    <mergeCell ref="E16:E17"/>
    <mergeCell ref="E14:E15"/>
    <mergeCell ref="C18:C19"/>
    <mergeCell ref="D18:D19"/>
    <mergeCell ref="G18:G19"/>
    <mergeCell ref="H18:H19"/>
    <mergeCell ref="I18:I19"/>
    <mergeCell ref="C20:C21"/>
    <mergeCell ref="D20:D21"/>
    <mergeCell ref="G20:G21"/>
    <mergeCell ref="H20:H21"/>
    <mergeCell ref="I20:I21"/>
    <mergeCell ref="E20:E21"/>
    <mergeCell ref="E18:E19"/>
    <mergeCell ref="C22:C23"/>
    <mergeCell ref="D22:D23"/>
    <mergeCell ref="G22:G23"/>
    <mergeCell ref="H22:H23"/>
    <mergeCell ref="I22:I23"/>
    <mergeCell ref="C24:C25"/>
    <mergeCell ref="D24:D25"/>
    <mergeCell ref="G24:G25"/>
    <mergeCell ref="H24:H25"/>
    <mergeCell ref="I24:I25"/>
    <mergeCell ref="E24:E25"/>
    <mergeCell ref="E22:E23"/>
    <mergeCell ref="C26:C27"/>
    <mergeCell ref="D26:D27"/>
    <mergeCell ref="G26:G27"/>
    <mergeCell ref="H26:H27"/>
    <mergeCell ref="I26:I27"/>
    <mergeCell ref="C28:C29"/>
    <mergeCell ref="D28:D29"/>
    <mergeCell ref="G28:G29"/>
    <mergeCell ref="H28:H29"/>
    <mergeCell ref="I28:I29"/>
    <mergeCell ref="E26:E27"/>
    <mergeCell ref="E28:E29"/>
    <mergeCell ref="C30:C31"/>
    <mergeCell ref="D30:D31"/>
    <mergeCell ref="G30:G31"/>
    <mergeCell ref="H30:H31"/>
    <mergeCell ref="I30:I31"/>
    <mergeCell ref="C32:C33"/>
    <mergeCell ref="D32:D33"/>
    <mergeCell ref="G32:G33"/>
    <mergeCell ref="H32:H33"/>
    <mergeCell ref="I32:I33"/>
    <mergeCell ref="E32:E33"/>
    <mergeCell ref="E30:E31"/>
    <mergeCell ref="C34:C35"/>
    <mergeCell ref="D34:D35"/>
    <mergeCell ref="G34:G35"/>
    <mergeCell ref="H34:H35"/>
    <mergeCell ref="I34:I35"/>
    <mergeCell ref="C36:C37"/>
    <mergeCell ref="D36:D37"/>
    <mergeCell ref="G36:G37"/>
    <mergeCell ref="H36:H37"/>
    <mergeCell ref="I36:I37"/>
    <mergeCell ref="E36:E37"/>
    <mergeCell ref="E34:E35"/>
    <mergeCell ref="C38:C39"/>
    <mergeCell ref="D38:D39"/>
    <mergeCell ref="G38:G39"/>
    <mergeCell ref="H38:H39"/>
    <mergeCell ref="I38:I39"/>
    <mergeCell ref="C40:C41"/>
    <mergeCell ref="D40:D41"/>
    <mergeCell ref="G40:G41"/>
    <mergeCell ref="H40:H41"/>
    <mergeCell ref="I40:I41"/>
    <mergeCell ref="E40:E41"/>
    <mergeCell ref="E38:E39"/>
    <mergeCell ref="C42:C43"/>
    <mergeCell ref="D42:D43"/>
    <mergeCell ref="G42:G43"/>
    <mergeCell ref="H42:H43"/>
    <mergeCell ref="I42:I43"/>
    <mergeCell ref="C44:C45"/>
    <mergeCell ref="D44:D45"/>
    <mergeCell ref="G44:G45"/>
    <mergeCell ref="H44:H45"/>
    <mergeCell ref="I44:I45"/>
    <mergeCell ref="E44:E45"/>
    <mergeCell ref="E42:E43"/>
    <mergeCell ref="C46:C47"/>
    <mergeCell ref="D46:D47"/>
    <mergeCell ref="G46:G47"/>
    <mergeCell ref="H46:H47"/>
    <mergeCell ref="I46:I47"/>
    <mergeCell ref="C48:C49"/>
    <mergeCell ref="D48:D49"/>
    <mergeCell ref="G48:G49"/>
    <mergeCell ref="H48:H49"/>
    <mergeCell ref="I48:I49"/>
    <mergeCell ref="E48:E49"/>
    <mergeCell ref="E46:E47"/>
    <mergeCell ref="I54:I55"/>
    <mergeCell ref="C56:C57"/>
    <mergeCell ref="D56:D57"/>
    <mergeCell ref="G56:G57"/>
    <mergeCell ref="H56:H57"/>
    <mergeCell ref="I56:I57"/>
    <mergeCell ref="C50:C51"/>
    <mergeCell ref="D50:D51"/>
    <mergeCell ref="G50:G51"/>
    <mergeCell ref="H50:H51"/>
    <mergeCell ref="I50:I51"/>
    <mergeCell ref="C52:C53"/>
    <mergeCell ref="D52:D53"/>
    <mergeCell ref="G52:G53"/>
    <mergeCell ref="H52:H53"/>
    <mergeCell ref="I52:I53"/>
    <mergeCell ref="C54:C55"/>
    <mergeCell ref="D54:D55"/>
    <mergeCell ref="G54:G55"/>
    <mergeCell ref="H54:H55"/>
    <mergeCell ref="E56:E57"/>
    <mergeCell ref="E54:E55"/>
    <mergeCell ref="E52:E53"/>
    <mergeCell ref="E50:E51"/>
    <mergeCell ref="I58:I59"/>
    <mergeCell ref="B60:B61"/>
    <mergeCell ref="C60:C61"/>
    <mergeCell ref="D60:D61"/>
    <mergeCell ref="F60:F61"/>
    <mergeCell ref="G60:G61"/>
    <mergeCell ref="H60:H61"/>
    <mergeCell ref="I60:I61"/>
    <mergeCell ref="B58:B59"/>
    <mergeCell ref="C58:C59"/>
    <mergeCell ref="D58:D59"/>
    <mergeCell ref="F58:F59"/>
    <mergeCell ref="G58:G59"/>
    <mergeCell ref="H58:H59"/>
    <mergeCell ref="E60:E61"/>
    <mergeCell ref="E58:E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Cecelia</dc:creator>
  <cp:lastModifiedBy>Wood, Cecelia</cp:lastModifiedBy>
  <cp:lastPrinted>2022-05-09T13:05:29Z</cp:lastPrinted>
  <dcterms:created xsi:type="dcterms:W3CDTF">2022-05-09T11:48:46Z</dcterms:created>
  <dcterms:modified xsi:type="dcterms:W3CDTF">2023-06-15T16:04:30Z</dcterms:modified>
</cp:coreProperties>
</file>