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woel\Dropbox\Thesis\Data\analytical chemistry\chla_extraction\chla calculations\"/>
    </mc:Choice>
  </mc:AlternateContent>
  <xr:revisionPtr revIDLastSave="0" documentId="13_ncr:1_{08A48999-4D0B-4716-AC55-A263EEEE2E9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alculations" sheetId="2" r:id="rId1"/>
    <sheet name="MDL calc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5" i="6" l="1"/>
  <c r="AF12" i="6"/>
  <c r="AF13" i="6"/>
  <c r="AF17" i="6" s="1"/>
  <c r="AG11" i="2"/>
  <c r="AF16" i="6" l="1"/>
  <c r="AF14" i="6"/>
  <c r="AJ18" i="2" l="1"/>
  <c r="AJ19" i="2"/>
  <c r="AG18" i="2"/>
  <c r="AH18" i="2"/>
  <c r="AG19" i="2"/>
  <c r="AH19" i="2"/>
  <c r="AC18" i="2"/>
  <c r="AD18" i="2"/>
  <c r="AE18" i="2"/>
  <c r="AC19" i="2"/>
  <c r="AD19" i="2"/>
  <c r="AE19" i="2"/>
  <c r="AA18" i="2"/>
  <c r="AA19" i="2"/>
  <c r="Z18" i="2"/>
  <c r="Z19" i="2"/>
  <c r="Y18" i="2"/>
  <c r="Y19" i="2"/>
  <c r="Y11" i="2" l="1"/>
  <c r="AH9" i="2" l="1"/>
  <c r="AH8" i="2"/>
  <c r="AD9" i="2" l="1"/>
  <c r="AD8" i="2"/>
  <c r="AA8" i="2" l="1"/>
  <c r="AQ4" i="2"/>
  <c r="AP4" i="2"/>
  <c r="AO4" i="2"/>
  <c r="AQ9" i="2"/>
  <c r="AP9" i="2"/>
  <c r="AO9" i="2"/>
  <c r="AQ8" i="2"/>
  <c r="AP8" i="2"/>
  <c r="AO8" i="2"/>
  <c r="AO12" i="2"/>
  <c r="AP12" i="2"/>
  <c r="AQ12" i="2"/>
  <c r="AO13" i="2"/>
  <c r="AP13" i="2"/>
  <c r="AQ13" i="2"/>
  <c r="AO14" i="2"/>
  <c r="AP14" i="2"/>
  <c r="AQ14" i="2"/>
  <c r="AO15" i="2"/>
  <c r="AP15" i="2"/>
  <c r="AQ15" i="2"/>
  <c r="AO16" i="2"/>
  <c r="AP16" i="2"/>
  <c r="AQ16" i="2"/>
  <c r="AO17" i="2"/>
  <c r="AP17" i="2"/>
  <c r="AQ17" i="2"/>
  <c r="AO30" i="2"/>
  <c r="AP30" i="2"/>
  <c r="AQ30" i="2"/>
  <c r="AO31" i="2"/>
  <c r="AP31" i="2"/>
  <c r="AQ31" i="2"/>
  <c r="AQ11" i="2"/>
  <c r="AP11" i="2"/>
  <c r="AO11" i="2"/>
  <c r="Z12" i="2"/>
  <c r="Z13" i="2"/>
  <c r="Z14" i="2"/>
  <c r="Z15" i="2"/>
  <c r="Z16" i="2"/>
  <c r="Z17" i="2"/>
  <c r="Z30" i="2"/>
  <c r="Z31" i="2"/>
  <c r="Z11" i="2"/>
  <c r="Z4" i="2"/>
  <c r="Y12" i="2"/>
  <c r="Y13" i="2"/>
  <c r="Y14" i="2"/>
  <c r="Y15" i="2"/>
  <c r="Y16" i="2"/>
  <c r="Y17" i="2"/>
  <c r="Y30" i="2"/>
  <c r="Y31" i="2"/>
  <c r="Y4" i="2"/>
  <c r="Z6" i="2" l="1"/>
  <c r="Y6" i="2"/>
  <c r="AH14" i="2"/>
  <c r="AG8" i="2"/>
  <c r="AH13" i="2"/>
  <c r="AH11" i="2"/>
  <c r="AH12" i="2"/>
  <c r="AH31" i="2"/>
  <c r="AH17" i="2"/>
  <c r="AH4" i="2"/>
  <c r="AD4" i="2"/>
  <c r="AH30" i="2"/>
  <c r="AH16" i="2"/>
  <c r="AH15" i="2"/>
  <c r="AT8" i="2"/>
  <c r="AW8" i="2" s="1"/>
  <c r="BA8" i="2"/>
  <c r="BA9" i="2"/>
  <c r="BA11" i="2"/>
  <c r="AE14" i="2" l="1"/>
  <c r="AD6" i="2"/>
  <c r="AE4" i="2"/>
  <c r="AE11" i="2"/>
  <c r="AE15" i="2"/>
  <c r="AE16" i="2"/>
  <c r="AE8" i="2"/>
  <c r="AE30" i="2"/>
  <c r="AE9" i="2"/>
  <c r="AE17" i="2"/>
  <c r="AE31" i="2"/>
  <c r="AE12" i="2"/>
  <c r="AE13" i="2"/>
  <c r="AU11" i="2"/>
  <c r="AY11" i="2" s="1"/>
  <c r="AJ11" i="2"/>
  <c r="AA9" i="2"/>
  <c r="AS11" i="2"/>
  <c r="AX11" i="2" s="1"/>
  <c r="AT11" i="2"/>
  <c r="AW11" i="2" s="1"/>
  <c r="AJ8" i="2"/>
  <c r="AS8" i="2"/>
  <c r="AX8" i="2" s="1"/>
  <c r="AS9" i="2"/>
  <c r="AX9" i="2" s="1"/>
  <c r="AU9" i="2"/>
  <c r="AY9" i="2" s="1"/>
  <c r="AJ9" i="2"/>
  <c r="AU8" i="2"/>
  <c r="AY8" i="2" s="1"/>
  <c r="AT9" i="2"/>
  <c r="AW9" i="2" s="1"/>
  <c r="AA11" i="2"/>
  <c r="AD57" i="6"/>
  <c r="AC58" i="6"/>
  <c r="AD17" i="2" l="1"/>
  <c r="AD12" i="2"/>
  <c r="AD16" i="2"/>
  <c r="AD14" i="2"/>
  <c r="AE6" i="2"/>
  <c r="AD15" i="2"/>
  <c r="AD31" i="2"/>
  <c r="AD11" i="2"/>
  <c r="AD30" i="2"/>
  <c r="AD13" i="2"/>
  <c r="AG9" i="2"/>
  <c r="AC9" i="2"/>
  <c r="AD55" i="6"/>
  <c r="AD58" i="6"/>
  <c r="AD56" i="6"/>
  <c r="AC56" i="6"/>
  <c r="AC55" i="6"/>
  <c r="AC57" i="6"/>
  <c r="AA4" i="2" l="1"/>
  <c r="BA4" i="2"/>
  <c r="BA12" i="2"/>
  <c r="BA13" i="2"/>
  <c r="BA14" i="2"/>
  <c r="AJ15" i="2"/>
  <c r="BA15" i="2"/>
  <c r="BA16" i="2"/>
  <c r="BA17" i="2"/>
  <c r="BA30" i="2"/>
  <c r="BA31" i="2"/>
  <c r="AG4" i="2" l="1"/>
  <c r="AC4" i="2"/>
  <c r="AJ17" i="2"/>
  <c r="AA15" i="2"/>
  <c r="AJ31" i="2"/>
  <c r="AJ30" i="2"/>
  <c r="AA31" i="2"/>
  <c r="AJ14" i="2"/>
  <c r="AA17" i="2"/>
  <c r="AA14" i="2"/>
  <c r="AA30" i="2"/>
  <c r="AJ12" i="2"/>
  <c r="AA12" i="2"/>
  <c r="AJ4" i="2"/>
  <c r="AA16" i="2"/>
  <c r="AJ16" i="2"/>
  <c r="AA13" i="2"/>
  <c r="AJ13" i="2"/>
  <c r="AG30" i="2" l="1"/>
  <c r="AG31" i="2"/>
  <c r="AA6" i="2"/>
  <c r="AC6" i="2"/>
  <c r="AG12" i="2"/>
  <c r="AG14" i="2"/>
  <c r="AG13" i="2"/>
  <c r="AG16" i="2"/>
  <c r="AG15" i="2"/>
  <c r="AG17" i="2"/>
  <c r="AS12" i="2"/>
  <c r="AX12" i="2" s="1"/>
  <c r="AU30" i="2"/>
  <c r="AY30" i="2" s="1"/>
  <c r="AT30" i="2"/>
  <c r="AW30" i="2" s="1"/>
  <c r="AS4" i="2"/>
  <c r="AX4" i="2" s="1"/>
  <c r="AS31" i="2"/>
  <c r="AX31" i="2" s="1"/>
  <c r="AT12" i="2"/>
  <c r="AW12" i="2" s="1"/>
  <c r="AS17" i="2"/>
  <c r="AX17" i="2" s="1"/>
  <c r="AS15" i="2"/>
  <c r="AX15" i="2" s="1"/>
  <c r="AU17" i="2"/>
  <c r="AY17" i="2" s="1"/>
  <c r="AU16" i="2"/>
  <c r="AY16" i="2" s="1"/>
  <c r="AT31" i="2"/>
  <c r="AW31" i="2" s="1"/>
  <c r="AS13" i="2"/>
  <c r="AX13" i="2" s="1"/>
  <c r="AT15" i="2"/>
  <c r="AW15" i="2" s="1"/>
  <c r="AS14" i="2"/>
  <c r="AX14" i="2" s="1"/>
  <c r="AT16" i="2"/>
  <c r="AW16" i="2" s="1"/>
  <c r="AU31" i="2"/>
  <c r="AY31" i="2" s="1"/>
  <c r="AU15" i="2"/>
  <c r="AY15" i="2" s="1"/>
  <c r="AT14" i="2"/>
  <c r="AW14" i="2" s="1"/>
  <c r="AS30" i="2"/>
  <c r="AX30" i="2" s="1"/>
  <c r="AS16" i="2"/>
  <c r="AX16" i="2" s="1"/>
  <c r="AU13" i="2"/>
  <c r="AY13" i="2" s="1"/>
  <c r="AU12" i="2"/>
  <c r="AY12" i="2" s="1"/>
  <c r="AT4" i="2"/>
  <c r="AW4" i="2" s="1"/>
  <c r="AU4" i="2"/>
  <c r="AY4" i="2" s="1"/>
  <c r="AT17" i="2"/>
  <c r="AW17" i="2" s="1"/>
  <c r="AU14" i="2"/>
  <c r="AY14" i="2" s="1"/>
  <c r="AT13" i="2"/>
  <c r="AW13" i="2" s="1"/>
  <c r="AC14" i="2" l="1"/>
  <c r="AC17" i="2"/>
  <c r="AC30" i="2"/>
  <c r="AC31" i="2"/>
  <c r="AC12" i="2"/>
  <c r="AC8" i="2"/>
  <c r="AC15" i="2"/>
  <c r="AC16" i="2"/>
  <c r="AC11" i="2"/>
  <c r="AC13" i="2"/>
</calcChain>
</file>

<file path=xl/sharedStrings.xml><?xml version="1.0" encoding="utf-8"?>
<sst xmlns="http://schemas.openxmlformats.org/spreadsheetml/2006/main" count="105" uniqueCount="77">
  <si>
    <t>Sample ID</t>
  </si>
  <si>
    <t>WL750.0</t>
  </si>
  <si>
    <t>WL665.0</t>
  </si>
  <si>
    <t>WL664.0</t>
  </si>
  <si>
    <t>WL663.0</t>
  </si>
  <si>
    <t>WL647.0</t>
  </si>
  <si>
    <t>WL630.0</t>
  </si>
  <si>
    <t>WL490.0</t>
  </si>
  <si>
    <t>WL384.0</t>
  </si>
  <si>
    <t>Comments</t>
  </si>
  <si>
    <t>ethanol_blank_acidified</t>
  </si>
  <si>
    <t>Date run</t>
  </si>
  <si>
    <t>Volume filtered (ml)</t>
  </si>
  <si>
    <t>Final volume of extract (ml)</t>
  </si>
  <si>
    <t>absorbance before acidification</t>
  </si>
  <si>
    <t>absorbance after acidification</t>
  </si>
  <si>
    <t>difference before and after</t>
  </si>
  <si>
    <t>Chlorophyll a in extract (ug/L from Arar)</t>
  </si>
  <si>
    <t>Pheopigment in extract (ug/L from Arar)</t>
  </si>
  <si>
    <t>Chlorophyll a Conc of original water sample in ug/L (or mg/m3-same thing- APHA)</t>
  </si>
  <si>
    <t>Pheopigment Conc of original water sample in ug/L (or mg/m3-same thing- APHA)</t>
  </si>
  <si>
    <t>Ratio before and after (1 = all pheo, 1.72 = all chla)</t>
  </si>
  <si>
    <t>Known chla in extract ug/L</t>
  </si>
  <si>
    <t>Known Pheopigment in extract ug/L</t>
  </si>
  <si>
    <t>ABS at 383 from Scytonemin</t>
  </si>
  <si>
    <t>ABS at 663 from Chl a</t>
  </si>
  <si>
    <t>ABS at 490 from Carotenoids</t>
  </si>
  <si>
    <t>Beers law calc of Chl a conc using α of 89.71</t>
  </si>
  <si>
    <t>Beers law calc of Scytonemin conc using α of 112.61</t>
  </si>
  <si>
    <t>use the value for beta carotene for carotenoids 262.0</t>
  </si>
  <si>
    <t>Calculate according to Jeffery and Humphrey trichromatic method as reported by Arar EPA 446</t>
  </si>
  <si>
    <t>Artificially set to 500 as per a typical sample</t>
  </si>
  <si>
    <t>problems if not 0.000 +- 0.005</t>
  </si>
  <si>
    <t>problems if negative</t>
  </si>
  <si>
    <t>BD if &lt;34</t>
  </si>
  <si>
    <t>problems if not between 1 and 1.72</t>
  </si>
  <si>
    <t>ethanol_blank</t>
  </si>
  <si>
    <t>Mean</t>
  </si>
  <si>
    <t>Control Limit</t>
  </si>
  <si>
    <t>Xbar - 3SD</t>
  </si>
  <si>
    <t>Xbar + 3SD</t>
  </si>
  <si>
    <t>MDL</t>
  </si>
  <si>
    <t>STD x 3.14</t>
  </si>
  <si>
    <t>LOQ</t>
  </si>
  <si>
    <t>STD x 10</t>
  </si>
  <si>
    <t>theoretical min signal chla</t>
  </si>
  <si>
    <t>theoretical min signal pheo</t>
  </si>
  <si>
    <t>problems if &lt;0.030  better if &gt;0.1</t>
  </si>
  <si>
    <t>MEAN FOR ETHANOL BLANKS</t>
  </si>
  <si>
    <t>Turbidity Corrected ABS 384</t>
  </si>
  <si>
    <t>Turbidity Corrected ABS 490</t>
  </si>
  <si>
    <t>Turbidity Corrected ABS 663</t>
  </si>
  <si>
    <t>before acidification (turbidity corrected)</t>
  </si>
  <si>
    <t>after acidification (turbidity corrected)</t>
  </si>
  <si>
    <t>Pheopigment in extract (ug/L) with ethanol blank correction</t>
  </si>
  <si>
    <t>before_2</t>
  </si>
  <si>
    <t>before_4</t>
  </si>
  <si>
    <t>before_5</t>
  </si>
  <si>
    <t>before_7</t>
  </si>
  <si>
    <t>before_8</t>
  </si>
  <si>
    <t>before_9</t>
  </si>
  <si>
    <t>acid_2</t>
  </si>
  <si>
    <t>acid_4</t>
  </si>
  <si>
    <t>acid_5</t>
  </si>
  <si>
    <t>acid_7</t>
  </si>
  <si>
    <t>acid_8</t>
  </si>
  <si>
    <t>acid_9</t>
  </si>
  <si>
    <t>before_1</t>
  </si>
  <si>
    <t>acid_1</t>
  </si>
  <si>
    <t>before_3</t>
  </si>
  <si>
    <t>before_6</t>
  </si>
  <si>
    <t>acid_3</t>
  </si>
  <si>
    <t>acid_6</t>
  </si>
  <si>
    <t>Chla Concentration</t>
  </si>
  <si>
    <t>Std Dev</t>
  </si>
  <si>
    <t>CV or %RSD</t>
  </si>
  <si>
    <t>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</si>
</sst>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000"/>
    <numFmt numFmtId="166" formatCode="0.000"/>
    <numFmt numFmtId="167" formatCode="#,##0.000"/>
    <numFmt numFmtId="168" formatCode="0.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sz val="8"/>
      <name val="MS Sans Serif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164" fontId="1" fillId="0" borderId="0" xfId="1" applyNumberFormat="1" applyAlignment="1">
      <alignment wrapText="1"/>
    </xf>
    <xf numFmtId="0" fontId="1" fillId="0" borderId="0" xfId="1"/>
    <xf numFmtId="164" fontId="1" fillId="0" borderId="0" xfId="1" applyNumberFormat="1"/>
    <xf numFmtId="165" fontId="1" fillId="0" borderId="0" xfId="1" applyNumberFormat="1" applyAlignment="1">
      <alignment wrapText="1"/>
    </xf>
    <xf numFmtId="0" fontId="0" fillId="0" borderId="0" xfId="0" applyFont="1"/>
    <xf numFmtId="15" fontId="0" fillId="0" borderId="0" xfId="0" applyNumberFormat="1" applyFont="1"/>
    <xf numFmtId="0" fontId="0" fillId="0" borderId="0" xfId="0" applyFont="1" applyFill="1"/>
    <xf numFmtId="166" fontId="0" fillId="0" borderId="0" xfId="0" applyNumberFormat="1" applyFont="1"/>
    <xf numFmtId="166" fontId="1" fillId="0" borderId="0" xfId="1" applyNumberFormat="1"/>
    <xf numFmtId="1" fontId="1" fillId="0" borderId="0" xfId="1" applyNumberFormat="1"/>
    <xf numFmtId="2" fontId="1" fillId="0" borderId="0" xfId="1" applyNumberFormat="1"/>
    <xf numFmtId="166" fontId="1" fillId="0" borderId="0" xfId="1" applyNumberFormat="1" applyFill="1"/>
    <xf numFmtId="166" fontId="0" fillId="0" borderId="0" xfId="0" applyNumberFormat="1" applyFont="1" applyFill="1"/>
    <xf numFmtId="0" fontId="0" fillId="2" borderId="0" xfId="0" applyFill="1"/>
    <xf numFmtId="0" fontId="1" fillId="2" borderId="0" xfId="1" applyFill="1"/>
    <xf numFmtId="166" fontId="1" fillId="2" borderId="0" xfId="1" applyNumberFormat="1" applyFill="1"/>
    <xf numFmtId="1" fontId="1" fillId="2" borderId="0" xfId="1" applyNumberFormat="1" applyFill="1"/>
    <xf numFmtId="164" fontId="1" fillId="2" borderId="0" xfId="1" applyNumberFormat="1" applyFill="1"/>
    <xf numFmtId="2" fontId="1" fillId="2" borderId="0" xfId="1" applyNumberFormat="1" applyFill="1"/>
    <xf numFmtId="15" fontId="0" fillId="2" borderId="0" xfId="0" applyNumberFormat="1" applyFont="1" applyFill="1"/>
    <xf numFmtId="0" fontId="0" fillId="2" borderId="0" xfId="0" applyFont="1" applyFill="1"/>
    <xf numFmtId="166" fontId="0" fillId="2" borderId="0" xfId="0" applyNumberFormat="1" applyFont="1" applyFill="1"/>
    <xf numFmtId="15" fontId="1" fillId="0" borderId="0" xfId="1" applyNumberFormat="1"/>
    <xf numFmtId="167" fontId="1" fillId="0" borderId="0" xfId="1" applyNumberFormat="1"/>
    <xf numFmtId="166" fontId="3" fillId="0" borderId="0" xfId="2" applyNumberFormat="1" applyFont="1" applyFill="1" applyAlignment="1" applyProtection="1">
      <alignment vertical="top"/>
    </xf>
    <xf numFmtId="0" fontId="4" fillId="0" borderId="0" xfId="0" applyFont="1" applyFill="1"/>
    <xf numFmtId="0" fontId="1" fillId="0" borderId="0" xfId="3" applyFont="1"/>
    <xf numFmtId="0" fontId="0" fillId="0" borderId="0" xfId="0" applyFill="1"/>
    <xf numFmtId="0" fontId="1" fillId="0" borderId="0" xfId="1" applyFill="1"/>
    <xf numFmtId="1" fontId="1" fillId="0" borderId="0" xfId="1" applyNumberFormat="1" applyFill="1"/>
    <xf numFmtId="164" fontId="1" fillId="0" borderId="0" xfId="1" applyNumberFormat="1" applyFill="1"/>
    <xf numFmtId="2" fontId="1" fillId="0" borderId="0" xfId="1" applyNumberFormat="1" applyFill="1"/>
    <xf numFmtId="168" fontId="1" fillId="0" borderId="0" xfId="1" applyNumberFormat="1" applyFill="1"/>
    <xf numFmtId="166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6" xfId="2" xr:uid="{00000000-0005-0000-0000-000003000000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chla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'MDL calc'!$B$25:$B$40</c:f>
              <c:numCache>
                <c:formatCode>d\-mmm\-yy</c:formatCode>
                <c:ptCount val="16"/>
              </c:numCache>
            </c:numRef>
          </c:xVal>
          <c:yVal>
            <c:numRef>
              <c:f>'MDL calc'!$AC$25:$AC$40</c:f>
              <c:numCache>
                <c:formatCode>0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9F-4EB3-AB1B-0EAFAD1C43E1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calc'!$AC$54,'MDL calc'!$AC$54)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F-4EB3-AB1B-0EAFAD1C43E1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calc'!$AC$53,'MDL calc'!$AC$53)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9F-4EB3-AB1B-0EAFAD1C43E1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calc'!$AC$56,'MDL calc'!$AC$56)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9F-4EB3-AB1B-0EAFAD1C43E1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calc'!$AC$55,'MDL calc'!$AC$55)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9F-4EB3-AB1B-0EAFAD1C4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chlorella pheopigment</a:t>
            </a:r>
            <a:r>
              <a:rPr lang="en-US" baseline="0"/>
              <a:t> </a:t>
            </a:r>
            <a:r>
              <a:rPr lang="en-US"/>
              <a:t>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'MDL calc'!$B$25:$B$40</c:f>
              <c:numCache>
                <c:formatCode>d\-mmm\-yy</c:formatCode>
                <c:ptCount val="16"/>
              </c:numCache>
            </c:numRef>
          </c:xVal>
          <c:yVal>
            <c:numRef>
              <c:f>'MDL calc'!$AD$25:$AD$49</c:f>
              <c:numCache>
                <c:formatCode>0</c:formatCode>
                <c:ptCount val="2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1-4E28-84A0-3126CADCEC36}"/>
            </c:ext>
          </c:extLst>
        </c:ser>
        <c:ser>
          <c:idx val="1"/>
          <c:order val="1"/>
          <c:tx>
            <c:v>UWL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calc'!$AD$54,'MDL calc'!$AD$54)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1-4E28-84A0-3126CADCEC36}"/>
            </c:ext>
          </c:extLst>
        </c:ser>
        <c:ser>
          <c:idx val="2"/>
          <c:order val="2"/>
          <c:tx>
            <c:v>LWL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calc'!$AD$53,'MDL calc'!$AD$53)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C1-4E28-84A0-3126CADCEC36}"/>
            </c:ext>
          </c:extLst>
        </c:ser>
        <c:ser>
          <c:idx val="3"/>
          <c:order val="3"/>
          <c:tx>
            <c:v>UCL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calc'!$AD$56,'MDL calc'!$AD$56)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C1-4E28-84A0-3126CADCEC36}"/>
            </c:ext>
          </c:extLst>
        </c:ser>
        <c:ser>
          <c:idx val="4"/>
          <c:order val="4"/>
          <c:tx>
            <c:v>LCL</c:v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'MDL calc'!$B$50:$B$51</c:f>
              <c:numCache>
                <c:formatCode>d\-mmm\-yy</c:formatCode>
                <c:ptCount val="2"/>
              </c:numCache>
            </c:numRef>
          </c:xVal>
          <c:yVal>
            <c:numRef>
              <c:f>('MDL calc'!$AD$55,'MDL calc'!$AD$55)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C1-4E28-84A0-3126CADCE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33440"/>
        <c:axId val="404331360"/>
      </c:scatterChart>
      <c:valAx>
        <c:axId val="40433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of analysis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1360"/>
        <c:crosses val="autoZero"/>
        <c:crossBetween val="midCat"/>
      </c:valAx>
      <c:valAx>
        <c:axId val="4043313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Chla</a:t>
                </a:r>
                <a:r>
                  <a:rPr lang="en-US" baseline="0"/>
                  <a:t> in extract ug/L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33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82550</xdr:rowOff>
    </xdr:from>
    <xdr:to>
      <xdr:col>6</xdr:col>
      <xdr:colOff>298450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14</xdr:col>
      <xdr:colOff>495300</xdr:colOff>
      <xdr:row>21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8"/>
  <sheetViews>
    <sheetView topLeftCell="Y1" workbookViewId="0">
      <pane ySplit="1" topLeftCell="A9" activePane="bottomLeft" state="frozen"/>
      <selection pane="bottomLeft" activeCell="AG1" sqref="AG1"/>
    </sheetView>
  </sheetViews>
  <sheetFormatPr defaultRowHeight="12.5" x14ac:dyDescent="0.25"/>
  <cols>
    <col min="1" max="1" width="27" style="4" customWidth="1"/>
    <col min="2" max="2" width="12" style="4" customWidth="1"/>
    <col min="3" max="13" width="10.7265625" style="4" customWidth="1"/>
    <col min="14" max="14" width="22.453125" style="4" customWidth="1"/>
    <col min="15" max="15" width="23.6328125" style="4" customWidth="1"/>
    <col min="16" max="32" width="10.7265625" style="4" customWidth="1"/>
    <col min="33" max="33" width="14.1796875" style="5" customWidth="1"/>
    <col min="34" max="34" width="10.7265625" style="5" customWidth="1"/>
    <col min="35" max="36" width="10.7265625" style="4" customWidth="1"/>
    <col min="37" max="48" width="8.7265625" style="4"/>
    <col min="49" max="49" width="12.08984375" style="4" bestFit="1" customWidth="1"/>
    <col min="50" max="251" width="8.7265625" style="4"/>
    <col min="252" max="253" width="18.54296875" style="4" customWidth="1"/>
    <col min="254" max="269" width="8.7265625" style="4"/>
    <col min="270" max="270" width="13.81640625" style="4" customWidth="1"/>
    <col min="271" max="271" width="16.81640625" style="4" customWidth="1"/>
    <col min="272" max="507" width="8.7265625" style="4"/>
    <col min="508" max="509" width="18.54296875" style="4" customWidth="1"/>
    <col min="510" max="525" width="8.7265625" style="4"/>
    <col min="526" max="526" width="13.81640625" style="4" customWidth="1"/>
    <col min="527" max="527" width="16.81640625" style="4" customWidth="1"/>
    <col min="528" max="763" width="8.7265625" style="4"/>
    <col min="764" max="765" width="18.54296875" style="4" customWidth="1"/>
    <col min="766" max="781" width="8.7265625" style="4"/>
    <col min="782" max="782" width="13.81640625" style="4" customWidth="1"/>
    <col min="783" max="783" width="16.81640625" style="4" customWidth="1"/>
    <col min="784" max="1019" width="8.7265625" style="4"/>
    <col min="1020" max="1021" width="18.54296875" style="4" customWidth="1"/>
    <col min="1022" max="1037" width="8.7265625" style="4"/>
    <col min="1038" max="1038" width="13.81640625" style="4" customWidth="1"/>
    <col min="1039" max="1039" width="16.81640625" style="4" customWidth="1"/>
    <col min="1040" max="1275" width="8.7265625" style="4"/>
    <col min="1276" max="1277" width="18.54296875" style="4" customWidth="1"/>
    <col min="1278" max="1293" width="8.7265625" style="4"/>
    <col min="1294" max="1294" width="13.81640625" style="4" customWidth="1"/>
    <col min="1295" max="1295" width="16.81640625" style="4" customWidth="1"/>
    <col min="1296" max="1531" width="8.7265625" style="4"/>
    <col min="1532" max="1533" width="18.54296875" style="4" customWidth="1"/>
    <col min="1534" max="1549" width="8.7265625" style="4"/>
    <col min="1550" max="1550" width="13.81640625" style="4" customWidth="1"/>
    <col min="1551" max="1551" width="16.81640625" style="4" customWidth="1"/>
    <col min="1552" max="1787" width="8.7265625" style="4"/>
    <col min="1788" max="1789" width="18.54296875" style="4" customWidth="1"/>
    <col min="1790" max="1805" width="8.7265625" style="4"/>
    <col min="1806" max="1806" width="13.81640625" style="4" customWidth="1"/>
    <col min="1807" max="1807" width="16.81640625" style="4" customWidth="1"/>
    <col min="1808" max="2043" width="8.7265625" style="4"/>
    <col min="2044" max="2045" width="18.54296875" style="4" customWidth="1"/>
    <col min="2046" max="2061" width="8.7265625" style="4"/>
    <col min="2062" max="2062" width="13.81640625" style="4" customWidth="1"/>
    <col min="2063" max="2063" width="16.81640625" style="4" customWidth="1"/>
    <col min="2064" max="2299" width="8.7265625" style="4"/>
    <col min="2300" max="2301" width="18.54296875" style="4" customWidth="1"/>
    <col min="2302" max="2317" width="8.7265625" style="4"/>
    <col min="2318" max="2318" width="13.81640625" style="4" customWidth="1"/>
    <col min="2319" max="2319" width="16.81640625" style="4" customWidth="1"/>
    <col min="2320" max="2555" width="8.7265625" style="4"/>
    <col min="2556" max="2557" width="18.54296875" style="4" customWidth="1"/>
    <col min="2558" max="2573" width="8.7265625" style="4"/>
    <col min="2574" max="2574" width="13.81640625" style="4" customWidth="1"/>
    <col min="2575" max="2575" width="16.81640625" style="4" customWidth="1"/>
    <col min="2576" max="2811" width="8.7265625" style="4"/>
    <col min="2812" max="2813" width="18.54296875" style="4" customWidth="1"/>
    <col min="2814" max="2829" width="8.7265625" style="4"/>
    <col min="2830" max="2830" width="13.81640625" style="4" customWidth="1"/>
    <col min="2831" max="2831" width="16.81640625" style="4" customWidth="1"/>
    <col min="2832" max="3067" width="8.7265625" style="4"/>
    <col min="3068" max="3069" width="18.54296875" style="4" customWidth="1"/>
    <col min="3070" max="3085" width="8.7265625" style="4"/>
    <col min="3086" max="3086" width="13.81640625" style="4" customWidth="1"/>
    <col min="3087" max="3087" width="16.81640625" style="4" customWidth="1"/>
    <col min="3088" max="3323" width="8.7265625" style="4"/>
    <col min="3324" max="3325" width="18.54296875" style="4" customWidth="1"/>
    <col min="3326" max="3341" width="8.7265625" style="4"/>
    <col min="3342" max="3342" width="13.81640625" style="4" customWidth="1"/>
    <col min="3343" max="3343" width="16.81640625" style="4" customWidth="1"/>
    <col min="3344" max="3579" width="8.7265625" style="4"/>
    <col min="3580" max="3581" width="18.54296875" style="4" customWidth="1"/>
    <col min="3582" max="3597" width="8.7265625" style="4"/>
    <col min="3598" max="3598" width="13.81640625" style="4" customWidth="1"/>
    <col min="3599" max="3599" width="16.81640625" style="4" customWidth="1"/>
    <col min="3600" max="3835" width="8.7265625" style="4"/>
    <col min="3836" max="3837" width="18.54296875" style="4" customWidth="1"/>
    <col min="3838" max="3853" width="8.7265625" style="4"/>
    <col min="3854" max="3854" width="13.81640625" style="4" customWidth="1"/>
    <col min="3855" max="3855" width="16.81640625" style="4" customWidth="1"/>
    <col min="3856" max="4091" width="8.7265625" style="4"/>
    <col min="4092" max="4093" width="18.54296875" style="4" customWidth="1"/>
    <col min="4094" max="4109" width="8.7265625" style="4"/>
    <col min="4110" max="4110" width="13.81640625" style="4" customWidth="1"/>
    <col min="4111" max="4111" width="16.81640625" style="4" customWidth="1"/>
    <col min="4112" max="4347" width="8.7265625" style="4"/>
    <col min="4348" max="4349" width="18.54296875" style="4" customWidth="1"/>
    <col min="4350" max="4365" width="8.7265625" style="4"/>
    <col min="4366" max="4366" width="13.81640625" style="4" customWidth="1"/>
    <col min="4367" max="4367" width="16.81640625" style="4" customWidth="1"/>
    <col min="4368" max="4603" width="8.7265625" style="4"/>
    <col min="4604" max="4605" width="18.54296875" style="4" customWidth="1"/>
    <col min="4606" max="4621" width="8.7265625" style="4"/>
    <col min="4622" max="4622" width="13.81640625" style="4" customWidth="1"/>
    <col min="4623" max="4623" width="16.81640625" style="4" customWidth="1"/>
    <col min="4624" max="4859" width="8.7265625" style="4"/>
    <col min="4860" max="4861" width="18.54296875" style="4" customWidth="1"/>
    <col min="4862" max="4877" width="8.7265625" style="4"/>
    <col min="4878" max="4878" width="13.81640625" style="4" customWidth="1"/>
    <col min="4879" max="4879" width="16.81640625" style="4" customWidth="1"/>
    <col min="4880" max="5115" width="8.7265625" style="4"/>
    <col min="5116" max="5117" width="18.54296875" style="4" customWidth="1"/>
    <col min="5118" max="5133" width="8.7265625" style="4"/>
    <col min="5134" max="5134" width="13.81640625" style="4" customWidth="1"/>
    <col min="5135" max="5135" width="16.81640625" style="4" customWidth="1"/>
    <col min="5136" max="5371" width="8.7265625" style="4"/>
    <col min="5372" max="5373" width="18.54296875" style="4" customWidth="1"/>
    <col min="5374" max="5389" width="8.7265625" style="4"/>
    <col min="5390" max="5390" width="13.81640625" style="4" customWidth="1"/>
    <col min="5391" max="5391" width="16.81640625" style="4" customWidth="1"/>
    <col min="5392" max="5627" width="8.7265625" style="4"/>
    <col min="5628" max="5629" width="18.54296875" style="4" customWidth="1"/>
    <col min="5630" max="5645" width="8.7265625" style="4"/>
    <col min="5646" max="5646" width="13.81640625" style="4" customWidth="1"/>
    <col min="5647" max="5647" width="16.81640625" style="4" customWidth="1"/>
    <col min="5648" max="5883" width="8.7265625" style="4"/>
    <col min="5884" max="5885" width="18.54296875" style="4" customWidth="1"/>
    <col min="5886" max="5901" width="8.7265625" style="4"/>
    <col min="5902" max="5902" width="13.81640625" style="4" customWidth="1"/>
    <col min="5903" max="5903" width="16.81640625" style="4" customWidth="1"/>
    <col min="5904" max="6139" width="8.7265625" style="4"/>
    <col min="6140" max="6141" width="18.54296875" style="4" customWidth="1"/>
    <col min="6142" max="6157" width="8.7265625" style="4"/>
    <col min="6158" max="6158" width="13.81640625" style="4" customWidth="1"/>
    <col min="6159" max="6159" width="16.81640625" style="4" customWidth="1"/>
    <col min="6160" max="6395" width="8.7265625" style="4"/>
    <col min="6396" max="6397" width="18.54296875" style="4" customWidth="1"/>
    <col min="6398" max="6413" width="8.7265625" style="4"/>
    <col min="6414" max="6414" width="13.81640625" style="4" customWidth="1"/>
    <col min="6415" max="6415" width="16.81640625" style="4" customWidth="1"/>
    <col min="6416" max="6651" width="8.7265625" style="4"/>
    <col min="6652" max="6653" width="18.54296875" style="4" customWidth="1"/>
    <col min="6654" max="6669" width="8.7265625" style="4"/>
    <col min="6670" max="6670" width="13.81640625" style="4" customWidth="1"/>
    <col min="6671" max="6671" width="16.81640625" style="4" customWidth="1"/>
    <col min="6672" max="6907" width="8.7265625" style="4"/>
    <col min="6908" max="6909" width="18.54296875" style="4" customWidth="1"/>
    <col min="6910" max="6925" width="8.7265625" style="4"/>
    <col min="6926" max="6926" width="13.81640625" style="4" customWidth="1"/>
    <col min="6927" max="6927" width="16.81640625" style="4" customWidth="1"/>
    <col min="6928" max="7163" width="8.7265625" style="4"/>
    <col min="7164" max="7165" width="18.54296875" style="4" customWidth="1"/>
    <col min="7166" max="7181" width="8.7265625" style="4"/>
    <col min="7182" max="7182" width="13.81640625" style="4" customWidth="1"/>
    <col min="7183" max="7183" width="16.81640625" style="4" customWidth="1"/>
    <col min="7184" max="7419" width="8.7265625" style="4"/>
    <col min="7420" max="7421" width="18.54296875" style="4" customWidth="1"/>
    <col min="7422" max="7437" width="8.7265625" style="4"/>
    <col min="7438" max="7438" width="13.81640625" style="4" customWidth="1"/>
    <col min="7439" max="7439" width="16.81640625" style="4" customWidth="1"/>
    <col min="7440" max="7675" width="8.7265625" style="4"/>
    <col min="7676" max="7677" width="18.54296875" style="4" customWidth="1"/>
    <col min="7678" max="7693" width="8.7265625" style="4"/>
    <col min="7694" max="7694" width="13.81640625" style="4" customWidth="1"/>
    <col min="7695" max="7695" width="16.81640625" style="4" customWidth="1"/>
    <col min="7696" max="7931" width="8.7265625" style="4"/>
    <col min="7932" max="7933" width="18.54296875" style="4" customWidth="1"/>
    <col min="7934" max="7949" width="8.7265625" style="4"/>
    <col min="7950" max="7950" width="13.81640625" style="4" customWidth="1"/>
    <col min="7951" max="7951" width="16.81640625" style="4" customWidth="1"/>
    <col min="7952" max="8187" width="8.7265625" style="4"/>
    <col min="8188" max="8189" width="18.54296875" style="4" customWidth="1"/>
    <col min="8190" max="8205" width="8.7265625" style="4"/>
    <col min="8206" max="8206" width="13.81640625" style="4" customWidth="1"/>
    <col min="8207" max="8207" width="16.81640625" style="4" customWidth="1"/>
    <col min="8208" max="8443" width="8.7265625" style="4"/>
    <col min="8444" max="8445" width="18.54296875" style="4" customWidth="1"/>
    <col min="8446" max="8461" width="8.7265625" style="4"/>
    <col min="8462" max="8462" width="13.81640625" style="4" customWidth="1"/>
    <col min="8463" max="8463" width="16.81640625" style="4" customWidth="1"/>
    <col min="8464" max="8699" width="8.7265625" style="4"/>
    <col min="8700" max="8701" width="18.54296875" style="4" customWidth="1"/>
    <col min="8702" max="8717" width="8.7265625" style="4"/>
    <col min="8718" max="8718" width="13.81640625" style="4" customWidth="1"/>
    <col min="8719" max="8719" width="16.81640625" style="4" customWidth="1"/>
    <col min="8720" max="8955" width="8.7265625" style="4"/>
    <col min="8956" max="8957" width="18.54296875" style="4" customWidth="1"/>
    <col min="8958" max="8973" width="8.7265625" style="4"/>
    <col min="8974" max="8974" width="13.81640625" style="4" customWidth="1"/>
    <col min="8975" max="8975" width="16.81640625" style="4" customWidth="1"/>
    <col min="8976" max="9211" width="8.7265625" style="4"/>
    <col min="9212" max="9213" width="18.54296875" style="4" customWidth="1"/>
    <col min="9214" max="9229" width="8.7265625" style="4"/>
    <col min="9230" max="9230" width="13.81640625" style="4" customWidth="1"/>
    <col min="9231" max="9231" width="16.81640625" style="4" customWidth="1"/>
    <col min="9232" max="9467" width="8.7265625" style="4"/>
    <col min="9468" max="9469" width="18.54296875" style="4" customWidth="1"/>
    <col min="9470" max="9485" width="8.7265625" style="4"/>
    <col min="9486" max="9486" width="13.81640625" style="4" customWidth="1"/>
    <col min="9487" max="9487" width="16.81640625" style="4" customWidth="1"/>
    <col min="9488" max="9723" width="8.7265625" style="4"/>
    <col min="9724" max="9725" width="18.54296875" style="4" customWidth="1"/>
    <col min="9726" max="9741" width="8.7265625" style="4"/>
    <col min="9742" max="9742" width="13.81640625" style="4" customWidth="1"/>
    <col min="9743" max="9743" width="16.81640625" style="4" customWidth="1"/>
    <col min="9744" max="9979" width="8.7265625" style="4"/>
    <col min="9980" max="9981" width="18.54296875" style="4" customWidth="1"/>
    <col min="9982" max="9997" width="8.7265625" style="4"/>
    <col min="9998" max="9998" width="13.81640625" style="4" customWidth="1"/>
    <col min="9999" max="9999" width="16.81640625" style="4" customWidth="1"/>
    <col min="10000" max="10235" width="8.7265625" style="4"/>
    <col min="10236" max="10237" width="18.54296875" style="4" customWidth="1"/>
    <col min="10238" max="10253" width="8.7265625" style="4"/>
    <col min="10254" max="10254" width="13.81640625" style="4" customWidth="1"/>
    <col min="10255" max="10255" width="16.81640625" style="4" customWidth="1"/>
    <col min="10256" max="10491" width="8.7265625" style="4"/>
    <col min="10492" max="10493" width="18.54296875" style="4" customWidth="1"/>
    <col min="10494" max="10509" width="8.7265625" style="4"/>
    <col min="10510" max="10510" width="13.81640625" style="4" customWidth="1"/>
    <col min="10511" max="10511" width="16.81640625" style="4" customWidth="1"/>
    <col min="10512" max="10747" width="8.7265625" style="4"/>
    <col min="10748" max="10749" width="18.54296875" style="4" customWidth="1"/>
    <col min="10750" max="10765" width="8.7265625" style="4"/>
    <col min="10766" max="10766" width="13.81640625" style="4" customWidth="1"/>
    <col min="10767" max="10767" width="16.81640625" style="4" customWidth="1"/>
    <col min="10768" max="11003" width="8.7265625" style="4"/>
    <col min="11004" max="11005" width="18.54296875" style="4" customWidth="1"/>
    <col min="11006" max="11021" width="8.7265625" style="4"/>
    <col min="11022" max="11022" width="13.81640625" style="4" customWidth="1"/>
    <col min="11023" max="11023" width="16.81640625" style="4" customWidth="1"/>
    <col min="11024" max="11259" width="8.7265625" style="4"/>
    <col min="11260" max="11261" width="18.54296875" style="4" customWidth="1"/>
    <col min="11262" max="11277" width="8.7265625" style="4"/>
    <col min="11278" max="11278" width="13.81640625" style="4" customWidth="1"/>
    <col min="11279" max="11279" width="16.81640625" style="4" customWidth="1"/>
    <col min="11280" max="11515" width="8.7265625" style="4"/>
    <col min="11516" max="11517" width="18.54296875" style="4" customWidth="1"/>
    <col min="11518" max="11533" width="8.7265625" style="4"/>
    <col min="11534" max="11534" width="13.81640625" style="4" customWidth="1"/>
    <col min="11535" max="11535" width="16.81640625" style="4" customWidth="1"/>
    <col min="11536" max="11771" width="8.7265625" style="4"/>
    <col min="11772" max="11773" width="18.54296875" style="4" customWidth="1"/>
    <col min="11774" max="11789" width="8.7265625" style="4"/>
    <col min="11790" max="11790" width="13.81640625" style="4" customWidth="1"/>
    <col min="11791" max="11791" width="16.81640625" style="4" customWidth="1"/>
    <col min="11792" max="12027" width="8.7265625" style="4"/>
    <col min="12028" max="12029" width="18.54296875" style="4" customWidth="1"/>
    <col min="12030" max="12045" width="8.7265625" style="4"/>
    <col min="12046" max="12046" width="13.81640625" style="4" customWidth="1"/>
    <col min="12047" max="12047" width="16.81640625" style="4" customWidth="1"/>
    <col min="12048" max="12283" width="8.7265625" style="4"/>
    <col min="12284" max="12285" width="18.54296875" style="4" customWidth="1"/>
    <col min="12286" max="12301" width="8.7265625" style="4"/>
    <col min="12302" max="12302" width="13.81640625" style="4" customWidth="1"/>
    <col min="12303" max="12303" width="16.81640625" style="4" customWidth="1"/>
    <col min="12304" max="12539" width="8.7265625" style="4"/>
    <col min="12540" max="12541" width="18.54296875" style="4" customWidth="1"/>
    <col min="12542" max="12557" width="8.7265625" style="4"/>
    <col min="12558" max="12558" width="13.81640625" style="4" customWidth="1"/>
    <col min="12559" max="12559" width="16.81640625" style="4" customWidth="1"/>
    <col min="12560" max="12795" width="8.7265625" style="4"/>
    <col min="12796" max="12797" width="18.54296875" style="4" customWidth="1"/>
    <col min="12798" max="12813" width="8.7265625" style="4"/>
    <col min="12814" max="12814" width="13.81640625" style="4" customWidth="1"/>
    <col min="12815" max="12815" width="16.81640625" style="4" customWidth="1"/>
    <col min="12816" max="13051" width="8.7265625" style="4"/>
    <col min="13052" max="13053" width="18.54296875" style="4" customWidth="1"/>
    <col min="13054" max="13069" width="8.7265625" style="4"/>
    <col min="13070" max="13070" width="13.81640625" style="4" customWidth="1"/>
    <col min="13071" max="13071" width="16.81640625" style="4" customWidth="1"/>
    <col min="13072" max="13307" width="8.7265625" style="4"/>
    <col min="13308" max="13309" width="18.54296875" style="4" customWidth="1"/>
    <col min="13310" max="13325" width="8.7265625" style="4"/>
    <col min="13326" max="13326" width="13.81640625" style="4" customWidth="1"/>
    <col min="13327" max="13327" width="16.81640625" style="4" customWidth="1"/>
    <col min="13328" max="13563" width="8.7265625" style="4"/>
    <col min="13564" max="13565" width="18.54296875" style="4" customWidth="1"/>
    <col min="13566" max="13581" width="8.7265625" style="4"/>
    <col min="13582" max="13582" width="13.81640625" style="4" customWidth="1"/>
    <col min="13583" max="13583" width="16.81640625" style="4" customWidth="1"/>
    <col min="13584" max="13819" width="8.7265625" style="4"/>
    <col min="13820" max="13821" width="18.54296875" style="4" customWidth="1"/>
    <col min="13822" max="13837" width="8.7265625" style="4"/>
    <col min="13838" max="13838" width="13.81640625" style="4" customWidth="1"/>
    <col min="13839" max="13839" width="16.81640625" style="4" customWidth="1"/>
    <col min="13840" max="14075" width="8.7265625" style="4"/>
    <col min="14076" max="14077" width="18.54296875" style="4" customWidth="1"/>
    <col min="14078" max="14093" width="8.7265625" style="4"/>
    <col min="14094" max="14094" width="13.81640625" style="4" customWidth="1"/>
    <col min="14095" max="14095" width="16.81640625" style="4" customWidth="1"/>
    <col min="14096" max="14331" width="8.7265625" style="4"/>
    <col min="14332" max="14333" width="18.54296875" style="4" customWidth="1"/>
    <col min="14334" max="14349" width="8.7265625" style="4"/>
    <col min="14350" max="14350" width="13.81640625" style="4" customWidth="1"/>
    <col min="14351" max="14351" width="16.81640625" style="4" customWidth="1"/>
    <col min="14352" max="14587" width="8.7265625" style="4"/>
    <col min="14588" max="14589" width="18.54296875" style="4" customWidth="1"/>
    <col min="14590" max="14605" width="8.7265625" style="4"/>
    <col min="14606" max="14606" width="13.81640625" style="4" customWidth="1"/>
    <col min="14607" max="14607" width="16.81640625" style="4" customWidth="1"/>
    <col min="14608" max="14843" width="8.7265625" style="4"/>
    <col min="14844" max="14845" width="18.54296875" style="4" customWidth="1"/>
    <col min="14846" max="14861" width="8.7265625" style="4"/>
    <col min="14862" max="14862" width="13.81640625" style="4" customWidth="1"/>
    <col min="14863" max="14863" width="16.81640625" style="4" customWidth="1"/>
    <col min="14864" max="15099" width="8.7265625" style="4"/>
    <col min="15100" max="15101" width="18.54296875" style="4" customWidth="1"/>
    <col min="15102" max="15117" width="8.7265625" style="4"/>
    <col min="15118" max="15118" width="13.81640625" style="4" customWidth="1"/>
    <col min="15119" max="15119" width="16.81640625" style="4" customWidth="1"/>
    <col min="15120" max="15355" width="8.7265625" style="4"/>
    <col min="15356" max="15357" width="18.54296875" style="4" customWidth="1"/>
    <col min="15358" max="15373" width="8.7265625" style="4"/>
    <col min="15374" max="15374" width="13.81640625" style="4" customWidth="1"/>
    <col min="15375" max="15375" width="16.81640625" style="4" customWidth="1"/>
    <col min="15376" max="15611" width="8.7265625" style="4"/>
    <col min="15612" max="15613" width="18.54296875" style="4" customWidth="1"/>
    <col min="15614" max="15629" width="8.7265625" style="4"/>
    <col min="15630" max="15630" width="13.81640625" style="4" customWidth="1"/>
    <col min="15631" max="15631" width="16.81640625" style="4" customWidth="1"/>
    <col min="15632" max="15867" width="8.7265625" style="4"/>
    <col min="15868" max="15869" width="18.54296875" style="4" customWidth="1"/>
    <col min="15870" max="15885" width="8.7265625" style="4"/>
    <col min="15886" max="15886" width="13.81640625" style="4" customWidth="1"/>
    <col min="15887" max="15887" width="16.81640625" style="4" customWidth="1"/>
    <col min="15888" max="16123" width="8.7265625" style="4"/>
    <col min="16124" max="16125" width="18.54296875" style="4" customWidth="1"/>
    <col min="16126" max="16141" width="8.7265625" style="4"/>
    <col min="16142" max="16142" width="13.81640625" style="4" customWidth="1"/>
    <col min="16143" max="16143" width="16.81640625" style="4" customWidth="1"/>
    <col min="16144" max="16384" width="8.7265625" style="4"/>
  </cols>
  <sheetData>
    <row r="1" spans="1:53" s="1" customFormat="1" ht="93.5" customHeight="1" x14ac:dyDescent="0.25">
      <c r="A1" s="1" t="s">
        <v>0</v>
      </c>
      <c r="B1" s="1" t="s">
        <v>11</v>
      </c>
      <c r="C1" s="1" t="s">
        <v>12</v>
      </c>
      <c r="D1" s="2" t="s">
        <v>13</v>
      </c>
      <c r="E1" s="2" t="s">
        <v>9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  <c r="K1" s="1" t="s">
        <v>14</v>
      </c>
      <c r="L1" s="1" t="s">
        <v>14</v>
      </c>
      <c r="M1" s="1" t="s">
        <v>14</v>
      </c>
      <c r="P1" s="1" t="s">
        <v>15</v>
      </c>
      <c r="Q1" s="1" t="s">
        <v>15</v>
      </c>
      <c r="R1" s="1" t="s">
        <v>15</v>
      </c>
      <c r="S1" s="1" t="s">
        <v>15</v>
      </c>
      <c r="T1" s="1" t="s">
        <v>15</v>
      </c>
      <c r="U1" s="1" t="s">
        <v>15</v>
      </c>
      <c r="V1" s="1" t="s">
        <v>15</v>
      </c>
      <c r="W1" s="1" t="s">
        <v>15</v>
      </c>
      <c r="Y1" s="1" t="s">
        <v>52</v>
      </c>
      <c r="Z1" s="1" t="s">
        <v>53</v>
      </c>
      <c r="AA1" s="1" t="s">
        <v>16</v>
      </c>
      <c r="AC1" s="2" t="s">
        <v>17</v>
      </c>
      <c r="AD1" s="2" t="s">
        <v>18</v>
      </c>
      <c r="AE1" s="2" t="s">
        <v>54</v>
      </c>
      <c r="AG1" s="3" t="s">
        <v>19</v>
      </c>
      <c r="AH1" s="3" t="s">
        <v>20</v>
      </c>
      <c r="AJ1" s="1" t="s">
        <v>21</v>
      </c>
      <c r="AL1" s="1" t="s">
        <v>22</v>
      </c>
      <c r="AM1" s="1" t="s">
        <v>23</v>
      </c>
      <c r="AO1" s="1" t="s">
        <v>49</v>
      </c>
      <c r="AP1" s="1" t="s">
        <v>50</v>
      </c>
      <c r="AQ1" s="1" t="s">
        <v>51</v>
      </c>
      <c r="AS1" s="1" t="s">
        <v>24</v>
      </c>
      <c r="AT1" s="1" t="s">
        <v>25</v>
      </c>
      <c r="AU1" s="1" t="s">
        <v>26</v>
      </c>
      <c r="AW1" s="1" t="s">
        <v>27</v>
      </c>
      <c r="AX1" s="1" t="s">
        <v>28</v>
      </c>
      <c r="AY1" s="1" t="s">
        <v>29</v>
      </c>
      <c r="BA1" s="1" t="s">
        <v>30</v>
      </c>
    </row>
    <row r="2" spans="1:53" ht="14.5" x14ac:dyDescent="0.35">
      <c r="A2"/>
      <c r="B2"/>
      <c r="C2"/>
      <c r="D2"/>
      <c r="E2"/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/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7</v>
      </c>
      <c r="W2" t="s">
        <v>8</v>
      </c>
      <c r="X2" s="11"/>
      <c r="Y2" s="11"/>
      <c r="Z2" s="11"/>
      <c r="AA2" s="11"/>
      <c r="AB2" s="11"/>
      <c r="AC2" s="12"/>
      <c r="AD2" s="12"/>
      <c r="AE2" s="12"/>
      <c r="AJ2" s="13"/>
      <c r="AL2" s="12"/>
      <c r="AM2" s="12"/>
      <c r="AO2" s="11"/>
      <c r="AP2" s="11"/>
      <c r="AQ2" s="11"/>
      <c r="AW2" s="12"/>
      <c r="AX2" s="12"/>
      <c r="AY2" s="12"/>
    </row>
    <row r="3" spans="1:53" s="1" customFormat="1" ht="62.5" x14ac:dyDescent="0.25">
      <c r="C3" s="1" t="s">
        <v>31</v>
      </c>
      <c r="F3" s="1" t="s">
        <v>32</v>
      </c>
      <c r="H3" s="1" t="s">
        <v>47</v>
      </c>
      <c r="P3" s="1" t="s">
        <v>32</v>
      </c>
      <c r="R3" s="1" t="s">
        <v>47</v>
      </c>
      <c r="AA3" s="1" t="s">
        <v>33</v>
      </c>
      <c r="AC3" s="6" t="s">
        <v>34</v>
      </c>
      <c r="AD3" s="6" t="s">
        <v>34</v>
      </c>
      <c r="AE3" s="6"/>
      <c r="AG3" s="3"/>
      <c r="AH3" s="3"/>
      <c r="AJ3" s="1" t="s">
        <v>35</v>
      </c>
    </row>
    <row r="4" spans="1:53" ht="14.5" x14ac:dyDescent="0.35">
      <c r="A4" s="16" t="s">
        <v>36</v>
      </c>
      <c r="B4" s="17"/>
      <c r="C4" s="16">
        <v>500</v>
      </c>
      <c r="D4" s="17">
        <v>6</v>
      </c>
      <c r="E4" s="16"/>
      <c r="F4">
        <v>-3.0000000000000001E-3</v>
      </c>
      <c r="G4">
        <v>-3.0000000000000001E-3</v>
      </c>
      <c r="H4">
        <v>-3.0000000000000001E-3</v>
      </c>
      <c r="I4">
        <v>-3.0000000000000001E-3</v>
      </c>
      <c r="J4">
        <v>-3.0000000000000001E-3</v>
      </c>
      <c r="K4">
        <v>-3.0000000000000001E-3</v>
      </c>
      <c r="L4">
        <v>-4.0000000000000001E-3</v>
      </c>
      <c r="M4">
        <v>-4.0000000000000001E-3</v>
      </c>
      <c r="N4" s="16"/>
      <c r="O4" s="16" t="s">
        <v>10</v>
      </c>
      <c r="P4">
        <v>-3.0000000000000001E-3</v>
      </c>
      <c r="Q4">
        <v>-3.0000000000000001E-3</v>
      </c>
      <c r="R4">
        <v>-3.0000000000000001E-3</v>
      </c>
      <c r="S4">
        <v>-3.0000000000000001E-3</v>
      </c>
      <c r="T4">
        <v>-3.0000000000000001E-3</v>
      </c>
      <c r="U4">
        <v>-3.0000000000000001E-3</v>
      </c>
      <c r="V4">
        <v>-4.0000000000000001E-3</v>
      </c>
      <c r="W4">
        <v>-4.0000000000000001E-3</v>
      </c>
      <c r="X4" s="18"/>
      <c r="Y4" s="18">
        <f>H4-F4</f>
        <v>0</v>
      </c>
      <c r="Z4" s="18">
        <f>Q4-P4</f>
        <v>0</v>
      </c>
      <c r="AA4" s="18">
        <f>Y4-Z4</f>
        <v>0</v>
      </c>
      <c r="AB4" s="18"/>
      <c r="AC4" s="19">
        <f>1000*28.64*AA4</f>
        <v>0</v>
      </c>
      <c r="AD4" s="19">
        <f>1000*28.64*((1.72*Z4)-Y4)</f>
        <v>0</v>
      </c>
      <c r="AE4" s="19">
        <f>1000*28.64*(1.72*(Z4-Z$6)-(Y4-Y$6))</f>
        <v>0</v>
      </c>
      <c r="AF4" s="17"/>
      <c r="AG4" s="20">
        <f>(28.64*AA4*(D4/1000))/(((C4/1000)/1000)*1)</f>
        <v>0</v>
      </c>
      <c r="AH4" s="20">
        <f>(28.64*(1.72*Z4-Y4)*(D4/1000))/(((C4/1000)/1000)*1)</f>
        <v>0</v>
      </c>
      <c r="AI4" s="17"/>
      <c r="AJ4" s="21" t="e">
        <f>Y4/Z4</f>
        <v>#DIV/0!</v>
      </c>
      <c r="AK4" s="17"/>
      <c r="AL4" s="19">
        <v>0</v>
      </c>
      <c r="AM4" s="19">
        <v>0</v>
      </c>
      <c r="AN4" s="17"/>
      <c r="AO4" s="18">
        <f>M4-F4</f>
        <v>-1E-3</v>
      </c>
      <c r="AP4" s="18">
        <f>L4-F4</f>
        <v>-1E-3</v>
      </c>
      <c r="AQ4" s="18">
        <f>I4-F4</f>
        <v>0</v>
      </c>
      <c r="AR4" s="17"/>
      <c r="AS4" s="17">
        <f t="shared" ref="AS4:AS31" si="0">(1.04*AO4)+(0.79*AQ4)-(0.27*AP4)</f>
        <v>-7.7000000000000007E-4</v>
      </c>
      <c r="AT4" s="17">
        <f t="shared" ref="AT4:AT31" si="1">(1.02*AQ4)-(0.27*AO4)+(0.01*AP4)</f>
        <v>2.5999999999999998E-4</v>
      </c>
      <c r="AU4" s="17">
        <f t="shared" ref="AU4:AU31" si="2">(1.02*AP4)-(0.08*AO4)-(0.026*AQ4)</f>
        <v>-9.4000000000000008E-4</v>
      </c>
      <c r="AV4" s="17"/>
      <c r="AW4" s="19">
        <f t="shared" ref="AW4:AW31" si="3">1000000*AT4/(89.71*1)</f>
        <v>2.8982276223386472</v>
      </c>
      <c r="AX4" s="19">
        <f t="shared" ref="AX4:AX31" si="4">1000000*AS4/(112.61*1)</f>
        <v>-6.8377586360003564</v>
      </c>
      <c r="AY4" s="19">
        <f t="shared" ref="AY4:AY31" si="5">1000000*AU4/(262*1)</f>
        <v>-3.5877862595419852</v>
      </c>
      <c r="AZ4" s="17"/>
      <c r="BA4" s="17">
        <f>1000*((11.85*(H4-F4))-(1.54*(J4-F4))-(0.08*(K4-F4)))</f>
        <v>0</v>
      </c>
    </row>
    <row r="5" spans="1:53" ht="14.5" x14ac:dyDescent="0.35">
      <c r="A5" s="16"/>
      <c r="B5" s="22"/>
      <c r="C5" s="23"/>
      <c r="D5" s="17"/>
      <c r="E5" s="23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4"/>
      <c r="Y5" s="18"/>
      <c r="Z5" s="18"/>
      <c r="AA5" s="18"/>
      <c r="AB5" s="18"/>
      <c r="AC5" s="19"/>
      <c r="AD5" s="19"/>
      <c r="AE5" s="19"/>
      <c r="AF5" s="17"/>
      <c r="AG5" s="20"/>
      <c r="AH5" s="20"/>
      <c r="AI5" s="17"/>
      <c r="AJ5" s="21"/>
      <c r="AK5" s="17"/>
      <c r="AL5" s="19"/>
      <c r="AM5" s="19"/>
      <c r="AN5" s="17"/>
      <c r="AO5" s="18"/>
      <c r="AP5" s="18"/>
      <c r="AQ5" s="18"/>
      <c r="AR5" s="17"/>
      <c r="AS5" s="17"/>
      <c r="AT5" s="17"/>
      <c r="AU5" s="17"/>
      <c r="AV5" s="17"/>
      <c r="AW5" s="19"/>
      <c r="AX5" s="19"/>
      <c r="AY5" s="19"/>
      <c r="AZ5" s="17"/>
      <c r="BA5" s="17"/>
    </row>
    <row r="6" spans="1:53" ht="14.5" x14ac:dyDescent="0.35">
      <c r="A6" s="16" t="s">
        <v>48</v>
      </c>
      <c r="B6" s="22"/>
      <c r="C6" s="23"/>
      <c r="D6" s="17"/>
      <c r="E6" s="23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24"/>
      <c r="Y6" s="18">
        <f>AVERAGE(Y4:Y4)</f>
        <v>0</v>
      </c>
      <c r="Z6" s="18">
        <f>AVERAGE(Z4:Z4)</f>
        <v>0</v>
      </c>
      <c r="AA6" s="18">
        <f>AVERAGE(AA4:AA4)</f>
        <v>0</v>
      </c>
      <c r="AB6" s="18"/>
      <c r="AC6" s="19">
        <f>AVERAGE(AC4:AC4)</f>
        <v>0</v>
      </c>
      <c r="AD6" s="19">
        <f>AVERAGE(AD4:AD4)</f>
        <v>0</v>
      </c>
      <c r="AE6" s="19">
        <f>AVERAGE(AE4:AE4)</f>
        <v>0</v>
      </c>
      <c r="AF6" s="17"/>
      <c r="AG6" s="20"/>
      <c r="AH6" s="20"/>
      <c r="AI6" s="17"/>
      <c r="AJ6" s="21"/>
      <c r="AK6" s="17"/>
      <c r="AL6" s="19"/>
      <c r="AM6" s="19"/>
      <c r="AN6" s="17"/>
      <c r="AO6" s="18"/>
      <c r="AP6" s="18"/>
      <c r="AQ6" s="18"/>
      <c r="AR6" s="17"/>
      <c r="AS6" s="17"/>
      <c r="AT6" s="17"/>
      <c r="AU6" s="17"/>
      <c r="AV6" s="17"/>
      <c r="AW6" s="19"/>
      <c r="AX6" s="19"/>
      <c r="AY6" s="19"/>
      <c r="AZ6" s="17"/>
      <c r="BA6" s="17"/>
    </row>
    <row r="7" spans="1:53" ht="14.5" x14ac:dyDescent="0.35">
      <c r="A7" s="7"/>
      <c r="B7" s="8"/>
      <c r="C7" s="7"/>
      <c r="D7" s="9"/>
      <c r="E7" s="9"/>
      <c r="F7"/>
      <c r="G7"/>
      <c r="H7"/>
      <c r="I7"/>
      <c r="J7"/>
      <c r="K7"/>
      <c r="L7"/>
      <c r="M7"/>
      <c r="N7"/>
      <c r="O7" s="10"/>
      <c r="P7"/>
      <c r="Q7"/>
      <c r="R7"/>
      <c r="S7"/>
      <c r="T7"/>
      <c r="U7"/>
      <c r="V7"/>
      <c r="W7"/>
      <c r="X7" s="10"/>
      <c r="Y7" s="11"/>
      <c r="Z7" s="11"/>
      <c r="AA7" s="11"/>
      <c r="AB7" s="11"/>
      <c r="AC7" s="12"/>
      <c r="AD7" s="12"/>
      <c r="AE7" s="32"/>
      <c r="AJ7" s="13"/>
      <c r="AL7" s="12"/>
      <c r="AM7" s="12"/>
      <c r="AO7" s="11"/>
      <c r="AP7" s="11"/>
      <c r="AQ7" s="11"/>
      <c r="AW7" s="12"/>
      <c r="AX7" s="12"/>
      <c r="AY7" s="12"/>
    </row>
    <row r="8" spans="1:53" s="31" customFormat="1" ht="14.5" x14ac:dyDescent="0.35">
      <c r="A8" s="30" t="s">
        <v>45</v>
      </c>
      <c r="C8">
        <v>500</v>
      </c>
      <c r="D8" s="4">
        <v>6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14"/>
      <c r="Y8" s="35">
        <v>1.72E-3</v>
      </c>
      <c r="Z8" s="14">
        <v>1E-3</v>
      </c>
      <c r="AA8" s="14">
        <f t="shared" ref="AA8:AA9" si="6">Y8-Z8</f>
        <v>7.1999999999999994E-4</v>
      </c>
      <c r="AB8" s="14"/>
      <c r="AC8" s="32">
        <f>(1000*28.64*AA8)-AC$6</f>
        <v>20.620799999999999</v>
      </c>
      <c r="AD8" s="32">
        <f>1000*28.64*(1.72*Z8-Y8)</f>
        <v>0</v>
      </c>
      <c r="AE8" s="32">
        <f>1000*28.64*(1.72*(Z8-Z$6)-(Y8-Y$6))</f>
        <v>0</v>
      </c>
      <c r="AG8" s="33">
        <f>(28.64*AA8*(D8/1000))/(((C8/1000)/1000)*1)</f>
        <v>0.24744959999999999</v>
      </c>
      <c r="AH8" s="33">
        <f>(28.64*(1.72*Z8-Y8)*(D8/1000))/(((C8/1000)/1000)*1)</f>
        <v>0</v>
      </c>
      <c r="AJ8" s="34">
        <f>Y8/Z8</f>
        <v>1.72</v>
      </c>
      <c r="AL8" s="32"/>
      <c r="AM8" s="32"/>
      <c r="AO8" s="11">
        <f>M8-F8</f>
        <v>0</v>
      </c>
      <c r="AP8" s="11">
        <f>L8-F8</f>
        <v>0</v>
      </c>
      <c r="AQ8" s="11">
        <f>I8-F8</f>
        <v>0</v>
      </c>
      <c r="AS8" s="31">
        <f t="shared" ref="AS8" si="7">(1.04*AO8)+(0.79*AQ8)-(0.27*AP8)</f>
        <v>0</v>
      </c>
      <c r="AT8" s="31">
        <f t="shared" ref="AT8" si="8">(1.02*AQ8)-(0.27*AO8)+(0.01*AP8)</f>
        <v>0</v>
      </c>
      <c r="AU8" s="31">
        <f t="shared" ref="AU8" si="9">(1.02*AP8)-(0.08*AO8)-(0.026*AQ8)</f>
        <v>0</v>
      </c>
      <c r="AW8" s="32">
        <f t="shared" ref="AW8" si="10">1000000*AT8/(89.71*1)</f>
        <v>0</v>
      </c>
      <c r="AX8" s="32">
        <f t="shared" ref="AX8" si="11">1000000*AS8/(112.61*1)</f>
        <v>0</v>
      </c>
      <c r="AY8" s="32">
        <f t="shared" ref="AY8" si="12">1000000*AU8/(262*1)</f>
        <v>0</v>
      </c>
      <c r="BA8" s="31">
        <f>1000*((11.85*(H8-F8))-(1.54*(J8-F8))-(0.08*(K8-F8)))</f>
        <v>0</v>
      </c>
    </row>
    <row r="9" spans="1:53" s="31" customFormat="1" ht="14.5" x14ac:dyDescent="0.35">
      <c r="A9" s="30" t="s">
        <v>46</v>
      </c>
      <c r="C9">
        <v>500</v>
      </c>
      <c r="D9" s="4">
        <v>6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14"/>
      <c r="Y9" s="14">
        <v>1E-3</v>
      </c>
      <c r="Z9" s="14">
        <v>1E-3</v>
      </c>
      <c r="AA9" s="14">
        <f t="shared" si="6"/>
        <v>0</v>
      </c>
      <c r="AB9" s="14"/>
      <c r="AC9" s="32">
        <f>1000*28.64*AA9</f>
        <v>0</v>
      </c>
      <c r="AD9" s="32">
        <f>1000*28.64*(1.72*Z9-Y9)</f>
        <v>20.620799999999999</v>
      </c>
      <c r="AE9" s="32">
        <f>1000*28.64*(1.72*(Z9-Z$6)-(Y9-Y$6))</f>
        <v>20.620799999999999</v>
      </c>
      <c r="AG9" s="33">
        <f>(28.64*AA9*(D9/1000))/(((C9/1000)/1000)*1)</f>
        <v>0</v>
      </c>
      <c r="AH9" s="33">
        <f>(28.64*(1.72*Z9-Y9)*(D9/1000))/(((C9/1000)/1000)*1)</f>
        <v>0.24744959999999999</v>
      </c>
      <c r="AJ9" s="34">
        <f t="shared" ref="AJ9" si="13">Y9/Z9</f>
        <v>1</v>
      </c>
      <c r="AL9" s="32"/>
      <c r="AM9" s="32"/>
      <c r="AO9" s="11">
        <f>M9-F9</f>
        <v>0</v>
      </c>
      <c r="AP9" s="11">
        <f>L9-F9</f>
        <v>0</v>
      </c>
      <c r="AQ9" s="11">
        <f>I9-F9</f>
        <v>0</v>
      </c>
      <c r="AS9" s="31">
        <f t="shared" ref="AS9" si="14">(1.04*AO9)+(0.79*AQ9)-(0.27*AP9)</f>
        <v>0</v>
      </c>
      <c r="AT9" s="31">
        <f t="shared" ref="AT9" si="15">(1.02*AQ9)-(0.27*AO9)+(0.01*AP9)</f>
        <v>0</v>
      </c>
      <c r="AU9" s="31">
        <f t="shared" ref="AU9" si="16">(1.02*AP9)-(0.08*AO9)-(0.026*AQ9)</f>
        <v>0</v>
      </c>
      <c r="AW9" s="32">
        <f t="shared" ref="AW9" si="17">1000000*AT9/(89.71*1)</f>
        <v>0</v>
      </c>
      <c r="AX9" s="32">
        <f t="shared" ref="AX9" si="18">1000000*AS9/(112.61*1)</f>
        <v>0</v>
      </c>
      <c r="AY9" s="32">
        <f t="shared" ref="AY9" si="19">1000000*AU9/(262*1)</f>
        <v>0</v>
      </c>
      <c r="BA9" s="31">
        <f t="shared" ref="BA9" si="20">1000*((11.85*(H9-F9))-(1.54*(J9-F9))-(0.08*(K9-F9)))</f>
        <v>0</v>
      </c>
    </row>
    <row r="10" spans="1:53" s="31" customFormat="1" ht="14.5" x14ac:dyDescent="0.35">
      <c r="A10" s="30"/>
      <c r="C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14"/>
      <c r="Y10" s="14"/>
      <c r="Z10" s="14"/>
      <c r="AA10" s="14"/>
      <c r="AB10" s="14"/>
      <c r="AC10" s="32"/>
      <c r="AD10" s="32"/>
      <c r="AE10" s="32"/>
      <c r="AG10" s="33"/>
      <c r="AH10" s="33"/>
      <c r="AJ10" s="34"/>
      <c r="AL10" s="32"/>
      <c r="AM10" s="32"/>
      <c r="AO10" s="14"/>
      <c r="AP10" s="14"/>
      <c r="AQ10" s="14"/>
      <c r="AW10" s="32"/>
      <c r="AX10" s="32"/>
      <c r="AY10" s="32"/>
    </row>
    <row r="11" spans="1:53" ht="14.5" x14ac:dyDescent="0.35">
      <c r="A11" t="s">
        <v>67</v>
      </c>
      <c r="B11" s="25">
        <v>43803</v>
      </c>
      <c r="C11">
        <v>500</v>
      </c>
      <c r="D11" s="4">
        <v>6</v>
      </c>
      <c r="E11"/>
      <c r="F11">
        <v>-1E-3</v>
      </c>
      <c r="G11">
        <v>0.246</v>
      </c>
      <c r="H11">
        <v>0.24399999999999999</v>
      </c>
      <c r="I11">
        <v>0.23899999999999999</v>
      </c>
      <c r="J11">
        <v>6.3E-2</v>
      </c>
      <c r="K11">
        <v>0.05</v>
      </c>
      <c r="L11">
        <v>0.219</v>
      </c>
      <c r="M11">
        <v>0.25800000000000001</v>
      </c>
      <c r="N11"/>
      <c r="O11" t="s">
        <v>68</v>
      </c>
      <c r="P11">
        <v>-1E-3</v>
      </c>
      <c r="Q11">
        <v>0.14299999999999999</v>
      </c>
      <c r="R11">
        <v>0.14099999999999999</v>
      </c>
      <c r="S11">
        <v>0.13600000000000001</v>
      </c>
      <c r="T11">
        <v>3.2000000000000001E-2</v>
      </c>
      <c r="U11">
        <v>1.6E-2</v>
      </c>
      <c r="V11">
        <v>0.21299999999999999</v>
      </c>
      <c r="W11">
        <v>0.30399999999999999</v>
      </c>
      <c r="X11" s="14"/>
      <c r="Y11" s="11">
        <f>H11-F11</f>
        <v>0.245</v>
      </c>
      <c r="Z11" s="11">
        <f>Q11-P11</f>
        <v>0.14399999999999999</v>
      </c>
      <c r="AA11" s="11">
        <f t="shared" ref="AA11" si="21">Y11-Z11</f>
        <v>0.10100000000000001</v>
      </c>
      <c r="AB11" s="11"/>
      <c r="AC11" s="12">
        <f t="shared" ref="AC11:AC17" si="22">(1000*28.64*AA11) - AC$6</f>
        <v>2892.6400000000003</v>
      </c>
      <c r="AD11" s="12">
        <f t="shared" ref="AD11:AD17" si="23">(1000*28.64*((1.72*Z11)-Y11))-AD$6</f>
        <v>76.755199999999661</v>
      </c>
      <c r="AE11" s="32">
        <f t="shared" ref="AE11:AE17" si="24">1000*28.64*(1.72*(Z11-Z$6)-(Y11-Y$6))</f>
        <v>76.755199999999661</v>
      </c>
      <c r="AG11" s="5">
        <f>(28.64*AA11*(D11/1000))/(((C11/1000)/1000)*1)</f>
        <v>34.711680000000001</v>
      </c>
      <c r="AH11" s="5">
        <f t="shared" ref="AH11:AH31" si="25">(28.64*(1.72*Z11-Y11)*(D11/1000))/(((C11/1000)/1000)*1)</f>
        <v>0.92106239999999595</v>
      </c>
      <c r="AJ11" s="13">
        <f t="shared" ref="AJ11" si="26">Y11/Z11</f>
        <v>1.7013888888888891</v>
      </c>
      <c r="AL11" s="12"/>
      <c r="AM11" s="12"/>
      <c r="AO11" s="11">
        <f>M11-F11</f>
        <v>0.25900000000000001</v>
      </c>
      <c r="AP11" s="11">
        <f>L11-F11</f>
        <v>0.22</v>
      </c>
      <c r="AQ11" s="11">
        <f>I11-F11</f>
        <v>0.24</v>
      </c>
      <c r="AS11" s="4">
        <f t="shared" ref="AS11" si="27">(1.04*AO11)+(0.79*AQ11)-(0.27*AP11)</f>
        <v>0.39956000000000003</v>
      </c>
      <c r="AT11" s="4">
        <f t="shared" ref="AT11" si="28">(1.02*AQ11)-(0.27*AO11)+(0.01*AP11)</f>
        <v>0.17706999999999998</v>
      </c>
      <c r="AU11" s="4">
        <f t="shared" ref="AU11" si="29">(1.02*AP11)-(0.08*AO11)-(0.026*AQ11)</f>
        <v>0.19744000000000003</v>
      </c>
      <c r="AW11" s="12">
        <f t="shared" ref="AW11" si="30">1000000*AT11/(89.71*1)</f>
        <v>1973.804481105785</v>
      </c>
      <c r="AX11" s="12">
        <f t="shared" ref="AX11" si="31">1000000*AS11/(112.61*1)</f>
        <v>3548.1751176627299</v>
      </c>
      <c r="AY11" s="12">
        <f t="shared" ref="AY11" si="32">1000000*AU11/(262*1)</f>
        <v>753.5877862595421</v>
      </c>
      <c r="BA11" s="4">
        <f t="shared" ref="BA11" si="33">1000*((11.85*(H11-F11))-(1.54*(J11-F11))-(0.08*(K11-F11)))</f>
        <v>2800.6099999999997</v>
      </c>
    </row>
    <row r="12" spans="1:53" ht="14.5" x14ac:dyDescent="0.35">
      <c r="A12" t="s">
        <v>55</v>
      </c>
      <c r="C12">
        <v>500</v>
      </c>
      <c r="D12" s="4">
        <v>6</v>
      </c>
      <c r="E12"/>
      <c r="F12">
        <v>-2E-3</v>
      </c>
      <c r="G12">
        <v>0.245</v>
      </c>
      <c r="H12">
        <v>0.24299999999999999</v>
      </c>
      <c r="I12">
        <v>0.23899999999999999</v>
      </c>
      <c r="J12">
        <v>6.2E-2</v>
      </c>
      <c r="K12">
        <v>4.8000000000000001E-2</v>
      </c>
      <c r="L12">
        <v>0.222</v>
      </c>
      <c r="M12">
        <v>0.254</v>
      </c>
      <c r="N12"/>
      <c r="O12" t="s">
        <v>61</v>
      </c>
      <c r="P12">
        <v>-1E-3</v>
      </c>
      <c r="Q12">
        <v>0.14199999999999999</v>
      </c>
      <c r="R12">
        <v>0.13900000000000001</v>
      </c>
      <c r="S12">
        <v>0.13400000000000001</v>
      </c>
      <c r="T12">
        <v>3.2000000000000001E-2</v>
      </c>
      <c r="U12">
        <v>1.6E-2</v>
      </c>
      <c r="V12">
        <v>0.215</v>
      </c>
      <c r="W12">
        <v>0.29899999999999999</v>
      </c>
      <c r="Y12" s="11">
        <f t="shared" ref="Y12:Y31" si="34">H12-F12</f>
        <v>0.245</v>
      </c>
      <c r="Z12" s="11">
        <f t="shared" ref="Z12:Z31" si="35">Q12-P12</f>
        <v>0.14299999999999999</v>
      </c>
      <c r="AA12" s="11">
        <f t="shared" ref="AA12:AA31" si="36">Y12-Z12</f>
        <v>0.10200000000000001</v>
      </c>
      <c r="AB12" s="11"/>
      <c r="AC12" s="12">
        <f t="shared" si="22"/>
        <v>2921.28</v>
      </c>
      <c r="AD12" s="12">
        <f t="shared" si="23"/>
        <v>27.494399999999676</v>
      </c>
      <c r="AE12" s="32">
        <f t="shared" si="24"/>
        <v>27.494399999999676</v>
      </c>
      <c r="AG12" s="5">
        <f t="shared" ref="AG12:AG31" si="37">(28.64*AA12*(D12/1000))/(((C12/1000)/1000)*1)</f>
        <v>35.055360000000007</v>
      </c>
      <c r="AH12" s="5">
        <f t="shared" si="25"/>
        <v>0.32993279999999608</v>
      </c>
      <c r="AJ12" s="13">
        <f t="shared" ref="AJ12:AJ31" si="38">Y12/Z12</f>
        <v>1.7132867132867133</v>
      </c>
      <c r="AL12" s="12"/>
      <c r="AM12" s="12"/>
      <c r="AO12" s="11">
        <f t="shared" ref="AO12:AO31" si="39">M12-F12</f>
        <v>0.25600000000000001</v>
      </c>
      <c r="AP12" s="11">
        <f t="shared" ref="AP12:AP31" si="40">L12-F12</f>
        <v>0.224</v>
      </c>
      <c r="AQ12" s="11">
        <f t="shared" ref="AQ12:AQ31" si="41">I12-F12</f>
        <v>0.24099999999999999</v>
      </c>
      <c r="AS12" s="4">
        <f t="shared" si="0"/>
        <v>0.39615</v>
      </c>
      <c r="AT12" s="4">
        <f t="shared" si="1"/>
        <v>0.17893999999999996</v>
      </c>
      <c r="AU12" s="4">
        <f t="shared" si="2"/>
        <v>0.20173400000000002</v>
      </c>
      <c r="AW12" s="12">
        <f t="shared" si="3"/>
        <v>1994.64942592799</v>
      </c>
      <c r="AX12" s="12">
        <f t="shared" si="4"/>
        <v>3517.8936151318712</v>
      </c>
      <c r="AY12" s="12">
        <f t="shared" si="5"/>
        <v>769.97709923664138</v>
      </c>
      <c r="BA12" s="4">
        <f t="shared" ref="BA12:BA31" si="42">1000*((11.85*(H12-F12))-(1.54*(J12-F12))-(0.08*(K12-F12)))</f>
        <v>2800.69</v>
      </c>
    </row>
    <row r="13" spans="1:53" ht="14.5" x14ac:dyDescent="0.35">
      <c r="A13" t="s">
        <v>69</v>
      </c>
      <c r="B13" s="25"/>
      <c r="C13">
        <v>500</v>
      </c>
      <c r="D13" s="4">
        <v>6</v>
      </c>
      <c r="E13"/>
      <c r="F13">
        <v>-1E-3</v>
      </c>
      <c r="G13">
        <v>0.24199999999999999</v>
      </c>
      <c r="H13">
        <v>0.24</v>
      </c>
      <c r="I13">
        <v>0.23499999999999999</v>
      </c>
      <c r="J13">
        <v>6.2E-2</v>
      </c>
      <c r="K13">
        <v>4.8000000000000001E-2</v>
      </c>
      <c r="L13">
        <v>0.22</v>
      </c>
      <c r="M13">
        <v>0.254</v>
      </c>
      <c r="N13"/>
      <c r="O13" t="s">
        <v>71</v>
      </c>
      <c r="P13">
        <v>-1E-3</v>
      </c>
      <c r="Q13">
        <v>0.14000000000000001</v>
      </c>
      <c r="R13">
        <v>0.13800000000000001</v>
      </c>
      <c r="S13">
        <v>0.13300000000000001</v>
      </c>
      <c r="T13">
        <v>3.2000000000000001E-2</v>
      </c>
      <c r="U13">
        <v>1.6E-2</v>
      </c>
      <c r="V13">
        <v>0.21299999999999999</v>
      </c>
      <c r="W13">
        <v>0.29799999999999999</v>
      </c>
      <c r="Y13" s="11">
        <f t="shared" si="34"/>
        <v>0.24099999999999999</v>
      </c>
      <c r="Z13" s="11">
        <f t="shared" si="35"/>
        <v>0.14100000000000001</v>
      </c>
      <c r="AA13" s="11">
        <f t="shared" si="36"/>
        <v>9.9999999999999978E-2</v>
      </c>
      <c r="AB13" s="11"/>
      <c r="AC13" s="12">
        <f t="shared" si="22"/>
        <v>2863.9999999999995</v>
      </c>
      <c r="AD13" s="12">
        <f t="shared" si="23"/>
        <v>43.532800000000613</v>
      </c>
      <c r="AE13" s="32">
        <f t="shared" si="24"/>
        <v>43.532800000000613</v>
      </c>
      <c r="AG13" s="5">
        <f t="shared" si="37"/>
        <v>34.367999999999995</v>
      </c>
      <c r="AH13" s="5">
        <f t="shared" si="25"/>
        <v>0.52239360000000734</v>
      </c>
      <c r="AJ13" s="13">
        <f t="shared" si="38"/>
        <v>1.7092198581560281</v>
      </c>
      <c r="AL13" s="12"/>
      <c r="AM13" s="12"/>
      <c r="AO13" s="11">
        <f t="shared" si="39"/>
        <v>0.255</v>
      </c>
      <c r="AP13" s="11">
        <f t="shared" si="40"/>
        <v>0.221</v>
      </c>
      <c r="AQ13" s="11">
        <f t="shared" si="41"/>
        <v>0.23599999999999999</v>
      </c>
      <c r="AS13" s="4">
        <f t="shared" si="0"/>
        <v>0.39196999999999999</v>
      </c>
      <c r="AT13" s="4">
        <f t="shared" si="1"/>
        <v>0.17407999999999996</v>
      </c>
      <c r="AU13" s="4">
        <f t="shared" si="2"/>
        <v>0.19888400000000001</v>
      </c>
      <c r="AW13" s="12">
        <f t="shared" si="3"/>
        <v>1940.4748634488906</v>
      </c>
      <c r="AX13" s="12">
        <f t="shared" si="4"/>
        <v>3480.7743539650119</v>
      </c>
      <c r="AY13" s="12">
        <f t="shared" si="5"/>
        <v>759.09923664122141</v>
      </c>
      <c r="BA13" s="4">
        <f t="shared" si="42"/>
        <v>2754.91</v>
      </c>
    </row>
    <row r="14" spans="1:53" ht="14.5" x14ac:dyDescent="0.35">
      <c r="A14" t="s">
        <v>56</v>
      </c>
      <c r="C14">
        <v>500</v>
      </c>
      <c r="D14" s="4">
        <v>6</v>
      </c>
      <c r="F14">
        <v>-2E-3</v>
      </c>
      <c r="G14">
        <v>0.193</v>
      </c>
      <c r="H14">
        <v>0.192</v>
      </c>
      <c r="I14">
        <v>0.188</v>
      </c>
      <c r="J14">
        <v>4.9000000000000002E-2</v>
      </c>
      <c r="K14">
        <v>3.7999999999999999E-2</v>
      </c>
      <c r="L14">
        <v>0.17299999999999999</v>
      </c>
      <c r="M14">
        <v>0.20399999999999999</v>
      </c>
      <c r="N14"/>
      <c r="O14" t="s">
        <v>62</v>
      </c>
      <c r="P14">
        <v>-1E-3</v>
      </c>
      <c r="Q14">
        <v>0.112</v>
      </c>
      <c r="R14">
        <v>0.11</v>
      </c>
      <c r="S14">
        <v>0.106</v>
      </c>
      <c r="T14">
        <v>2.5000000000000001E-2</v>
      </c>
      <c r="U14">
        <v>1.2E-2</v>
      </c>
      <c r="V14">
        <v>0.16700000000000001</v>
      </c>
      <c r="W14">
        <v>0.23899999999999999</v>
      </c>
      <c r="Y14" s="11">
        <f t="shared" si="34"/>
        <v>0.19400000000000001</v>
      </c>
      <c r="Z14" s="11">
        <f t="shared" si="35"/>
        <v>0.113</v>
      </c>
      <c r="AA14" s="11">
        <f t="shared" si="36"/>
        <v>8.1000000000000003E-2</v>
      </c>
      <c r="AB14" s="11"/>
      <c r="AC14" s="12">
        <f t="shared" si="22"/>
        <v>2319.84</v>
      </c>
      <c r="AD14" s="12">
        <f t="shared" si="23"/>
        <v>10.310399999999976</v>
      </c>
      <c r="AE14" s="32">
        <f t="shared" si="24"/>
        <v>10.310399999999976</v>
      </c>
      <c r="AG14" s="5">
        <f t="shared" si="37"/>
        <v>27.838080000000001</v>
      </c>
      <c r="AH14" s="5">
        <f t="shared" si="25"/>
        <v>0.12372479999999975</v>
      </c>
      <c r="AJ14" s="13">
        <f t="shared" si="38"/>
        <v>1.7168141592920354</v>
      </c>
      <c r="AL14" s="12"/>
      <c r="AM14" s="12"/>
      <c r="AO14" s="11">
        <f t="shared" si="39"/>
        <v>0.20599999999999999</v>
      </c>
      <c r="AP14" s="11">
        <f t="shared" si="40"/>
        <v>0.17499999999999999</v>
      </c>
      <c r="AQ14" s="11">
        <f t="shared" si="41"/>
        <v>0.19</v>
      </c>
      <c r="AS14" s="4">
        <f t="shared" si="0"/>
        <v>0.31708999999999998</v>
      </c>
      <c r="AT14" s="4">
        <f t="shared" si="1"/>
        <v>0.13993</v>
      </c>
      <c r="AU14" s="4">
        <f t="shared" si="2"/>
        <v>0.15708</v>
      </c>
      <c r="AW14" s="12">
        <f t="shared" si="3"/>
        <v>1559.8038122840264</v>
      </c>
      <c r="AX14" s="12">
        <f t="shared" si="4"/>
        <v>2815.8245271290293</v>
      </c>
      <c r="AY14" s="12">
        <f t="shared" si="5"/>
        <v>599.5419847328244</v>
      </c>
      <c r="BA14" s="4">
        <f t="shared" si="42"/>
        <v>2217.1600000000003</v>
      </c>
    </row>
    <row r="15" spans="1:53" ht="14.5" x14ac:dyDescent="0.35">
      <c r="A15" t="s">
        <v>57</v>
      </c>
      <c r="C15">
        <v>500</v>
      </c>
      <c r="D15" s="4">
        <v>6</v>
      </c>
      <c r="E15"/>
      <c r="F15">
        <v>-3.0000000000000001E-3</v>
      </c>
      <c r="G15">
        <v>0.215</v>
      </c>
      <c r="H15">
        <v>0.21299999999999999</v>
      </c>
      <c r="I15">
        <v>0.20899999999999999</v>
      </c>
      <c r="J15">
        <v>5.3999999999999999E-2</v>
      </c>
      <c r="K15">
        <v>4.1000000000000002E-2</v>
      </c>
      <c r="L15">
        <v>0.19400000000000001</v>
      </c>
      <c r="M15">
        <v>0.224</v>
      </c>
      <c r="N15"/>
      <c r="O15" t="s">
        <v>63</v>
      </c>
      <c r="P15">
        <v>-3.0000000000000001E-3</v>
      </c>
      <c r="Q15">
        <v>0.124</v>
      </c>
      <c r="R15">
        <v>0.121</v>
      </c>
      <c r="S15">
        <v>0.11700000000000001</v>
      </c>
      <c r="T15">
        <v>2.5999999999999999E-2</v>
      </c>
      <c r="U15">
        <v>1.2E-2</v>
      </c>
      <c r="V15">
        <v>0.189</v>
      </c>
      <c r="W15">
        <v>0.26400000000000001</v>
      </c>
      <c r="Y15" s="11">
        <f t="shared" si="34"/>
        <v>0.216</v>
      </c>
      <c r="Z15" s="11">
        <f t="shared" si="35"/>
        <v>0.127</v>
      </c>
      <c r="AA15" s="11">
        <f t="shared" si="36"/>
        <v>8.8999999999999996E-2</v>
      </c>
      <c r="AB15" s="11"/>
      <c r="AC15" s="12">
        <f t="shared" si="22"/>
        <v>2548.96</v>
      </c>
      <c r="AD15" s="12">
        <f t="shared" si="23"/>
        <v>69.881599999999935</v>
      </c>
      <c r="AE15" s="32">
        <f t="shared" si="24"/>
        <v>69.881599999999935</v>
      </c>
      <c r="AG15" s="5">
        <f t="shared" si="37"/>
        <v>30.587520000000001</v>
      </c>
      <c r="AH15" s="5">
        <f t="shared" si="25"/>
        <v>0.83857919999999919</v>
      </c>
      <c r="AJ15" s="13">
        <f t="shared" si="38"/>
        <v>1.700787401574803</v>
      </c>
      <c r="AL15" s="12"/>
      <c r="AM15" s="12"/>
      <c r="AO15" s="11">
        <f t="shared" si="39"/>
        <v>0.22700000000000001</v>
      </c>
      <c r="AP15" s="11">
        <f t="shared" si="40"/>
        <v>0.19700000000000001</v>
      </c>
      <c r="AQ15" s="11">
        <f t="shared" si="41"/>
        <v>0.21199999999999999</v>
      </c>
      <c r="AS15" s="4">
        <f t="shared" si="0"/>
        <v>0.35037000000000001</v>
      </c>
      <c r="AT15" s="4">
        <f t="shared" si="1"/>
        <v>0.15691999999999998</v>
      </c>
      <c r="AU15" s="4">
        <f t="shared" si="2"/>
        <v>0.17726800000000001</v>
      </c>
      <c r="AW15" s="12">
        <f t="shared" si="3"/>
        <v>1749.1918403745399</v>
      </c>
      <c r="AX15" s="12">
        <f t="shared" si="4"/>
        <v>3111.3577835005772</v>
      </c>
      <c r="AY15" s="12">
        <f t="shared" si="5"/>
        <v>676.59541984732823</v>
      </c>
      <c r="BA15" s="4">
        <f t="shared" si="42"/>
        <v>2468.3000000000002</v>
      </c>
    </row>
    <row r="16" spans="1:53" ht="14.5" x14ac:dyDescent="0.35">
      <c r="A16" t="s">
        <v>70</v>
      </c>
      <c r="C16">
        <v>500</v>
      </c>
      <c r="D16" s="4">
        <v>6</v>
      </c>
      <c r="E16"/>
      <c r="F16">
        <v>-2E-3</v>
      </c>
      <c r="G16">
        <v>0.22700000000000001</v>
      </c>
      <c r="H16">
        <v>0.22500000000000001</v>
      </c>
      <c r="I16">
        <v>0.221</v>
      </c>
      <c r="J16">
        <v>5.8000000000000003E-2</v>
      </c>
      <c r="K16">
        <v>4.3999999999999997E-2</v>
      </c>
      <c r="L16">
        <v>0.184</v>
      </c>
      <c r="M16">
        <v>0.23699999999999999</v>
      </c>
      <c r="N16"/>
      <c r="O16" t="s">
        <v>72</v>
      </c>
      <c r="P16">
        <v>-2E-3</v>
      </c>
      <c r="Q16">
        <v>0.13100000000000001</v>
      </c>
      <c r="R16">
        <v>0.128</v>
      </c>
      <c r="S16">
        <v>0.124</v>
      </c>
      <c r="T16">
        <v>2.9000000000000001E-2</v>
      </c>
      <c r="U16">
        <v>1.4E-2</v>
      </c>
      <c r="V16">
        <v>0.17899999999999999</v>
      </c>
      <c r="W16">
        <v>0.27800000000000002</v>
      </c>
      <c r="Y16" s="11">
        <f t="shared" si="34"/>
        <v>0.22700000000000001</v>
      </c>
      <c r="Z16" s="11">
        <f t="shared" si="35"/>
        <v>0.13300000000000001</v>
      </c>
      <c r="AA16" s="11">
        <f t="shared" si="36"/>
        <v>9.4E-2</v>
      </c>
      <c r="AB16" s="11"/>
      <c r="AC16" s="12">
        <f t="shared" si="22"/>
        <v>2692.16</v>
      </c>
      <c r="AD16" s="12">
        <f t="shared" si="23"/>
        <v>50.406400000000332</v>
      </c>
      <c r="AE16" s="32">
        <f t="shared" si="24"/>
        <v>50.406400000000332</v>
      </c>
      <c r="AG16" s="5">
        <f t="shared" si="37"/>
        <v>32.30592</v>
      </c>
      <c r="AH16" s="5">
        <f t="shared" si="25"/>
        <v>0.60487680000000399</v>
      </c>
      <c r="AJ16" s="13">
        <f t="shared" si="38"/>
        <v>1.7067669172932332</v>
      </c>
      <c r="AL16" s="12"/>
      <c r="AM16" s="12"/>
      <c r="AO16" s="11">
        <f t="shared" si="39"/>
        <v>0.23899999999999999</v>
      </c>
      <c r="AP16" s="11">
        <f t="shared" si="40"/>
        <v>0.186</v>
      </c>
      <c r="AQ16" s="11">
        <f t="shared" si="41"/>
        <v>0.223</v>
      </c>
      <c r="AS16" s="4">
        <f t="shared" si="0"/>
        <v>0.37451000000000007</v>
      </c>
      <c r="AT16" s="4">
        <f t="shared" si="1"/>
        <v>0.16478999999999999</v>
      </c>
      <c r="AU16" s="4">
        <f t="shared" si="2"/>
        <v>0.164802</v>
      </c>
      <c r="AW16" s="12">
        <f t="shared" si="3"/>
        <v>1836.9189610968679</v>
      </c>
      <c r="AX16" s="12">
        <f t="shared" si="4"/>
        <v>3325.7259568421991</v>
      </c>
      <c r="AY16" s="12">
        <f t="shared" si="5"/>
        <v>629.01526717557249</v>
      </c>
      <c r="BA16" s="4">
        <f t="shared" si="42"/>
        <v>2593.87</v>
      </c>
    </row>
    <row r="17" spans="1:53" ht="14.5" x14ac:dyDescent="0.35">
      <c r="A17" t="s">
        <v>58</v>
      </c>
      <c r="C17">
        <v>500</v>
      </c>
      <c r="D17" s="4">
        <v>6</v>
      </c>
      <c r="E17"/>
      <c r="F17">
        <v>-3.0000000000000001E-3</v>
      </c>
      <c r="G17">
        <v>0.248</v>
      </c>
      <c r="H17">
        <v>0.247</v>
      </c>
      <c r="I17">
        <v>0.24199999999999999</v>
      </c>
      <c r="J17">
        <v>6.3E-2</v>
      </c>
      <c r="K17">
        <v>4.8000000000000001E-2</v>
      </c>
      <c r="L17">
        <v>0.224</v>
      </c>
      <c r="M17">
        <v>0.25900000000000001</v>
      </c>
      <c r="N17"/>
      <c r="O17" t="s">
        <v>64</v>
      </c>
      <c r="P17">
        <v>-2E-3</v>
      </c>
      <c r="Q17">
        <v>0.14399999999999999</v>
      </c>
      <c r="R17">
        <v>0.14099999999999999</v>
      </c>
      <c r="S17">
        <v>0.13700000000000001</v>
      </c>
      <c r="T17">
        <v>3.2000000000000001E-2</v>
      </c>
      <c r="U17">
        <v>1.4999999999999999E-2</v>
      </c>
      <c r="V17">
        <v>0.218</v>
      </c>
      <c r="W17">
        <v>0.30599999999999999</v>
      </c>
      <c r="Y17" s="11">
        <f t="shared" si="34"/>
        <v>0.25</v>
      </c>
      <c r="Z17" s="11">
        <f t="shared" si="35"/>
        <v>0.14599999999999999</v>
      </c>
      <c r="AA17" s="11">
        <f t="shared" si="36"/>
        <v>0.10400000000000001</v>
      </c>
      <c r="AB17" s="11"/>
      <c r="AC17" s="12">
        <f t="shared" si="22"/>
        <v>2978.5600000000004</v>
      </c>
      <c r="AD17" s="12">
        <f t="shared" si="23"/>
        <v>32.076799999998691</v>
      </c>
      <c r="AE17" s="32">
        <f t="shared" si="24"/>
        <v>32.076799999998691</v>
      </c>
      <c r="AG17" s="5">
        <f t="shared" si="37"/>
        <v>35.742720000000006</v>
      </c>
      <c r="AH17" s="5">
        <f t="shared" si="25"/>
        <v>0.38492159999998432</v>
      </c>
      <c r="AJ17" s="13">
        <f t="shared" si="38"/>
        <v>1.7123287671232879</v>
      </c>
      <c r="AL17" s="12"/>
      <c r="AM17" s="12"/>
      <c r="AO17" s="11">
        <f t="shared" si="39"/>
        <v>0.26200000000000001</v>
      </c>
      <c r="AP17" s="11">
        <f t="shared" si="40"/>
        <v>0.22700000000000001</v>
      </c>
      <c r="AQ17" s="11">
        <f t="shared" si="41"/>
        <v>0.245</v>
      </c>
      <c r="AS17" s="4">
        <f t="shared" si="0"/>
        <v>0.40473999999999999</v>
      </c>
      <c r="AT17" s="4">
        <f t="shared" si="1"/>
        <v>0.18142999999999998</v>
      </c>
      <c r="AU17" s="4">
        <f t="shared" si="2"/>
        <v>0.20421000000000003</v>
      </c>
      <c r="AW17" s="12">
        <f t="shared" si="3"/>
        <v>2022.4055289265409</v>
      </c>
      <c r="AX17" s="12">
        <f t="shared" si="4"/>
        <v>3594.1745848503688</v>
      </c>
      <c r="AY17" s="12">
        <f t="shared" si="5"/>
        <v>779.42748091603062</v>
      </c>
      <c r="BA17" s="4">
        <f t="shared" si="42"/>
        <v>2856.7799999999997</v>
      </c>
    </row>
    <row r="18" spans="1:53" ht="14.5" x14ac:dyDescent="0.35">
      <c r="A18" t="s">
        <v>59</v>
      </c>
      <c r="C18">
        <v>500</v>
      </c>
      <c r="D18" s="4">
        <v>6</v>
      </c>
      <c r="E18"/>
      <c r="F18">
        <v>-1E-3</v>
      </c>
      <c r="G18">
        <v>0.25800000000000001</v>
      </c>
      <c r="H18">
        <v>0.25700000000000001</v>
      </c>
      <c r="I18">
        <v>0.252</v>
      </c>
      <c r="J18">
        <v>6.7000000000000004E-2</v>
      </c>
      <c r="K18">
        <v>5.1999999999999998E-2</v>
      </c>
      <c r="L18">
        <v>0.23</v>
      </c>
      <c r="M18">
        <v>0.26800000000000002</v>
      </c>
      <c r="N18"/>
      <c r="O18" t="s">
        <v>65</v>
      </c>
      <c r="P18">
        <v>-2E-3</v>
      </c>
      <c r="Q18">
        <v>0.14899999999999999</v>
      </c>
      <c r="R18">
        <v>0.14599999999999999</v>
      </c>
      <c r="S18">
        <v>0.14199999999999999</v>
      </c>
      <c r="T18">
        <v>3.3000000000000002E-2</v>
      </c>
      <c r="U18">
        <v>1.6E-2</v>
      </c>
      <c r="V18">
        <v>0.223</v>
      </c>
      <c r="W18">
        <v>0.315</v>
      </c>
      <c r="Y18" s="11">
        <f t="shared" si="34"/>
        <v>0.25800000000000001</v>
      </c>
      <c r="Z18" s="11">
        <f t="shared" si="35"/>
        <v>0.151</v>
      </c>
      <c r="AA18" s="11">
        <f t="shared" si="36"/>
        <v>0.10700000000000001</v>
      </c>
      <c r="AB18" s="11"/>
      <c r="AC18" s="12">
        <f t="shared" ref="AC18:AC19" si="43">(1000*28.64*AA18) - AC$6</f>
        <v>3064.4800000000005</v>
      </c>
      <c r="AD18" s="12">
        <f t="shared" ref="AD18:AD19" si="44">(1000*28.64*((1.72*Z18)-Y18))-AD$6</f>
        <v>49.260799999999982</v>
      </c>
      <c r="AE18" s="32">
        <f t="shared" ref="AE18:AE19" si="45">1000*28.64*(1.72*(Z18-Z$6)-(Y18-Y$6))</f>
        <v>49.260799999999982</v>
      </c>
      <c r="AG18" s="5">
        <f t="shared" ref="AG18:AG19" si="46">(28.64*AA18*(D18/1000))/(((C18/1000)/1000)*1)</f>
        <v>36.77376000000001</v>
      </c>
      <c r="AH18" s="5">
        <f t="shared" ref="AH18:AH19" si="47">(28.64*(1.72*Z18-Y18)*(D18/1000))/(((C18/1000)/1000)*1)</f>
        <v>0.59112959999999981</v>
      </c>
      <c r="AJ18" s="13">
        <f t="shared" si="38"/>
        <v>1.7086092715231789</v>
      </c>
      <c r="AL18" s="12"/>
      <c r="AM18" s="12"/>
      <c r="AO18" s="11"/>
      <c r="AP18" s="11"/>
      <c r="AQ18" s="11"/>
      <c r="AW18" s="12"/>
      <c r="AX18" s="12"/>
      <c r="AY18" s="12"/>
    </row>
    <row r="19" spans="1:53" ht="14.5" x14ac:dyDescent="0.35">
      <c r="A19" t="s">
        <v>60</v>
      </c>
      <c r="C19">
        <v>500</v>
      </c>
      <c r="D19" s="4">
        <v>6</v>
      </c>
      <c r="E19"/>
      <c r="F19">
        <v>-3.0000000000000001E-3</v>
      </c>
      <c r="G19">
        <v>0.245</v>
      </c>
      <c r="H19">
        <v>0.24399999999999999</v>
      </c>
      <c r="I19">
        <v>0.23899999999999999</v>
      </c>
      <c r="J19">
        <v>6.2E-2</v>
      </c>
      <c r="K19">
        <v>4.8000000000000001E-2</v>
      </c>
      <c r="L19">
        <v>0.20799999999999999</v>
      </c>
      <c r="M19">
        <v>0.25700000000000001</v>
      </c>
      <c r="N19"/>
      <c r="O19" t="s">
        <v>66</v>
      </c>
      <c r="P19">
        <v>-2E-3</v>
      </c>
      <c r="Q19">
        <v>0.14299999999999999</v>
      </c>
      <c r="R19">
        <v>0.14000000000000001</v>
      </c>
      <c r="S19">
        <v>0.13600000000000001</v>
      </c>
      <c r="T19">
        <v>3.2000000000000001E-2</v>
      </c>
      <c r="U19">
        <v>1.6E-2</v>
      </c>
      <c r="V19">
        <v>0.20300000000000001</v>
      </c>
      <c r="W19">
        <v>0.30299999999999999</v>
      </c>
      <c r="Y19" s="11">
        <f t="shared" si="34"/>
        <v>0.247</v>
      </c>
      <c r="Z19" s="11">
        <f t="shared" si="35"/>
        <v>0.14499999999999999</v>
      </c>
      <c r="AA19" s="11">
        <f t="shared" si="36"/>
        <v>0.10200000000000001</v>
      </c>
      <c r="AB19" s="11"/>
      <c r="AC19" s="12">
        <f t="shared" si="43"/>
        <v>2921.28</v>
      </c>
      <c r="AD19" s="12">
        <f t="shared" si="44"/>
        <v>68.735999999999578</v>
      </c>
      <c r="AE19" s="32">
        <f t="shared" si="45"/>
        <v>68.735999999999578</v>
      </c>
      <c r="AG19" s="5">
        <f t="shared" si="46"/>
        <v>35.055360000000007</v>
      </c>
      <c r="AH19" s="5">
        <f t="shared" si="47"/>
        <v>0.82483199999999501</v>
      </c>
      <c r="AJ19" s="13">
        <f t="shared" si="38"/>
        <v>1.703448275862069</v>
      </c>
      <c r="AL19" s="12"/>
      <c r="AM19" s="12"/>
      <c r="AO19" s="11"/>
      <c r="AP19" s="11"/>
      <c r="AQ19" s="11"/>
      <c r="AW19" s="12"/>
      <c r="AX19" s="12"/>
      <c r="AY19" s="12"/>
    </row>
    <row r="20" spans="1:53" ht="14.5" x14ac:dyDescent="0.35">
      <c r="A20"/>
      <c r="C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Y20" s="11"/>
      <c r="Z20" s="11"/>
      <c r="AA20" s="11"/>
      <c r="AB20" s="11"/>
      <c r="AC20" s="12"/>
      <c r="AD20" s="12"/>
      <c r="AE20" s="32"/>
      <c r="AJ20" s="13"/>
      <c r="AL20" s="12"/>
      <c r="AM20" s="12"/>
      <c r="AO20" s="11"/>
      <c r="AP20" s="11"/>
      <c r="AQ20" s="11"/>
      <c r="AW20" s="12"/>
      <c r="AX20" s="12"/>
      <c r="AY20" s="12"/>
    </row>
    <row r="21" spans="1:53" ht="14.5" x14ac:dyDescent="0.35">
      <c r="A21"/>
      <c r="C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Y21" s="11"/>
      <c r="Z21" s="11"/>
      <c r="AA21" s="11"/>
      <c r="AB21" s="11"/>
      <c r="AC21" s="12"/>
      <c r="AD21" s="12"/>
      <c r="AE21" s="32"/>
      <c r="AJ21" s="13"/>
      <c r="AL21" s="12"/>
      <c r="AM21" s="12"/>
      <c r="AO21" s="11"/>
      <c r="AP21" s="11"/>
      <c r="AQ21" s="11"/>
      <c r="AW21" s="12"/>
      <c r="AX21" s="12"/>
      <c r="AY21" s="12"/>
    </row>
    <row r="22" spans="1:53" ht="14.5" x14ac:dyDescent="0.35">
      <c r="A22"/>
      <c r="C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Y22" s="11"/>
      <c r="Z22" s="11"/>
      <c r="AA22" s="11"/>
      <c r="AB22" s="11"/>
      <c r="AC22" s="12"/>
      <c r="AD22" s="12"/>
      <c r="AE22" s="32"/>
      <c r="AJ22" s="13"/>
      <c r="AL22" s="12"/>
      <c r="AM22" s="12"/>
      <c r="AO22" s="11"/>
      <c r="AP22" s="11"/>
      <c r="AQ22" s="11"/>
      <c r="AW22" s="12"/>
      <c r="AX22" s="12"/>
      <c r="AY22" s="12"/>
    </row>
    <row r="23" spans="1:53" ht="14.5" x14ac:dyDescent="0.35">
      <c r="A23"/>
      <c r="C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Y23" s="11"/>
      <c r="Z23" s="11"/>
      <c r="AA23" s="11"/>
      <c r="AB23" s="11"/>
      <c r="AC23" s="12"/>
      <c r="AD23" s="12"/>
      <c r="AE23" s="32"/>
      <c r="AJ23" s="13"/>
      <c r="AL23" s="12"/>
      <c r="AM23" s="12"/>
      <c r="AO23" s="11"/>
      <c r="AP23" s="11"/>
      <c r="AQ23" s="11"/>
      <c r="AW23" s="12"/>
      <c r="AX23" s="12"/>
      <c r="AY23" s="12"/>
    </row>
    <row r="24" spans="1:53" ht="14.5" x14ac:dyDescent="0.35">
      <c r="A24"/>
      <c r="C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Y24" s="11"/>
      <c r="Z24" s="11"/>
      <c r="AA24" s="11"/>
      <c r="AB24" s="11"/>
      <c r="AC24" s="12"/>
      <c r="AD24" s="12"/>
      <c r="AE24" s="32"/>
      <c r="AJ24" s="13"/>
      <c r="AL24" s="12"/>
      <c r="AM24" s="12"/>
      <c r="AO24" s="11"/>
      <c r="AP24" s="11"/>
      <c r="AQ24" s="11"/>
      <c r="AW24" s="12"/>
      <c r="AX24" s="12"/>
      <c r="AY24" s="12"/>
    </row>
    <row r="25" spans="1:53" ht="14.5" x14ac:dyDescent="0.35">
      <c r="A25"/>
      <c r="C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Y25" s="11"/>
      <c r="Z25" s="11"/>
      <c r="AA25" s="11"/>
      <c r="AB25" s="11"/>
      <c r="AC25" s="12"/>
      <c r="AD25" s="12"/>
      <c r="AE25" s="32"/>
      <c r="AJ25" s="13"/>
      <c r="AL25" s="12"/>
      <c r="AM25" s="12"/>
      <c r="AO25" s="11"/>
      <c r="AP25" s="11"/>
      <c r="AQ25" s="11"/>
      <c r="AW25" s="12"/>
      <c r="AX25" s="12"/>
      <c r="AY25" s="12"/>
    </row>
    <row r="26" spans="1:53" ht="14.5" x14ac:dyDescent="0.35">
      <c r="A26"/>
      <c r="C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Y26" s="11"/>
      <c r="Z26" s="11"/>
      <c r="AA26" s="11"/>
      <c r="AB26" s="11"/>
      <c r="AC26" s="12"/>
      <c r="AD26" s="12"/>
      <c r="AE26" s="32"/>
      <c r="AJ26" s="13"/>
      <c r="AL26" s="12"/>
      <c r="AM26" s="12"/>
      <c r="AO26" s="11"/>
      <c r="AP26" s="11"/>
      <c r="AQ26" s="11"/>
      <c r="AW26" s="12"/>
      <c r="AX26" s="12"/>
      <c r="AY26" s="12"/>
    </row>
    <row r="27" spans="1:53" ht="14.5" x14ac:dyDescent="0.35">
      <c r="A27"/>
      <c r="C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Y27" s="11"/>
      <c r="Z27" s="11"/>
      <c r="AA27" s="11"/>
      <c r="AB27" s="11"/>
      <c r="AC27" s="12"/>
      <c r="AD27" s="12"/>
      <c r="AE27" s="32"/>
      <c r="AJ27" s="13"/>
      <c r="AL27" s="12"/>
      <c r="AM27" s="12"/>
      <c r="AO27" s="11"/>
      <c r="AP27" s="11"/>
      <c r="AQ27" s="11"/>
      <c r="AW27" s="12"/>
      <c r="AX27" s="12"/>
      <c r="AY27" s="12"/>
    </row>
    <row r="28" spans="1:53" ht="14.5" x14ac:dyDescent="0.35">
      <c r="A28"/>
      <c r="C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Y28" s="11"/>
      <c r="Z28" s="11"/>
      <c r="AA28" s="11"/>
      <c r="AB28" s="11"/>
      <c r="AC28" s="12"/>
      <c r="AD28" s="12"/>
      <c r="AE28" s="32"/>
      <c r="AJ28" s="13"/>
      <c r="AL28" s="12"/>
      <c r="AM28" s="12"/>
      <c r="AO28" s="11"/>
      <c r="AP28" s="11"/>
      <c r="AQ28" s="11"/>
      <c r="AW28" s="12"/>
      <c r="AX28" s="12"/>
      <c r="AY28" s="12"/>
    </row>
    <row r="29" spans="1:53" ht="14.5" x14ac:dyDescent="0.35">
      <c r="A29"/>
      <c r="C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Y29" s="11"/>
      <c r="Z29" s="11"/>
      <c r="AA29" s="11"/>
      <c r="AB29" s="11"/>
      <c r="AC29" s="12"/>
      <c r="AD29" s="12"/>
      <c r="AE29" s="32"/>
      <c r="AJ29" s="13"/>
      <c r="AL29" s="12"/>
      <c r="AM29" s="12"/>
      <c r="AO29" s="11"/>
      <c r="AP29" s="11"/>
      <c r="AQ29" s="11"/>
      <c r="AW29" s="12"/>
      <c r="AX29" s="12"/>
      <c r="AY29" s="12"/>
    </row>
    <row r="30" spans="1:53" ht="14.5" x14ac:dyDescent="0.35">
      <c r="A30"/>
      <c r="C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Y30" s="11">
        <f t="shared" si="34"/>
        <v>0</v>
      </c>
      <c r="Z30" s="11">
        <f t="shared" si="35"/>
        <v>0</v>
      </c>
      <c r="AA30" s="11">
        <f t="shared" si="36"/>
        <v>0</v>
      </c>
      <c r="AB30" s="11"/>
      <c r="AC30" s="12">
        <f>(1000*28.64*AA30) - AC$6</f>
        <v>0</v>
      </c>
      <c r="AD30" s="12">
        <f>(1000*28.64*((1.72*Z30)-Y30))-AD$6</f>
        <v>0</v>
      </c>
      <c r="AE30" s="32">
        <f>1000*28.64*(1.72*(Z30-Z$6)-(Y30-Y$6))</f>
        <v>0</v>
      </c>
      <c r="AG30" s="5" t="e">
        <f t="shared" si="37"/>
        <v>#DIV/0!</v>
      </c>
      <c r="AH30" s="5" t="e">
        <f t="shared" si="25"/>
        <v>#DIV/0!</v>
      </c>
      <c r="AJ30" s="13" t="e">
        <f t="shared" si="38"/>
        <v>#DIV/0!</v>
      </c>
      <c r="AL30" s="12"/>
      <c r="AM30" s="12"/>
      <c r="AO30" s="11">
        <f t="shared" si="39"/>
        <v>0</v>
      </c>
      <c r="AP30" s="11">
        <f t="shared" si="40"/>
        <v>0</v>
      </c>
      <c r="AQ30" s="11">
        <f t="shared" si="41"/>
        <v>0</v>
      </c>
      <c r="AS30" s="4">
        <f t="shared" si="0"/>
        <v>0</v>
      </c>
      <c r="AT30" s="4">
        <f t="shared" si="1"/>
        <v>0</v>
      </c>
      <c r="AU30" s="4">
        <f t="shared" si="2"/>
        <v>0</v>
      </c>
      <c r="AW30" s="12">
        <f t="shared" si="3"/>
        <v>0</v>
      </c>
      <c r="AX30" s="12">
        <f t="shared" si="4"/>
        <v>0</v>
      </c>
      <c r="AY30" s="12">
        <f t="shared" si="5"/>
        <v>0</v>
      </c>
      <c r="BA30" s="4">
        <f t="shared" si="42"/>
        <v>0</v>
      </c>
    </row>
    <row r="31" spans="1:53" ht="14.5" x14ac:dyDescent="0.35">
      <c r="A31"/>
      <c r="C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Y31" s="11">
        <f t="shared" si="34"/>
        <v>0</v>
      </c>
      <c r="Z31" s="11">
        <f t="shared" si="35"/>
        <v>0</v>
      </c>
      <c r="AA31" s="11">
        <f t="shared" si="36"/>
        <v>0</v>
      </c>
      <c r="AB31" s="11"/>
      <c r="AC31" s="12">
        <f>(1000*28.64*AA31) - AC$6</f>
        <v>0</v>
      </c>
      <c r="AD31" s="12">
        <f>(1000*28.64*((1.72*Z31)-Y31))-AD$6</f>
        <v>0</v>
      </c>
      <c r="AE31" s="32">
        <f>1000*28.64*(1.72*(Z31-Z$6)-(Y31-Y$6))</f>
        <v>0</v>
      </c>
      <c r="AG31" s="5" t="e">
        <f t="shared" si="37"/>
        <v>#DIV/0!</v>
      </c>
      <c r="AH31" s="5" t="e">
        <f t="shared" si="25"/>
        <v>#DIV/0!</v>
      </c>
      <c r="AJ31" s="13" t="e">
        <f t="shared" si="38"/>
        <v>#DIV/0!</v>
      </c>
      <c r="AL31" s="12"/>
      <c r="AM31" s="12"/>
      <c r="AO31" s="11">
        <f t="shared" si="39"/>
        <v>0</v>
      </c>
      <c r="AP31" s="11">
        <f t="shared" si="40"/>
        <v>0</v>
      </c>
      <c r="AQ31" s="11">
        <f t="shared" si="41"/>
        <v>0</v>
      </c>
      <c r="AS31" s="4">
        <f t="shared" si="0"/>
        <v>0</v>
      </c>
      <c r="AT31" s="4">
        <f t="shared" si="1"/>
        <v>0</v>
      </c>
      <c r="AU31" s="4">
        <f t="shared" si="2"/>
        <v>0</v>
      </c>
      <c r="AW31" s="12">
        <f t="shared" si="3"/>
        <v>0</v>
      </c>
      <c r="AX31" s="12">
        <f t="shared" si="4"/>
        <v>0</v>
      </c>
      <c r="AY31" s="12">
        <f t="shared" si="5"/>
        <v>0</v>
      </c>
      <c r="BA31" s="4">
        <f t="shared" si="42"/>
        <v>0</v>
      </c>
    </row>
    <row r="32" spans="1:53" ht="14.5" x14ac:dyDescent="0.35">
      <c r="A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Y32" s="11"/>
      <c r="Z32" s="11"/>
      <c r="AA32" s="11"/>
      <c r="AB32" s="11"/>
      <c r="AC32" s="12"/>
      <c r="AD32" s="12"/>
      <c r="AE32" s="32"/>
      <c r="AJ32" s="13"/>
      <c r="AL32" s="12"/>
      <c r="AM32" s="12"/>
      <c r="AO32" s="11"/>
      <c r="AP32" s="11"/>
      <c r="AQ32" s="11"/>
      <c r="AW32" s="12"/>
      <c r="AX32" s="12"/>
      <c r="AY32" s="12"/>
    </row>
    <row r="33" spans="1:51" ht="14.5" x14ac:dyDescent="0.35">
      <c r="A33" s="7"/>
      <c r="B33" s="8"/>
      <c r="C33" s="7"/>
      <c r="F33"/>
      <c r="G33"/>
      <c r="H33"/>
      <c r="I33"/>
      <c r="J33"/>
      <c r="K33"/>
      <c r="L33"/>
      <c r="M33"/>
      <c r="N33"/>
      <c r="O33" s="7"/>
      <c r="P33"/>
      <c r="Q33"/>
      <c r="R33"/>
      <c r="S33"/>
      <c r="T33"/>
      <c r="U33"/>
      <c r="V33"/>
      <c r="W33"/>
      <c r="Y33" s="11"/>
      <c r="Z33" s="11"/>
      <c r="AA33" s="11"/>
      <c r="AB33" s="11"/>
      <c r="AC33" s="12"/>
      <c r="AD33" s="12"/>
      <c r="AE33" s="32"/>
      <c r="AJ33" s="13"/>
      <c r="AL33" s="12"/>
      <c r="AM33" s="12"/>
      <c r="AO33" s="11"/>
      <c r="AP33" s="11"/>
      <c r="AQ33" s="11"/>
      <c r="AW33" s="12"/>
      <c r="AX33" s="12"/>
      <c r="AY33" s="12"/>
    </row>
    <row r="34" spans="1:51" ht="14.5" x14ac:dyDescent="0.35">
      <c r="A34" s="7"/>
      <c r="B34" s="8"/>
      <c r="C34" s="7"/>
      <c r="F34"/>
      <c r="G34"/>
      <c r="H34"/>
      <c r="I34"/>
      <c r="J34"/>
      <c r="K34"/>
      <c r="L34"/>
      <c r="M34"/>
      <c r="N34"/>
      <c r="O34" s="7"/>
      <c r="P34"/>
      <c r="Q34"/>
      <c r="R34"/>
      <c r="S34"/>
      <c r="T34"/>
      <c r="U34"/>
      <c r="V34"/>
      <c r="W34"/>
      <c r="Y34" s="11"/>
      <c r="Z34" s="11"/>
      <c r="AA34" s="11"/>
      <c r="AB34" s="11"/>
      <c r="AC34" s="12"/>
      <c r="AD34" s="12"/>
      <c r="AE34" s="32"/>
      <c r="AJ34" s="13"/>
      <c r="AL34" s="12"/>
      <c r="AM34" s="12"/>
      <c r="AO34" s="11"/>
      <c r="AP34" s="11"/>
      <c r="AQ34" s="11"/>
      <c r="AW34" s="12"/>
      <c r="AX34" s="12"/>
      <c r="AY34" s="12"/>
    </row>
    <row r="35" spans="1:51" ht="14.5" x14ac:dyDescent="0.35">
      <c r="C35" s="7"/>
      <c r="Y35" s="11"/>
      <c r="Z35" s="11"/>
      <c r="AA35" s="11"/>
      <c r="AB35" s="11"/>
      <c r="AC35" s="12"/>
      <c r="AD35" s="12"/>
      <c r="AE35" s="32"/>
      <c r="AJ35" s="13"/>
      <c r="AL35" s="12"/>
      <c r="AM35" s="12"/>
      <c r="AO35" s="11"/>
      <c r="AP35" s="11"/>
      <c r="AQ35" s="11"/>
      <c r="AW35" s="12"/>
      <c r="AX35" s="12"/>
      <c r="AY35" s="12"/>
    </row>
    <row r="36" spans="1:51" ht="14.5" x14ac:dyDescent="0.35">
      <c r="C36" s="7"/>
      <c r="Y36" s="11"/>
      <c r="Z36" s="11"/>
      <c r="AA36" s="11"/>
      <c r="AB36" s="11"/>
      <c r="AC36" s="12"/>
      <c r="AD36" s="12"/>
      <c r="AE36" s="32"/>
      <c r="AJ36" s="13"/>
      <c r="AL36" s="12"/>
      <c r="AM36" s="12"/>
      <c r="AO36" s="11"/>
      <c r="AP36" s="11"/>
      <c r="AQ36" s="11"/>
      <c r="AW36" s="12"/>
      <c r="AX36" s="12"/>
      <c r="AY36" s="12"/>
    </row>
    <row r="37" spans="1:51" ht="14.5" x14ac:dyDescent="0.35">
      <c r="C37" s="7"/>
      <c r="Y37" s="11"/>
      <c r="Z37" s="11"/>
      <c r="AA37" s="11"/>
      <c r="AB37" s="11"/>
      <c r="AC37" s="12"/>
      <c r="AD37" s="12"/>
      <c r="AE37" s="32"/>
      <c r="AJ37" s="13"/>
      <c r="AL37" s="12"/>
      <c r="AM37" s="12"/>
      <c r="AO37" s="11"/>
      <c r="AP37" s="11"/>
      <c r="AQ37" s="11"/>
      <c r="AW37" s="12"/>
      <c r="AX37" s="12"/>
      <c r="AY37" s="12"/>
    </row>
    <row r="38" spans="1:51" x14ac:dyDescent="0.25">
      <c r="Y38" s="11"/>
      <c r="Z38" s="11"/>
      <c r="AA38" s="11"/>
      <c r="AB38" s="11"/>
      <c r="AC38" s="12"/>
      <c r="AD38" s="12"/>
      <c r="AE38" s="12"/>
      <c r="AJ38" s="13"/>
      <c r="AL38" s="12"/>
      <c r="AM38" s="12"/>
      <c r="AO38" s="11"/>
      <c r="AP38" s="11"/>
      <c r="AQ38" s="11"/>
      <c r="AW38" s="12"/>
      <c r="AX38" s="12"/>
      <c r="AY38" s="12"/>
    </row>
    <row r="39" spans="1:51" x14ac:dyDescent="0.25">
      <c r="Y39" s="11"/>
      <c r="Z39" s="11"/>
      <c r="AA39" s="11"/>
      <c r="AB39" s="11"/>
      <c r="AC39" s="12"/>
      <c r="AD39" s="12"/>
      <c r="AE39" s="12"/>
      <c r="AJ39" s="13"/>
      <c r="AL39" s="12"/>
      <c r="AM39" s="12"/>
      <c r="AO39" s="11"/>
      <c r="AP39" s="11"/>
      <c r="AQ39" s="11"/>
      <c r="AW39" s="12"/>
      <c r="AX39" s="12"/>
      <c r="AY39" s="12"/>
    </row>
    <row r="40" spans="1:51" x14ac:dyDescent="0.25">
      <c r="Y40" s="11"/>
      <c r="Z40" s="11"/>
      <c r="AA40" s="11"/>
      <c r="AB40" s="11"/>
      <c r="AC40" s="12"/>
      <c r="AD40" s="12"/>
      <c r="AE40" s="12"/>
      <c r="AJ40" s="13"/>
      <c r="AL40" s="12"/>
      <c r="AM40" s="12"/>
      <c r="AO40" s="11"/>
      <c r="AP40" s="11"/>
      <c r="AQ40" s="11"/>
      <c r="AW40" s="12"/>
      <c r="AX40" s="12"/>
      <c r="AY40" s="12"/>
    </row>
    <row r="41" spans="1:51" x14ac:dyDescent="0.25">
      <c r="Y41" s="11"/>
      <c r="Z41" s="11"/>
      <c r="AA41" s="11"/>
      <c r="AB41" s="11"/>
      <c r="AC41" s="12"/>
      <c r="AD41" s="12"/>
      <c r="AE41" s="12"/>
      <c r="AJ41" s="13"/>
      <c r="AL41" s="12"/>
      <c r="AM41" s="12"/>
      <c r="AO41" s="11"/>
      <c r="AP41" s="11"/>
      <c r="AQ41" s="11"/>
      <c r="AW41" s="12"/>
      <c r="AX41" s="12"/>
      <c r="AY41" s="12"/>
    </row>
    <row r="42" spans="1:51" x14ac:dyDescent="0.25">
      <c r="Y42" s="11"/>
      <c r="Z42" s="11"/>
      <c r="AA42" s="11"/>
      <c r="AB42" s="11"/>
      <c r="AC42" s="12"/>
      <c r="AD42" s="12"/>
      <c r="AE42" s="12"/>
      <c r="AJ42" s="13"/>
      <c r="AL42" s="12"/>
      <c r="AM42" s="12"/>
      <c r="AO42" s="11"/>
      <c r="AP42" s="11"/>
      <c r="AQ42" s="11"/>
      <c r="AW42" s="12"/>
      <c r="AX42" s="12"/>
      <c r="AY42" s="12"/>
    </row>
    <row r="43" spans="1:51" x14ac:dyDescent="0.25">
      <c r="Y43" s="11"/>
      <c r="Z43" s="11"/>
      <c r="AA43" s="11"/>
      <c r="AB43" s="11"/>
      <c r="AC43" s="12"/>
      <c r="AD43" s="12"/>
      <c r="AE43" s="12"/>
      <c r="AJ43" s="13"/>
      <c r="AL43" s="12"/>
      <c r="AM43" s="12"/>
      <c r="AO43" s="11"/>
      <c r="AP43" s="11"/>
      <c r="AQ43" s="11"/>
      <c r="AW43" s="12"/>
      <c r="AX43" s="12"/>
      <c r="AY43" s="12"/>
    </row>
    <row r="44" spans="1:51" x14ac:dyDescent="0.25">
      <c r="Y44" s="11"/>
      <c r="Z44" s="11"/>
      <c r="AA44" s="11"/>
      <c r="AB44" s="11"/>
      <c r="AC44" s="12"/>
      <c r="AD44" s="12"/>
      <c r="AE44" s="12"/>
      <c r="AJ44" s="13"/>
      <c r="AL44" s="12"/>
      <c r="AM44" s="12"/>
      <c r="AO44" s="11"/>
      <c r="AP44" s="11"/>
      <c r="AQ44" s="11"/>
      <c r="AW44" s="12"/>
      <c r="AX44" s="12"/>
      <c r="AY44" s="12"/>
    </row>
    <row r="45" spans="1:51" x14ac:dyDescent="0.25">
      <c r="Y45" s="11"/>
      <c r="Z45" s="11"/>
      <c r="AA45" s="11"/>
      <c r="AB45" s="11"/>
      <c r="AC45" s="12"/>
      <c r="AD45" s="12"/>
      <c r="AE45" s="12"/>
      <c r="AJ45" s="13"/>
      <c r="AL45" s="12"/>
      <c r="AM45" s="12"/>
      <c r="AO45" s="11"/>
      <c r="AP45" s="11"/>
      <c r="AQ45" s="11"/>
      <c r="AW45" s="12"/>
      <c r="AX45" s="12"/>
      <c r="AY45" s="12"/>
    </row>
    <row r="46" spans="1:51" x14ac:dyDescent="0.25">
      <c r="Y46" s="11"/>
      <c r="Z46" s="11"/>
      <c r="AA46" s="11"/>
      <c r="AB46" s="11"/>
      <c r="AC46" s="12"/>
      <c r="AD46" s="12"/>
      <c r="AE46" s="12"/>
      <c r="AJ46" s="13"/>
      <c r="AL46" s="12"/>
      <c r="AM46" s="12"/>
      <c r="AO46" s="11"/>
      <c r="AP46" s="11"/>
      <c r="AQ46" s="11"/>
      <c r="AW46" s="12"/>
      <c r="AX46" s="12"/>
      <c r="AY46" s="12"/>
    </row>
    <row r="47" spans="1:51" x14ac:dyDescent="0.25">
      <c r="Y47" s="11"/>
      <c r="Z47" s="11"/>
      <c r="AA47" s="11"/>
      <c r="AB47" s="11"/>
      <c r="AC47" s="12"/>
      <c r="AD47" s="12"/>
      <c r="AE47" s="12"/>
      <c r="AJ47" s="13"/>
      <c r="AL47" s="12"/>
      <c r="AM47" s="12"/>
      <c r="AO47" s="11"/>
      <c r="AP47" s="11"/>
      <c r="AQ47" s="11"/>
      <c r="AW47" s="12"/>
      <c r="AX47" s="12"/>
      <c r="AY47" s="12"/>
    </row>
    <row r="48" spans="1:51" x14ac:dyDescent="0.25">
      <c r="Y48" s="11"/>
      <c r="Z48" s="11"/>
      <c r="AA48" s="11"/>
      <c r="AB48" s="11"/>
      <c r="AC48" s="12"/>
      <c r="AD48" s="12"/>
      <c r="AE48" s="12"/>
      <c r="AJ48" s="13"/>
      <c r="AL48" s="12"/>
      <c r="AM48" s="12"/>
      <c r="AO48" s="11"/>
      <c r="AP48" s="11"/>
      <c r="AQ48" s="11"/>
      <c r="AW48" s="12"/>
      <c r="AX48" s="12"/>
      <c r="AY48" s="12"/>
    </row>
  </sheetData>
  <phoneticPr fontId="5" type="noConversion"/>
  <conditionalFormatting sqref="Q33">
    <cfRule type="cellIs" dxfId="12" priority="24" operator="lessThan">
      <formula>0</formula>
    </cfRule>
  </conditionalFormatting>
  <conditionalFormatting sqref="Q34">
    <cfRule type="cellIs" dxfId="11" priority="23" operator="lessThan">
      <formula>0</formula>
    </cfRule>
  </conditionalFormatting>
  <conditionalFormatting sqref="F11:F53 P11:P28">
    <cfRule type="cellIs" dxfId="10" priority="21" operator="lessThan">
      <formula>-0.005</formula>
    </cfRule>
    <cfRule type="cellIs" dxfId="9" priority="22" operator="greaterThan">
      <formula>0.005</formula>
    </cfRule>
  </conditionalFormatting>
  <conditionalFormatting sqref="H38:H53 H11:H34 Q11:Q28">
    <cfRule type="cellIs" dxfId="8" priority="20" operator="lessThan">
      <formula>0.03</formula>
    </cfRule>
  </conditionalFormatting>
  <conditionalFormatting sqref="P29:P53">
    <cfRule type="cellIs" dxfId="7" priority="18" operator="lessThan">
      <formula>-0.005</formula>
    </cfRule>
    <cfRule type="cellIs" dxfId="6" priority="19" operator="greaterThan">
      <formula>0.005</formula>
    </cfRule>
  </conditionalFormatting>
  <conditionalFormatting sqref="Q29:Q34 R35:R37 Q38:Q53">
    <cfRule type="cellIs" dxfId="5" priority="17" operator="lessThan">
      <formula>0.03</formula>
    </cfRule>
  </conditionalFormatting>
  <conditionalFormatting sqref="G35:G37">
    <cfRule type="cellIs" dxfId="4" priority="16" operator="lessThan">
      <formula>0.03</formula>
    </cfRule>
  </conditionalFormatting>
  <conditionalFormatting sqref="F4">
    <cfRule type="cellIs" dxfId="3" priority="8" operator="lessThan">
      <formula>-0.005</formula>
    </cfRule>
    <cfRule type="cellIs" dxfId="2" priority="9" operator="greaterThan">
      <formula>0.005</formula>
    </cfRule>
  </conditionalFormatting>
  <conditionalFormatting sqref="H4">
    <cfRule type="cellIs" dxfId="1" priority="7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8"/>
  <sheetViews>
    <sheetView tabSelected="1" topLeftCell="AE1" workbookViewId="0">
      <selection activeCell="AE19" sqref="AE19"/>
    </sheetView>
  </sheetViews>
  <sheetFormatPr defaultRowHeight="12.5" x14ac:dyDescent="0.25"/>
  <cols>
    <col min="1" max="1" width="27" style="4" customWidth="1"/>
    <col min="2" max="16" width="10.7265625" style="4" customWidth="1"/>
    <col min="17" max="18" width="10.7265625" style="5" customWidth="1"/>
    <col min="19" max="20" width="10.7265625" style="4" customWidth="1"/>
    <col min="21" max="27" width="8.7265625" style="4"/>
    <col min="28" max="28" width="12.7265625" style="4" customWidth="1"/>
    <col min="29" max="31" width="8.7265625" style="4"/>
    <col min="32" max="32" width="8.7265625" style="4" customWidth="1"/>
    <col min="33" max="34" width="8.7265625" style="4"/>
    <col min="35" max="35" width="8.7265625" style="4" customWidth="1"/>
    <col min="36" max="231" width="8.7265625" style="4"/>
    <col min="232" max="233" width="18.54296875" style="4" customWidth="1"/>
    <col min="234" max="249" width="8.7265625" style="4"/>
    <col min="250" max="250" width="13.81640625" style="4" customWidth="1"/>
    <col min="251" max="251" width="16.81640625" style="4" customWidth="1"/>
    <col min="252" max="487" width="8.7265625" style="4"/>
    <col min="488" max="489" width="18.54296875" style="4" customWidth="1"/>
    <col min="490" max="505" width="8.7265625" style="4"/>
    <col min="506" max="506" width="13.81640625" style="4" customWidth="1"/>
    <col min="507" max="507" width="16.81640625" style="4" customWidth="1"/>
    <col min="508" max="743" width="8.7265625" style="4"/>
    <col min="744" max="745" width="18.54296875" style="4" customWidth="1"/>
    <col min="746" max="761" width="8.7265625" style="4"/>
    <col min="762" max="762" width="13.81640625" style="4" customWidth="1"/>
    <col min="763" max="763" width="16.81640625" style="4" customWidth="1"/>
    <col min="764" max="999" width="8.7265625" style="4"/>
    <col min="1000" max="1001" width="18.54296875" style="4" customWidth="1"/>
    <col min="1002" max="1017" width="8.7265625" style="4"/>
    <col min="1018" max="1018" width="13.81640625" style="4" customWidth="1"/>
    <col min="1019" max="1019" width="16.81640625" style="4" customWidth="1"/>
    <col min="1020" max="1255" width="8.7265625" style="4"/>
    <col min="1256" max="1257" width="18.54296875" style="4" customWidth="1"/>
    <col min="1258" max="1273" width="8.7265625" style="4"/>
    <col min="1274" max="1274" width="13.81640625" style="4" customWidth="1"/>
    <col min="1275" max="1275" width="16.81640625" style="4" customWidth="1"/>
    <col min="1276" max="1511" width="8.7265625" style="4"/>
    <col min="1512" max="1513" width="18.54296875" style="4" customWidth="1"/>
    <col min="1514" max="1529" width="8.7265625" style="4"/>
    <col min="1530" max="1530" width="13.81640625" style="4" customWidth="1"/>
    <col min="1531" max="1531" width="16.81640625" style="4" customWidth="1"/>
    <col min="1532" max="1767" width="8.7265625" style="4"/>
    <col min="1768" max="1769" width="18.54296875" style="4" customWidth="1"/>
    <col min="1770" max="1785" width="8.7265625" style="4"/>
    <col min="1786" max="1786" width="13.81640625" style="4" customWidth="1"/>
    <col min="1787" max="1787" width="16.81640625" style="4" customWidth="1"/>
    <col min="1788" max="2023" width="8.7265625" style="4"/>
    <col min="2024" max="2025" width="18.54296875" style="4" customWidth="1"/>
    <col min="2026" max="2041" width="8.7265625" style="4"/>
    <col min="2042" max="2042" width="13.81640625" style="4" customWidth="1"/>
    <col min="2043" max="2043" width="16.81640625" style="4" customWidth="1"/>
    <col min="2044" max="2279" width="8.7265625" style="4"/>
    <col min="2280" max="2281" width="18.54296875" style="4" customWidth="1"/>
    <col min="2282" max="2297" width="8.7265625" style="4"/>
    <col min="2298" max="2298" width="13.81640625" style="4" customWidth="1"/>
    <col min="2299" max="2299" width="16.81640625" style="4" customWidth="1"/>
    <col min="2300" max="2535" width="8.7265625" style="4"/>
    <col min="2536" max="2537" width="18.54296875" style="4" customWidth="1"/>
    <col min="2538" max="2553" width="8.7265625" style="4"/>
    <col min="2554" max="2554" width="13.81640625" style="4" customWidth="1"/>
    <col min="2555" max="2555" width="16.81640625" style="4" customWidth="1"/>
    <col min="2556" max="2791" width="8.7265625" style="4"/>
    <col min="2792" max="2793" width="18.54296875" style="4" customWidth="1"/>
    <col min="2794" max="2809" width="8.7265625" style="4"/>
    <col min="2810" max="2810" width="13.81640625" style="4" customWidth="1"/>
    <col min="2811" max="2811" width="16.81640625" style="4" customWidth="1"/>
    <col min="2812" max="3047" width="8.7265625" style="4"/>
    <col min="3048" max="3049" width="18.54296875" style="4" customWidth="1"/>
    <col min="3050" max="3065" width="8.7265625" style="4"/>
    <col min="3066" max="3066" width="13.81640625" style="4" customWidth="1"/>
    <col min="3067" max="3067" width="16.81640625" style="4" customWidth="1"/>
    <col min="3068" max="3303" width="8.7265625" style="4"/>
    <col min="3304" max="3305" width="18.54296875" style="4" customWidth="1"/>
    <col min="3306" max="3321" width="8.7265625" style="4"/>
    <col min="3322" max="3322" width="13.81640625" style="4" customWidth="1"/>
    <col min="3323" max="3323" width="16.81640625" style="4" customWidth="1"/>
    <col min="3324" max="3559" width="8.7265625" style="4"/>
    <col min="3560" max="3561" width="18.54296875" style="4" customWidth="1"/>
    <col min="3562" max="3577" width="8.7265625" style="4"/>
    <col min="3578" max="3578" width="13.81640625" style="4" customWidth="1"/>
    <col min="3579" max="3579" width="16.81640625" style="4" customWidth="1"/>
    <col min="3580" max="3815" width="8.7265625" style="4"/>
    <col min="3816" max="3817" width="18.54296875" style="4" customWidth="1"/>
    <col min="3818" max="3833" width="8.7265625" style="4"/>
    <col min="3834" max="3834" width="13.81640625" style="4" customWidth="1"/>
    <col min="3835" max="3835" width="16.81640625" style="4" customWidth="1"/>
    <col min="3836" max="4071" width="8.7265625" style="4"/>
    <col min="4072" max="4073" width="18.54296875" style="4" customWidth="1"/>
    <col min="4074" max="4089" width="8.7265625" style="4"/>
    <col min="4090" max="4090" width="13.81640625" style="4" customWidth="1"/>
    <col min="4091" max="4091" width="16.81640625" style="4" customWidth="1"/>
    <col min="4092" max="4327" width="8.7265625" style="4"/>
    <col min="4328" max="4329" width="18.54296875" style="4" customWidth="1"/>
    <col min="4330" max="4345" width="8.7265625" style="4"/>
    <col min="4346" max="4346" width="13.81640625" style="4" customWidth="1"/>
    <col min="4347" max="4347" width="16.81640625" style="4" customWidth="1"/>
    <col min="4348" max="4583" width="8.7265625" style="4"/>
    <col min="4584" max="4585" width="18.54296875" style="4" customWidth="1"/>
    <col min="4586" max="4601" width="8.7265625" style="4"/>
    <col min="4602" max="4602" width="13.81640625" style="4" customWidth="1"/>
    <col min="4603" max="4603" width="16.81640625" style="4" customWidth="1"/>
    <col min="4604" max="4839" width="8.7265625" style="4"/>
    <col min="4840" max="4841" width="18.54296875" style="4" customWidth="1"/>
    <col min="4842" max="4857" width="8.7265625" style="4"/>
    <col min="4858" max="4858" width="13.81640625" style="4" customWidth="1"/>
    <col min="4859" max="4859" width="16.81640625" style="4" customWidth="1"/>
    <col min="4860" max="5095" width="8.7265625" style="4"/>
    <col min="5096" max="5097" width="18.54296875" style="4" customWidth="1"/>
    <col min="5098" max="5113" width="8.7265625" style="4"/>
    <col min="5114" max="5114" width="13.81640625" style="4" customWidth="1"/>
    <col min="5115" max="5115" width="16.81640625" style="4" customWidth="1"/>
    <col min="5116" max="5351" width="8.7265625" style="4"/>
    <col min="5352" max="5353" width="18.54296875" style="4" customWidth="1"/>
    <col min="5354" max="5369" width="8.7265625" style="4"/>
    <col min="5370" max="5370" width="13.81640625" style="4" customWidth="1"/>
    <col min="5371" max="5371" width="16.81640625" style="4" customWidth="1"/>
    <col min="5372" max="5607" width="8.7265625" style="4"/>
    <col min="5608" max="5609" width="18.54296875" style="4" customWidth="1"/>
    <col min="5610" max="5625" width="8.7265625" style="4"/>
    <col min="5626" max="5626" width="13.81640625" style="4" customWidth="1"/>
    <col min="5627" max="5627" width="16.81640625" style="4" customWidth="1"/>
    <col min="5628" max="5863" width="8.7265625" style="4"/>
    <col min="5864" max="5865" width="18.54296875" style="4" customWidth="1"/>
    <col min="5866" max="5881" width="8.7265625" style="4"/>
    <col min="5882" max="5882" width="13.81640625" style="4" customWidth="1"/>
    <col min="5883" max="5883" width="16.81640625" style="4" customWidth="1"/>
    <col min="5884" max="6119" width="8.7265625" style="4"/>
    <col min="6120" max="6121" width="18.54296875" style="4" customWidth="1"/>
    <col min="6122" max="6137" width="8.7265625" style="4"/>
    <col min="6138" max="6138" width="13.81640625" style="4" customWidth="1"/>
    <col min="6139" max="6139" width="16.81640625" style="4" customWidth="1"/>
    <col min="6140" max="6375" width="8.7265625" style="4"/>
    <col min="6376" max="6377" width="18.54296875" style="4" customWidth="1"/>
    <col min="6378" max="6393" width="8.7265625" style="4"/>
    <col min="6394" max="6394" width="13.81640625" style="4" customWidth="1"/>
    <col min="6395" max="6395" width="16.81640625" style="4" customWidth="1"/>
    <col min="6396" max="6631" width="8.7265625" style="4"/>
    <col min="6632" max="6633" width="18.54296875" style="4" customWidth="1"/>
    <col min="6634" max="6649" width="8.7265625" style="4"/>
    <col min="6650" max="6650" width="13.81640625" style="4" customWidth="1"/>
    <col min="6651" max="6651" width="16.81640625" style="4" customWidth="1"/>
    <col min="6652" max="6887" width="8.7265625" style="4"/>
    <col min="6888" max="6889" width="18.54296875" style="4" customWidth="1"/>
    <col min="6890" max="6905" width="8.7265625" style="4"/>
    <col min="6906" max="6906" width="13.81640625" style="4" customWidth="1"/>
    <col min="6907" max="6907" width="16.81640625" style="4" customWidth="1"/>
    <col min="6908" max="7143" width="8.7265625" style="4"/>
    <col min="7144" max="7145" width="18.54296875" style="4" customWidth="1"/>
    <col min="7146" max="7161" width="8.7265625" style="4"/>
    <col min="7162" max="7162" width="13.81640625" style="4" customWidth="1"/>
    <col min="7163" max="7163" width="16.81640625" style="4" customWidth="1"/>
    <col min="7164" max="7399" width="8.7265625" style="4"/>
    <col min="7400" max="7401" width="18.54296875" style="4" customWidth="1"/>
    <col min="7402" max="7417" width="8.7265625" style="4"/>
    <col min="7418" max="7418" width="13.81640625" style="4" customWidth="1"/>
    <col min="7419" max="7419" width="16.81640625" style="4" customWidth="1"/>
    <col min="7420" max="7655" width="8.7265625" style="4"/>
    <col min="7656" max="7657" width="18.54296875" style="4" customWidth="1"/>
    <col min="7658" max="7673" width="8.7265625" style="4"/>
    <col min="7674" max="7674" width="13.81640625" style="4" customWidth="1"/>
    <col min="7675" max="7675" width="16.81640625" style="4" customWidth="1"/>
    <col min="7676" max="7911" width="8.7265625" style="4"/>
    <col min="7912" max="7913" width="18.54296875" style="4" customWidth="1"/>
    <col min="7914" max="7929" width="8.7265625" style="4"/>
    <col min="7930" max="7930" width="13.81640625" style="4" customWidth="1"/>
    <col min="7931" max="7931" width="16.81640625" style="4" customWidth="1"/>
    <col min="7932" max="8167" width="8.7265625" style="4"/>
    <col min="8168" max="8169" width="18.54296875" style="4" customWidth="1"/>
    <col min="8170" max="8185" width="8.7265625" style="4"/>
    <col min="8186" max="8186" width="13.81640625" style="4" customWidth="1"/>
    <col min="8187" max="8187" width="16.81640625" style="4" customWidth="1"/>
    <col min="8188" max="8423" width="8.7265625" style="4"/>
    <col min="8424" max="8425" width="18.54296875" style="4" customWidth="1"/>
    <col min="8426" max="8441" width="8.7265625" style="4"/>
    <col min="8442" max="8442" width="13.81640625" style="4" customWidth="1"/>
    <col min="8443" max="8443" width="16.81640625" style="4" customWidth="1"/>
    <col min="8444" max="8679" width="8.7265625" style="4"/>
    <col min="8680" max="8681" width="18.54296875" style="4" customWidth="1"/>
    <col min="8682" max="8697" width="8.7265625" style="4"/>
    <col min="8698" max="8698" width="13.81640625" style="4" customWidth="1"/>
    <col min="8699" max="8699" width="16.81640625" style="4" customWidth="1"/>
    <col min="8700" max="8935" width="8.7265625" style="4"/>
    <col min="8936" max="8937" width="18.54296875" style="4" customWidth="1"/>
    <col min="8938" max="8953" width="8.7265625" style="4"/>
    <col min="8954" max="8954" width="13.81640625" style="4" customWidth="1"/>
    <col min="8955" max="8955" width="16.81640625" style="4" customWidth="1"/>
    <col min="8956" max="9191" width="8.7265625" style="4"/>
    <col min="9192" max="9193" width="18.54296875" style="4" customWidth="1"/>
    <col min="9194" max="9209" width="8.7265625" style="4"/>
    <col min="9210" max="9210" width="13.81640625" style="4" customWidth="1"/>
    <col min="9211" max="9211" width="16.81640625" style="4" customWidth="1"/>
    <col min="9212" max="9447" width="8.7265625" style="4"/>
    <col min="9448" max="9449" width="18.54296875" style="4" customWidth="1"/>
    <col min="9450" max="9465" width="8.7265625" style="4"/>
    <col min="9466" max="9466" width="13.81640625" style="4" customWidth="1"/>
    <col min="9467" max="9467" width="16.81640625" style="4" customWidth="1"/>
    <col min="9468" max="9703" width="8.7265625" style="4"/>
    <col min="9704" max="9705" width="18.54296875" style="4" customWidth="1"/>
    <col min="9706" max="9721" width="8.7265625" style="4"/>
    <col min="9722" max="9722" width="13.81640625" style="4" customWidth="1"/>
    <col min="9723" max="9723" width="16.81640625" style="4" customWidth="1"/>
    <col min="9724" max="9959" width="8.7265625" style="4"/>
    <col min="9960" max="9961" width="18.54296875" style="4" customWidth="1"/>
    <col min="9962" max="9977" width="8.7265625" style="4"/>
    <col min="9978" max="9978" width="13.81640625" style="4" customWidth="1"/>
    <col min="9979" max="9979" width="16.81640625" style="4" customWidth="1"/>
    <col min="9980" max="10215" width="8.7265625" style="4"/>
    <col min="10216" max="10217" width="18.54296875" style="4" customWidth="1"/>
    <col min="10218" max="10233" width="8.7265625" style="4"/>
    <col min="10234" max="10234" width="13.81640625" style="4" customWidth="1"/>
    <col min="10235" max="10235" width="16.81640625" style="4" customWidth="1"/>
    <col min="10236" max="10471" width="8.7265625" style="4"/>
    <col min="10472" max="10473" width="18.54296875" style="4" customWidth="1"/>
    <col min="10474" max="10489" width="8.7265625" style="4"/>
    <col min="10490" max="10490" width="13.81640625" style="4" customWidth="1"/>
    <col min="10491" max="10491" width="16.81640625" style="4" customWidth="1"/>
    <col min="10492" max="10727" width="8.7265625" style="4"/>
    <col min="10728" max="10729" width="18.54296875" style="4" customWidth="1"/>
    <col min="10730" max="10745" width="8.7265625" style="4"/>
    <col min="10746" max="10746" width="13.81640625" style="4" customWidth="1"/>
    <col min="10747" max="10747" width="16.81640625" style="4" customWidth="1"/>
    <col min="10748" max="10983" width="8.7265625" style="4"/>
    <col min="10984" max="10985" width="18.54296875" style="4" customWidth="1"/>
    <col min="10986" max="11001" width="8.7265625" style="4"/>
    <col min="11002" max="11002" width="13.81640625" style="4" customWidth="1"/>
    <col min="11003" max="11003" width="16.81640625" style="4" customWidth="1"/>
    <col min="11004" max="11239" width="8.7265625" style="4"/>
    <col min="11240" max="11241" width="18.54296875" style="4" customWidth="1"/>
    <col min="11242" max="11257" width="8.7265625" style="4"/>
    <col min="11258" max="11258" width="13.81640625" style="4" customWidth="1"/>
    <col min="11259" max="11259" width="16.81640625" style="4" customWidth="1"/>
    <col min="11260" max="11495" width="8.7265625" style="4"/>
    <col min="11496" max="11497" width="18.54296875" style="4" customWidth="1"/>
    <col min="11498" max="11513" width="8.7265625" style="4"/>
    <col min="11514" max="11514" width="13.81640625" style="4" customWidth="1"/>
    <col min="11515" max="11515" width="16.81640625" style="4" customWidth="1"/>
    <col min="11516" max="11751" width="8.7265625" style="4"/>
    <col min="11752" max="11753" width="18.54296875" style="4" customWidth="1"/>
    <col min="11754" max="11769" width="8.7265625" style="4"/>
    <col min="11770" max="11770" width="13.81640625" style="4" customWidth="1"/>
    <col min="11771" max="11771" width="16.81640625" style="4" customWidth="1"/>
    <col min="11772" max="12007" width="8.7265625" style="4"/>
    <col min="12008" max="12009" width="18.54296875" style="4" customWidth="1"/>
    <col min="12010" max="12025" width="8.7265625" style="4"/>
    <col min="12026" max="12026" width="13.81640625" style="4" customWidth="1"/>
    <col min="12027" max="12027" width="16.81640625" style="4" customWidth="1"/>
    <col min="12028" max="12263" width="8.7265625" style="4"/>
    <col min="12264" max="12265" width="18.54296875" style="4" customWidth="1"/>
    <col min="12266" max="12281" width="8.7265625" style="4"/>
    <col min="12282" max="12282" width="13.81640625" style="4" customWidth="1"/>
    <col min="12283" max="12283" width="16.81640625" style="4" customWidth="1"/>
    <col min="12284" max="12519" width="8.7265625" style="4"/>
    <col min="12520" max="12521" width="18.54296875" style="4" customWidth="1"/>
    <col min="12522" max="12537" width="8.7265625" style="4"/>
    <col min="12538" max="12538" width="13.81640625" style="4" customWidth="1"/>
    <col min="12539" max="12539" width="16.81640625" style="4" customWidth="1"/>
    <col min="12540" max="12775" width="8.7265625" style="4"/>
    <col min="12776" max="12777" width="18.54296875" style="4" customWidth="1"/>
    <col min="12778" max="12793" width="8.7265625" style="4"/>
    <col min="12794" max="12794" width="13.81640625" style="4" customWidth="1"/>
    <col min="12795" max="12795" width="16.81640625" style="4" customWidth="1"/>
    <col min="12796" max="13031" width="8.7265625" style="4"/>
    <col min="13032" max="13033" width="18.54296875" style="4" customWidth="1"/>
    <col min="13034" max="13049" width="8.7265625" style="4"/>
    <col min="13050" max="13050" width="13.81640625" style="4" customWidth="1"/>
    <col min="13051" max="13051" width="16.81640625" style="4" customWidth="1"/>
    <col min="13052" max="13287" width="8.7265625" style="4"/>
    <col min="13288" max="13289" width="18.54296875" style="4" customWidth="1"/>
    <col min="13290" max="13305" width="8.7265625" style="4"/>
    <col min="13306" max="13306" width="13.81640625" style="4" customWidth="1"/>
    <col min="13307" max="13307" width="16.81640625" style="4" customWidth="1"/>
    <col min="13308" max="13543" width="8.7265625" style="4"/>
    <col min="13544" max="13545" width="18.54296875" style="4" customWidth="1"/>
    <col min="13546" max="13561" width="8.7265625" style="4"/>
    <col min="13562" max="13562" width="13.81640625" style="4" customWidth="1"/>
    <col min="13563" max="13563" width="16.81640625" style="4" customWidth="1"/>
    <col min="13564" max="13799" width="8.7265625" style="4"/>
    <col min="13800" max="13801" width="18.54296875" style="4" customWidth="1"/>
    <col min="13802" max="13817" width="8.7265625" style="4"/>
    <col min="13818" max="13818" width="13.81640625" style="4" customWidth="1"/>
    <col min="13819" max="13819" width="16.81640625" style="4" customWidth="1"/>
    <col min="13820" max="14055" width="8.7265625" style="4"/>
    <col min="14056" max="14057" width="18.54296875" style="4" customWidth="1"/>
    <col min="14058" max="14073" width="8.7265625" style="4"/>
    <col min="14074" max="14074" width="13.81640625" style="4" customWidth="1"/>
    <col min="14075" max="14075" width="16.81640625" style="4" customWidth="1"/>
    <col min="14076" max="14311" width="8.7265625" style="4"/>
    <col min="14312" max="14313" width="18.54296875" style="4" customWidth="1"/>
    <col min="14314" max="14329" width="8.7265625" style="4"/>
    <col min="14330" max="14330" width="13.81640625" style="4" customWidth="1"/>
    <col min="14331" max="14331" width="16.81640625" style="4" customWidth="1"/>
    <col min="14332" max="14567" width="8.7265625" style="4"/>
    <col min="14568" max="14569" width="18.54296875" style="4" customWidth="1"/>
    <col min="14570" max="14585" width="8.7265625" style="4"/>
    <col min="14586" max="14586" width="13.81640625" style="4" customWidth="1"/>
    <col min="14587" max="14587" width="16.81640625" style="4" customWidth="1"/>
    <col min="14588" max="14823" width="8.7265625" style="4"/>
    <col min="14824" max="14825" width="18.54296875" style="4" customWidth="1"/>
    <col min="14826" max="14841" width="8.7265625" style="4"/>
    <col min="14842" max="14842" width="13.81640625" style="4" customWidth="1"/>
    <col min="14843" max="14843" width="16.81640625" style="4" customWidth="1"/>
    <col min="14844" max="15079" width="8.7265625" style="4"/>
    <col min="15080" max="15081" width="18.54296875" style="4" customWidth="1"/>
    <col min="15082" max="15097" width="8.7265625" style="4"/>
    <col min="15098" max="15098" width="13.81640625" style="4" customWidth="1"/>
    <col min="15099" max="15099" width="16.81640625" style="4" customWidth="1"/>
    <col min="15100" max="15335" width="8.7265625" style="4"/>
    <col min="15336" max="15337" width="18.54296875" style="4" customWidth="1"/>
    <col min="15338" max="15353" width="8.7265625" style="4"/>
    <col min="15354" max="15354" width="13.81640625" style="4" customWidth="1"/>
    <col min="15355" max="15355" width="16.81640625" style="4" customWidth="1"/>
    <col min="15356" max="15591" width="8.7265625" style="4"/>
    <col min="15592" max="15593" width="18.54296875" style="4" customWidth="1"/>
    <col min="15594" max="15609" width="8.7265625" style="4"/>
    <col min="15610" max="15610" width="13.81640625" style="4" customWidth="1"/>
    <col min="15611" max="15611" width="16.81640625" style="4" customWidth="1"/>
    <col min="15612" max="15847" width="8.7265625" style="4"/>
    <col min="15848" max="15849" width="18.54296875" style="4" customWidth="1"/>
    <col min="15850" max="15865" width="8.7265625" style="4"/>
    <col min="15866" max="15866" width="13.81640625" style="4" customWidth="1"/>
    <col min="15867" max="15867" width="16.81640625" style="4" customWidth="1"/>
    <col min="15868" max="16103" width="8.7265625" style="4"/>
    <col min="16104" max="16105" width="18.54296875" style="4" customWidth="1"/>
    <col min="16106" max="16121" width="8.7265625" style="4"/>
    <col min="16122" max="16122" width="13.81640625" style="4" customWidth="1"/>
    <col min="16123" max="16123" width="16.81640625" style="4" customWidth="1"/>
    <col min="16124" max="16384" width="8.7265625" style="4"/>
  </cols>
  <sheetData>
    <row r="1" spans="31:33" x14ac:dyDescent="0.25">
      <c r="AF1" s="4" t="s">
        <v>73</v>
      </c>
    </row>
    <row r="2" spans="31:33" x14ac:dyDescent="0.25">
      <c r="AF2" s="5">
        <v>34.711680000000001</v>
      </c>
    </row>
    <row r="3" spans="31:33" x14ac:dyDescent="0.25">
      <c r="AF3" s="5">
        <v>35.055360000000007</v>
      </c>
    </row>
    <row r="4" spans="31:33" x14ac:dyDescent="0.25">
      <c r="AF4" s="5">
        <v>34.367999999999995</v>
      </c>
    </row>
    <row r="5" spans="31:33" x14ac:dyDescent="0.25">
      <c r="AF5" s="5">
        <v>27.838080000000001</v>
      </c>
    </row>
    <row r="6" spans="31:33" x14ac:dyDescent="0.25">
      <c r="AF6" s="5">
        <v>30.587520000000001</v>
      </c>
    </row>
    <row r="7" spans="31:33" x14ac:dyDescent="0.25">
      <c r="AF7" s="5">
        <v>32.30592</v>
      </c>
    </row>
    <row r="8" spans="31:33" x14ac:dyDescent="0.25">
      <c r="AF8" s="5">
        <v>35.742720000000006</v>
      </c>
    </row>
    <row r="9" spans="31:33" x14ac:dyDescent="0.25">
      <c r="AF9" s="5">
        <v>36.77376000000001</v>
      </c>
      <c r="AG9" s="5"/>
    </row>
    <row r="10" spans="31:33" x14ac:dyDescent="0.25">
      <c r="AF10" s="5">
        <v>35.055360000000007</v>
      </c>
    </row>
    <row r="12" spans="31:33" ht="14.5" x14ac:dyDescent="0.35">
      <c r="AE12" t="s">
        <v>37</v>
      </c>
      <c r="AF12" s="36">
        <f>AVERAGE(AF2:AF10)</f>
        <v>33.604266666666675</v>
      </c>
    </row>
    <row r="13" spans="31:33" ht="14.5" x14ac:dyDescent="0.35">
      <c r="AE13" t="s">
        <v>74</v>
      </c>
      <c r="AF13" s="36">
        <f>STDEV(AF2:AF10)</f>
        <v>2.8433044257694271</v>
      </c>
    </row>
    <row r="14" spans="31:33" ht="14.5" x14ac:dyDescent="0.35">
      <c r="AE14" t="s">
        <v>75</v>
      </c>
      <c r="AF14" s="36">
        <f>100*AF13/AF12</f>
        <v>8.461141122266497</v>
      </c>
    </row>
    <row r="15" spans="31:33" ht="14.5" x14ac:dyDescent="0.35">
      <c r="AE15" t="s">
        <v>76</v>
      </c>
      <c r="AF15" s="36">
        <f>TINV(0.02,9)</f>
        <v>2.8214379250258084</v>
      </c>
    </row>
    <row r="16" spans="31:33" ht="14.5" x14ac:dyDescent="0.35">
      <c r="AE16" t="s">
        <v>41</v>
      </c>
      <c r="AF16" s="36">
        <f>AF13*AF15</f>
        <v>8.0222069392595898</v>
      </c>
    </row>
    <row r="17" spans="1:55" ht="14.5" x14ac:dyDescent="0.35">
      <c r="AE17" t="s">
        <v>43</v>
      </c>
      <c r="AF17" s="36">
        <f>10*AF13</f>
        <v>28.43304425769427</v>
      </c>
    </row>
    <row r="18" spans="1:55" ht="14.5" x14ac:dyDescent="0.35">
      <c r="AE18"/>
      <c r="AF18" s="36"/>
    </row>
    <row r="19" spans="1:55" ht="14.5" x14ac:dyDescent="0.35">
      <c r="AE19"/>
      <c r="AF19" s="36"/>
    </row>
    <row r="20" spans="1:55" ht="14.5" x14ac:dyDescent="0.35">
      <c r="AE20"/>
      <c r="AF20" s="36"/>
    </row>
    <row r="21" spans="1:55" ht="14.5" x14ac:dyDescent="0.35">
      <c r="AE21"/>
      <c r="AF21" s="36"/>
    </row>
    <row r="22" spans="1:55" s="1" customFormat="1" x14ac:dyDescent="0.25">
      <c r="D22" s="2"/>
      <c r="E22" s="2"/>
      <c r="AC22" s="2"/>
      <c r="AD22" s="2"/>
      <c r="AE22" s="2"/>
      <c r="AF22" s="2"/>
      <c r="AH22" s="3"/>
      <c r="AI22" s="3"/>
    </row>
    <row r="23" spans="1:55" ht="14.5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11"/>
      <c r="Y23" s="11"/>
      <c r="Z23" s="11"/>
      <c r="AA23" s="11"/>
      <c r="AB23" s="11"/>
      <c r="AC23" s="12"/>
      <c r="AD23" s="12"/>
      <c r="AE23" s="12"/>
      <c r="AF23" s="12"/>
      <c r="AH23" s="5"/>
      <c r="AI23" s="5"/>
      <c r="AK23" s="13"/>
      <c r="AM23" s="12"/>
      <c r="AN23" s="12"/>
      <c r="AP23" s="11"/>
      <c r="AQ23" s="11"/>
      <c r="AR23" s="11"/>
      <c r="AX23" s="12"/>
      <c r="AY23" s="12"/>
      <c r="AZ23" s="12"/>
    </row>
    <row r="24" spans="1:55" s="1" customFormat="1" x14ac:dyDescent="0.25">
      <c r="AC24" s="6"/>
      <c r="AD24" s="6"/>
      <c r="AE24" s="6"/>
      <c r="AF24" s="6"/>
      <c r="AH24" s="3"/>
      <c r="AI24" s="3"/>
    </row>
    <row r="25" spans="1:55" s="1" customFormat="1" ht="14.5" x14ac:dyDescent="0.35">
      <c r="B25" s="25"/>
      <c r="C25" s="4"/>
      <c r="D25" s="4"/>
      <c r="F25" s="10"/>
      <c r="G25" s="10"/>
      <c r="H25" s="10"/>
      <c r="P25" s="10"/>
      <c r="Q25" s="10"/>
      <c r="R25" s="10"/>
      <c r="Y25" s="11"/>
      <c r="Z25" s="11"/>
      <c r="AA25" s="11"/>
      <c r="AB25" s="11"/>
      <c r="AC25" s="12"/>
      <c r="AD25" s="12"/>
      <c r="AE25" s="12"/>
      <c r="AF25" s="32"/>
      <c r="AG25" s="4"/>
      <c r="AH25" s="5"/>
      <c r="AI25" s="5"/>
      <c r="AJ25" s="4"/>
      <c r="AK25" s="13"/>
      <c r="AL25" s="4"/>
      <c r="AM25" s="12"/>
      <c r="AN25" s="12"/>
      <c r="AO25" s="4"/>
      <c r="AP25" s="11"/>
      <c r="AQ25" s="11"/>
      <c r="AR25" s="11"/>
      <c r="AS25" s="4"/>
      <c r="AT25" s="4"/>
      <c r="AU25" s="4"/>
      <c r="AV25" s="4"/>
      <c r="AW25" s="4"/>
      <c r="AX25" s="12"/>
      <c r="AY25" s="12"/>
      <c r="AZ25" s="12"/>
      <c r="BA25" s="4"/>
      <c r="BB25" s="4"/>
      <c r="BC25" s="4"/>
    </row>
    <row r="26" spans="1:55" s="1" customFormat="1" ht="14.5" x14ac:dyDescent="0.35">
      <c r="B26" s="25"/>
      <c r="C26" s="4"/>
      <c r="D26" s="4"/>
      <c r="F26" s="10"/>
      <c r="G26" s="10"/>
      <c r="H26" s="10"/>
      <c r="P26" s="10"/>
      <c r="Q26" s="10"/>
      <c r="R26" s="10"/>
      <c r="Y26" s="11"/>
      <c r="Z26" s="11"/>
      <c r="AA26" s="11"/>
      <c r="AB26" s="11"/>
      <c r="AC26" s="12"/>
      <c r="AD26" s="12"/>
      <c r="AE26" s="12"/>
      <c r="AF26" s="32"/>
      <c r="AG26" s="4"/>
      <c r="AH26" s="5"/>
      <c r="AI26" s="5"/>
      <c r="AJ26" s="4"/>
      <c r="AK26" s="13"/>
      <c r="AL26" s="4"/>
      <c r="AM26" s="12"/>
      <c r="AN26" s="12"/>
      <c r="AO26" s="4"/>
      <c r="AP26" s="11"/>
      <c r="AQ26" s="11"/>
      <c r="AR26" s="11"/>
      <c r="AS26" s="4"/>
      <c r="AT26" s="4"/>
      <c r="AU26" s="4"/>
      <c r="AV26" s="4"/>
      <c r="AW26" s="4"/>
      <c r="AX26" s="12"/>
      <c r="AY26" s="12"/>
      <c r="AZ26" s="12"/>
      <c r="BA26" s="4"/>
      <c r="BB26" s="4"/>
      <c r="BC26" s="4"/>
    </row>
    <row r="27" spans="1:55" s="1" customFormat="1" ht="14.5" x14ac:dyDescent="0.35">
      <c r="B27" s="25"/>
      <c r="C27" s="4"/>
      <c r="D27" s="4"/>
      <c r="F27" s="15"/>
      <c r="G27" s="15"/>
      <c r="H27" s="15"/>
      <c r="P27" s="15"/>
      <c r="Q27" s="15"/>
      <c r="R27" s="15"/>
      <c r="Y27" s="11"/>
      <c r="Z27" s="11"/>
      <c r="AA27" s="11"/>
      <c r="AB27" s="11"/>
      <c r="AC27" s="12"/>
      <c r="AD27" s="12"/>
      <c r="AE27" s="12"/>
      <c r="AF27" s="32"/>
      <c r="AG27" s="4"/>
      <c r="AH27" s="5"/>
      <c r="AI27" s="5"/>
      <c r="AJ27" s="4"/>
      <c r="AK27" s="13"/>
      <c r="AL27" s="4"/>
      <c r="AM27" s="12"/>
      <c r="AN27" s="12"/>
      <c r="AO27" s="4"/>
      <c r="AP27" s="11"/>
      <c r="AQ27" s="11"/>
      <c r="AR27" s="11"/>
      <c r="AS27" s="4"/>
      <c r="AT27" s="4"/>
      <c r="AU27" s="4"/>
      <c r="AV27" s="4"/>
      <c r="AW27" s="4"/>
      <c r="AX27" s="12"/>
      <c r="AY27" s="12"/>
      <c r="AZ27" s="12"/>
      <c r="BA27" s="4"/>
      <c r="BB27" s="4"/>
      <c r="BC27" s="4"/>
    </row>
    <row r="28" spans="1:55" s="1" customFormat="1" x14ac:dyDescent="0.25">
      <c r="B28" s="25"/>
      <c r="C28" s="4"/>
      <c r="D28" s="4"/>
      <c r="F28" s="4"/>
      <c r="G28" s="4"/>
      <c r="H28" s="4"/>
      <c r="P28" s="4"/>
      <c r="Q28" s="4"/>
      <c r="R28" s="4"/>
      <c r="Y28" s="11"/>
      <c r="Z28" s="11"/>
      <c r="AA28" s="11"/>
      <c r="AB28" s="11"/>
      <c r="AC28" s="12"/>
      <c r="AD28" s="12"/>
      <c r="AE28" s="12"/>
      <c r="AF28" s="32"/>
      <c r="AG28" s="4"/>
      <c r="AH28" s="5"/>
      <c r="AI28" s="5"/>
      <c r="AJ28" s="4"/>
      <c r="AK28" s="13"/>
      <c r="AL28" s="4"/>
      <c r="AM28" s="12"/>
      <c r="AN28" s="12"/>
      <c r="AO28" s="4"/>
      <c r="AP28" s="11"/>
      <c r="AQ28" s="11"/>
      <c r="AR28" s="11"/>
      <c r="AS28" s="4"/>
      <c r="AT28" s="4"/>
      <c r="AU28" s="4"/>
      <c r="AV28" s="4"/>
      <c r="AW28" s="4"/>
      <c r="AX28" s="12"/>
      <c r="AY28" s="12"/>
      <c r="AZ28" s="12"/>
      <c r="BA28" s="4"/>
      <c r="BB28" s="4"/>
      <c r="BC28" s="4"/>
    </row>
    <row r="29" spans="1:55" s="1" customFormat="1" x14ac:dyDescent="0.25">
      <c r="B29" s="25"/>
      <c r="C29" s="4"/>
      <c r="D29" s="4"/>
      <c r="F29" s="4"/>
      <c r="G29" s="4"/>
      <c r="H29" s="4"/>
      <c r="P29" s="4"/>
      <c r="Q29" s="4"/>
      <c r="R29" s="4"/>
      <c r="Y29" s="11"/>
      <c r="Z29" s="11"/>
      <c r="AA29" s="11"/>
      <c r="AB29" s="11"/>
      <c r="AC29" s="12"/>
      <c r="AD29" s="12"/>
      <c r="AE29" s="12"/>
      <c r="AF29" s="32"/>
      <c r="AG29" s="4"/>
      <c r="AH29" s="5"/>
      <c r="AI29" s="5"/>
      <c r="AJ29" s="4"/>
      <c r="AK29" s="13"/>
      <c r="AL29" s="4"/>
      <c r="AM29" s="12"/>
      <c r="AN29" s="12"/>
      <c r="AO29" s="4"/>
      <c r="AP29" s="11"/>
      <c r="AQ29" s="11"/>
      <c r="AR29" s="11"/>
      <c r="AS29" s="4"/>
      <c r="AT29" s="4"/>
      <c r="AU29" s="4"/>
      <c r="AV29" s="4"/>
      <c r="AW29" s="4"/>
      <c r="AX29" s="12"/>
      <c r="AY29" s="12"/>
      <c r="AZ29" s="12"/>
      <c r="BA29" s="4"/>
      <c r="BB29" s="4"/>
      <c r="BC29" s="4"/>
    </row>
    <row r="30" spans="1:55" s="1" customFormat="1" x14ac:dyDescent="0.25">
      <c r="B30" s="25"/>
      <c r="C30" s="4"/>
      <c r="D30" s="4"/>
      <c r="F30" s="4"/>
      <c r="G30" s="4"/>
      <c r="H30" s="4"/>
      <c r="P30" s="4"/>
      <c r="Q30" s="4"/>
      <c r="R30" s="4"/>
      <c r="Y30" s="11"/>
      <c r="Z30" s="11"/>
      <c r="AA30" s="11"/>
      <c r="AB30" s="11"/>
      <c r="AC30" s="12"/>
      <c r="AD30" s="12"/>
      <c r="AE30" s="12"/>
      <c r="AF30" s="32"/>
      <c r="AG30" s="4"/>
      <c r="AH30" s="5"/>
      <c r="AI30" s="5"/>
      <c r="AJ30" s="4"/>
      <c r="AK30" s="13"/>
      <c r="AL30" s="4"/>
      <c r="AM30" s="12"/>
      <c r="AN30" s="12"/>
      <c r="AO30" s="4"/>
      <c r="AP30" s="11"/>
      <c r="AQ30" s="11"/>
      <c r="AR30" s="11"/>
      <c r="AS30" s="4"/>
      <c r="AT30" s="4"/>
      <c r="AU30" s="4"/>
      <c r="AV30" s="4"/>
      <c r="AW30" s="4"/>
      <c r="AX30" s="12"/>
      <c r="AY30" s="12"/>
      <c r="AZ30" s="12"/>
      <c r="BA30" s="4"/>
      <c r="BB30" s="4"/>
      <c r="BC30" s="4"/>
    </row>
    <row r="31" spans="1:55" s="1" customFormat="1" x14ac:dyDescent="0.25">
      <c r="B31" s="25"/>
      <c r="C31" s="4"/>
      <c r="D31" s="4"/>
      <c r="F31" s="4"/>
      <c r="G31" s="4"/>
      <c r="H31" s="4"/>
      <c r="P31" s="4"/>
      <c r="Q31" s="4"/>
      <c r="R31" s="4"/>
      <c r="Y31" s="11"/>
      <c r="Z31" s="11"/>
      <c r="AA31" s="11"/>
      <c r="AB31" s="11"/>
      <c r="AC31" s="12"/>
      <c r="AD31" s="12"/>
      <c r="AE31" s="12"/>
      <c r="AF31" s="32"/>
      <c r="AG31" s="4"/>
      <c r="AH31" s="5"/>
      <c r="AI31" s="5"/>
      <c r="AJ31" s="4"/>
      <c r="AK31" s="13"/>
      <c r="AL31" s="4"/>
      <c r="AM31" s="12"/>
      <c r="AN31" s="12"/>
      <c r="AO31" s="4"/>
      <c r="AP31" s="11"/>
      <c r="AQ31" s="11"/>
      <c r="AR31" s="11"/>
      <c r="AS31" s="4"/>
      <c r="AT31" s="4"/>
      <c r="AU31" s="4"/>
      <c r="AV31" s="4"/>
      <c r="AW31" s="4"/>
      <c r="AX31" s="12"/>
      <c r="AY31" s="12"/>
      <c r="AZ31" s="12"/>
      <c r="BA31" s="4"/>
      <c r="BB31" s="4"/>
      <c r="BC31" s="4"/>
    </row>
    <row r="32" spans="1:55" s="1" customFormat="1" x14ac:dyDescent="0.25">
      <c r="B32" s="25"/>
      <c r="C32" s="4"/>
      <c r="D32" s="4"/>
      <c r="F32" s="4"/>
      <c r="G32" s="4"/>
      <c r="H32" s="4"/>
      <c r="P32" s="4"/>
      <c r="Q32" s="4"/>
      <c r="R32" s="4"/>
      <c r="Y32" s="11"/>
      <c r="Z32" s="11"/>
      <c r="AA32" s="11"/>
      <c r="AB32" s="11"/>
      <c r="AC32" s="12"/>
      <c r="AD32" s="12"/>
      <c r="AE32" s="12"/>
      <c r="AF32" s="32"/>
      <c r="AG32" s="4"/>
      <c r="AH32" s="5"/>
      <c r="AI32" s="5"/>
      <c r="AJ32" s="4"/>
      <c r="AK32" s="13"/>
      <c r="AL32" s="4"/>
      <c r="AM32" s="12"/>
      <c r="AN32" s="12"/>
      <c r="AO32" s="4"/>
      <c r="AP32" s="11"/>
      <c r="AQ32" s="11"/>
      <c r="AR32" s="11"/>
      <c r="AS32" s="4"/>
      <c r="AT32" s="4"/>
      <c r="AU32" s="4"/>
      <c r="AV32" s="4"/>
      <c r="AW32" s="4"/>
      <c r="AX32" s="12"/>
      <c r="AY32" s="12"/>
      <c r="AZ32" s="12"/>
      <c r="BA32" s="4"/>
      <c r="BB32" s="4"/>
      <c r="BC32" s="4"/>
    </row>
    <row r="33" spans="2:55" s="1" customFormat="1" x14ac:dyDescent="0.25">
      <c r="B33" s="25"/>
      <c r="C33" s="4"/>
      <c r="D33" s="4"/>
      <c r="F33" s="4"/>
      <c r="G33" s="4"/>
      <c r="H33" s="4"/>
      <c r="P33" s="4"/>
      <c r="Q33" s="4"/>
      <c r="R33" s="4"/>
      <c r="Y33" s="11"/>
      <c r="Z33" s="11"/>
      <c r="AA33" s="11"/>
      <c r="AB33" s="11"/>
      <c r="AC33" s="12"/>
      <c r="AD33" s="12"/>
      <c r="AE33" s="12"/>
      <c r="AF33" s="32"/>
      <c r="AG33" s="4"/>
      <c r="AH33" s="5"/>
      <c r="AI33" s="5"/>
      <c r="AJ33" s="4"/>
      <c r="AK33" s="13"/>
      <c r="AL33" s="4"/>
      <c r="AM33" s="12"/>
      <c r="AN33" s="12"/>
      <c r="AO33" s="4"/>
      <c r="AP33" s="11"/>
      <c r="AQ33" s="11"/>
      <c r="AR33" s="11"/>
      <c r="AS33" s="4"/>
      <c r="AT33" s="4"/>
      <c r="AU33" s="4"/>
      <c r="AV33" s="4"/>
      <c r="AW33" s="4"/>
      <c r="AX33" s="12"/>
      <c r="AY33" s="12"/>
      <c r="AZ33" s="12"/>
      <c r="BA33" s="4"/>
      <c r="BB33" s="4"/>
      <c r="BC33" s="4"/>
    </row>
    <row r="34" spans="2:55" x14ac:dyDescent="0.25">
      <c r="B34" s="25"/>
      <c r="Q34" s="26"/>
      <c r="R34" s="26"/>
      <c r="Y34" s="11"/>
      <c r="Z34" s="11"/>
      <c r="AA34" s="11"/>
      <c r="AB34" s="11"/>
      <c r="AC34" s="12"/>
      <c r="AD34" s="12"/>
      <c r="AE34" s="12"/>
      <c r="AF34" s="32"/>
      <c r="AH34" s="5"/>
      <c r="AI34" s="5"/>
      <c r="AK34" s="13"/>
      <c r="AM34" s="12"/>
      <c r="AN34" s="12"/>
      <c r="AP34" s="11"/>
      <c r="AQ34" s="11"/>
      <c r="AR34" s="11"/>
      <c r="AX34" s="12"/>
      <c r="AY34" s="12"/>
      <c r="AZ34" s="12"/>
    </row>
    <row r="35" spans="2:55" x14ac:dyDescent="0.25">
      <c r="B35" s="25"/>
      <c r="Q35" s="26"/>
      <c r="R35" s="26"/>
      <c r="Y35" s="11"/>
      <c r="Z35" s="11"/>
      <c r="AA35" s="11"/>
      <c r="AB35" s="11"/>
      <c r="AC35" s="12"/>
      <c r="AD35" s="12"/>
      <c r="AE35" s="12"/>
      <c r="AF35" s="32"/>
      <c r="AH35" s="5"/>
      <c r="AI35" s="5"/>
      <c r="AK35" s="13"/>
      <c r="AM35" s="12"/>
      <c r="AN35" s="12"/>
      <c r="AP35" s="11"/>
      <c r="AQ35" s="11"/>
      <c r="AR35" s="11"/>
      <c r="AX35" s="12"/>
      <c r="AY35" s="12"/>
      <c r="AZ35" s="12"/>
    </row>
    <row r="50" spans="2:31" x14ac:dyDescent="0.25">
      <c r="B50" s="25"/>
      <c r="AA50" s="28"/>
      <c r="AB50" s="12"/>
      <c r="AC50" s="12"/>
      <c r="AD50" s="12"/>
      <c r="AE50" s="12"/>
    </row>
    <row r="51" spans="2:31" x14ac:dyDescent="0.25">
      <c r="B51" s="25"/>
      <c r="AA51" s="28"/>
      <c r="AB51" s="12"/>
    </row>
    <row r="52" spans="2:31" x14ac:dyDescent="0.25">
      <c r="AA52" s="28"/>
      <c r="AB52" s="12"/>
    </row>
    <row r="53" spans="2:31" x14ac:dyDescent="0.25">
      <c r="AA53" s="28"/>
      <c r="AB53" s="12"/>
    </row>
    <row r="54" spans="2:31" x14ac:dyDescent="0.25">
      <c r="AA54" s="29"/>
      <c r="AB54" s="12"/>
    </row>
    <row r="55" spans="2:31" x14ac:dyDescent="0.25">
      <c r="AA55" s="28" t="s">
        <v>38</v>
      </c>
      <c r="AB55" s="12" t="s">
        <v>39</v>
      </c>
      <c r="AC55" s="4">
        <f>AC50-(3*AC51)</f>
        <v>0</v>
      </c>
      <c r="AD55" s="4">
        <f>AD50-(3*AD51)</f>
        <v>0</v>
      </c>
    </row>
    <row r="56" spans="2:31" x14ac:dyDescent="0.25">
      <c r="AA56" s="27"/>
      <c r="AB56" s="12" t="s">
        <v>40</v>
      </c>
      <c r="AC56" s="4">
        <f>AC50+(3*AC51)</f>
        <v>0</v>
      </c>
      <c r="AD56" s="4">
        <f>AD50+(3*AD51)</f>
        <v>0</v>
      </c>
    </row>
    <row r="57" spans="2:31" x14ac:dyDescent="0.25">
      <c r="AA57" s="28" t="s">
        <v>41</v>
      </c>
      <c r="AB57" s="12" t="s">
        <v>42</v>
      </c>
      <c r="AC57" s="4">
        <f>AC51*3.14</f>
        <v>0</v>
      </c>
      <c r="AD57" s="4">
        <f>AD51*3.14</f>
        <v>0</v>
      </c>
    </row>
    <row r="58" spans="2:31" x14ac:dyDescent="0.25">
      <c r="AA58" s="28" t="s">
        <v>43</v>
      </c>
      <c r="AB58" s="12" t="s">
        <v>44</v>
      </c>
      <c r="AC58" s="4">
        <f>AC51*10</f>
        <v>0</v>
      </c>
      <c r="AD58" s="4">
        <f>AD51*10</f>
        <v>0</v>
      </c>
    </row>
  </sheetData>
  <conditionalFormatting sqref="H27">
    <cfRule type="cellIs" dxfId="0" priority="1" operator="lessThan">
      <formula>0.03</formula>
    </cfRule>
  </conditionalFormatting>
  <printOptions gridLines="1"/>
  <pageMargins left="0.75" right="0.75" top="1" bottom="1" header="0.5" footer="0.5"/>
  <pageSetup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MDL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Whitney Woelmer</cp:lastModifiedBy>
  <dcterms:created xsi:type="dcterms:W3CDTF">2018-10-18T17:53:27Z</dcterms:created>
  <dcterms:modified xsi:type="dcterms:W3CDTF">2019-12-09T13:37:13Z</dcterms:modified>
</cp:coreProperties>
</file>