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User\OneDrive\Área de Trabalho\Planilhas de Investimentos\"/>
    </mc:Choice>
  </mc:AlternateContent>
  <xr:revisionPtr revIDLastSave="0" documentId="8_{0DF4800B-516B-458A-A30E-D3FF43AC8FC8}" xr6:coauthVersionLast="47" xr6:coauthVersionMax="47" xr10:uidLastSave="{00000000-0000-0000-0000-000000000000}"/>
  <bookViews>
    <workbookView xWindow="-120" yWindow="-120" windowWidth="29040" windowHeight="16440" firstSheet="8" activeTab="14" xr2:uid="{00000000-000D-0000-FFFF-FFFF00000000}"/>
  </bookViews>
  <sheets>
    <sheet name="Carteira ações" sheetId="1" r:id="rId1"/>
    <sheet name="Gestão carteira" sheetId="8" r:id="rId2"/>
    <sheet name="Transferência de recurso" sheetId="4" r:id="rId3"/>
    <sheet name="Bitcoin" sheetId="7" r:id="rId4"/>
    <sheet name="simulação poupança" sheetId="2" r:id="rId5"/>
    <sheet name="Ánalise Empresas" sheetId="5" r:id="rId6"/>
    <sheet name="Cotação real" sheetId="17" r:id="rId7"/>
    <sheet name="Carteira FIIs" sheetId="6" r:id="rId8"/>
    <sheet name="Carteira Recebíveis" sheetId="18" r:id="rId9"/>
    <sheet name="Div exterior" sheetId="12" r:id="rId10"/>
    <sheet name="Div Ações Brasil" sheetId="13" r:id="rId11"/>
    <sheet name="Div Renda Fixa" sheetId="3" r:id="rId12"/>
    <sheet name="P2P" sheetId="14" r:id="rId13"/>
    <sheet name="Evolução Dividendos" sheetId="11" r:id="rId14"/>
    <sheet name="Alocação por ativos" sheetId="10" r:id="rId15"/>
  </sheets>
  <definedNames>
    <definedName name="_xlnm._FilterDatabase" localSheetId="0" hidden="1">'Carteira ações'!$A$1:$W$127</definedName>
    <definedName name="_xlnm._FilterDatabase" localSheetId="7" hidden="1">'Carteira FIIs'!$B$1:$M$1</definedName>
    <definedName name="_xlnm._FilterDatabase" localSheetId="10" hidden="1">'Div Ações Brasil'!#REF!</definedName>
    <definedName name="_xlnm._FilterDatabase" localSheetId="9" hidden="1">'Div exterior'!#REF!</definedName>
    <definedName name="_xlnm._FilterDatabase" localSheetId="11" hidden="1">'Div Renda Fixa'!#REF!</definedName>
    <definedName name="_xlnm._FilterDatabase" localSheetId="12" hidden="1">P2P!#REF!</definedName>
    <definedName name="_xlnm._FilterDatabase" localSheetId="2" hidden="1">'Transferência de recurso'!$A$1:$G$55</definedName>
    <definedName name="_xlnm.Print_Area" localSheetId="0">'Carteira ações'!$A$1:$W$202</definedName>
    <definedName name="DadosExternos_2" localSheetId="6" hidden="1">'Cotação real'!$A$2:$D$33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Document_8acfa6e8-2904-4ab6-b5a5-51842e979522" name="Document" connection="Consulta - Document"/>
          <x15:modelTable id="Table 0_7e54841a-ad99-4c84-bfaf-568f751e5023" name="Table 0" connection="Consulta - Table 0"/>
          <x15:modelTable id="Table 0  2_6cde7036-3671-4628-98e2-d2e141edc6dd" name="Table 0  2" connection="Consulta - Table 0 (2)"/>
          <x15:modelTable id="Document  2_268286b7-b6a6-4a11-b75d-ff27b61fb99a" name="Document  2" connection="Consulta - Document (2)"/>
          <x15:modelTable id="Table 0  3_15ac8fa5-3e4c-4952-b78b-9095086e6d0a" name="Table 0  3" connection="Consulta - Table 0 (3)"/>
          <x15:modelTable id="Table 0  4_3577b1e8-8cf1-44d1-b5f9-924ab11b8d96" name="Table 0  4" connection="Consulta - Table 0 (4)"/>
          <x15:modelTable id="Table 0  5_62e72c4a-401e-4915-8936-2d53b739cc84" name="Table 0  5" connection="Consulta - Table 0 (5)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7" l="1"/>
  <c r="F4" i="17"/>
  <c r="F5" i="17"/>
  <c r="F6" i="17"/>
  <c r="J6" i="17" s="1"/>
  <c r="F7" i="17"/>
  <c r="F8" i="17"/>
  <c r="J8" i="17" s="1"/>
  <c r="F9" i="17"/>
  <c r="J9" i="17" s="1"/>
  <c r="F10" i="17"/>
  <c r="J10" i="17" s="1"/>
  <c r="F11" i="17"/>
  <c r="F12" i="17"/>
  <c r="F13" i="17"/>
  <c r="F14" i="17"/>
  <c r="J14" i="17" s="1"/>
  <c r="F15" i="17"/>
  <c r="F16" i="17"/>
  <c r="J16" i="17" s="1"/>
  <c r="F17" i="17"/>
  <c r="J17" i="17" s="1"/>
  <c r="F18" i="17"/>
  <c r="F19" i="17"/>
  <c r="F20" i="17"/>
  <c r="F21" i="17"/>
  <c r="F22" i="17"/>
  <c r="F23" i="17"/>
  <c r="F24" i="17"/>
  <c r="J24" i="17" s="1"/>
  <c r="F25" i="17"/>
  <c r="J25" i="17" s="1"/>
  <c r="F26" i="17"/>
  <c r="J26" i="17" s="1"/>
  <c r="F27" i="17"/>
  <c r="F28" i="17"/>
  <c r="F29" i="17"/>
  <c r="F30" i="17"/>
  <c r="F31" i="17"/>
  <c r="F32" i="17"/>
  <c r="J32" i="17" s="1"/>
  <c r="F33" i="17"/>
  <c r="J33" i="17" s="1"/>
  <c r="H3" i="17"/>
  <c r="K3" i="17" s="1"/>
  <c r="H4" i="17"/>
  <c r="H5" i="17"/>
  <c r="H6" i="17"/>
  <c r="H7" i="17"/>
  <c r="H8" i="17"/>
  <c r="H9" i="17"/>
  <c r="H10" i="17"/>
  <c r="K10" i="17" s="1"/>
  <c r="H11" i="17"/>
  <c r="K11" i="17" s="1"/>
  <c r="H12" i="17"/>
  <c r="H13" i="17"/>
  <c r="H14" i="17"/>
  <c r="H15" i="17"/>
  <c r="H16" i="17"/>
  <c r="H17" i="17"/>
  <c r="H18" i="17"/>
  <c r="K18" i="17" s="1"/>
  <c r="H19" i="17"/>
  <c r="H20" i="17"/>
  <c r="H21" i="17"/>
  <c r="H22" i="17"/>
  <c r="H23" i="17"/>
  <c r="H24" i="17"/>
  <c r="H25" i="17"/>
  <c r="H26" i="17"/>
  <c r="K26" i="17" s="1"/>
  <c r="H27" i="17"/>
  <c r="H28" i="17"/>
  <c r="H29" i="17"/>
  <c r="H30" i="17"/>
  <c r="H31" i="17"/>
  <c r="H32" i="17"/>
  <c r="H33" i="17"/>
  <c r="K33" i="17" s="1"/>
  <c r="J3" i="17"/>
  <c r="J4" i="17"/>
  <c r="J5" i="17"/>
  <c r="J7" i="17"/>
  <c r="J11" i="17"/>
  <c r="J12" i="17"/>
  <c r="J13" i="17"/>
  <c r="J15" i="17"/>
  <c r="J18" i="17"/>
  <c r="J19" i="17"/>
  <c r="J20" i="17"/>
  <c r="J21" i="17"/>
  <c r="J22" i="17"/>
  <c r="J23" i="17"/>
  <c r="J27" i="17"/>
  <c r="J28" i="17"/>
  <c r="J29" i="17"/>
  <c r="J30" i="17"/>
  <c r="J31" i="17"/>
  <c r="K4" i="17"/>
  <c r="K5" i="17"/>
  <c r="K6" i="17"/>
  <c r="K7" i="17"/>
  <c r="K8" i="17"/>
  <c r="K9" i="17"/>
  <c r="K12" i="17"/>
  <c r="K13" i="17"/>
  <c r="K14" i="17"/>
  <c r="K15" i="17"/>
  <c r="K16" i="17"/>
  <c r="K17" i="17"/>
  <c r="K19" i="17"/>
  <c r="K20" i="17"/>
  <c r="K21" i="17"/>
  <c r="K22" i="17"/>
  <c r="K23" i="17"/>
  <c r="K24" i="17"/>
  <c r="K25" i="17"/>
  <c r="K27" i="17"/>
  <c r="K28" i="17"/>
  <c r="K29" i="17"/>
  <c r="K30" i="17"/>
  <c r="K31" i="17"/>
  <c r="K32" i="17"/>
  <c r="B3" i="10"/>
  <c r="B4" i="10"/>
  <c r="B5" i="10"/>
  <c r="X42" i="6"/>
  <c r="X39" i="6"/>
  <c r="U36" i="6"/>
  <c r="T36" i="6"/>
  <c r="T60" i="6" l="1"/>
  <c r="S59" i="6"/>
  <c r="R59" i="6"/>
  <c r="R61" i="6" s="1"/>
  <c r="Q59" i="6"/>
  <c r="Q61" i="6" s="1"/>
  <c r="P59" i="6"/>
  <c r="P61" i="6" s="1"/>
  <c r="O59" i="6"/>
  <c r="O61" i="6" s="1"/>
  <c r="N59" i="6"/>
  <c r="N61" i="6" s="1"/>
  <c r="M59" i="6"/>
  <c r="M61" i="6" s="1"/>
  <c r="L59" i="6"/>
  <c r="L61" i="6" s="1"/>
  <c r="K59" i="6"/>
  <c r="K61" i="6" s="1"/>
  <c r="J59" i="6"/>
  <c r="J61" i="6" s="1"/>
  <c r="I59" i="6"/>
  <c r="I61" i="6" s="1"/>
  <c r="H59" i="6"/>
  <c r="H61" i="6" s="1"/>
  <c r="G59" i="6"/>
  <c r="G61" i="6" s="1"/>
  <c r="F59" i="6"/>
  <c r="F61" i="6" s="1"/>
  <c r="E59" i="6"/>
  <c r="E61" i="6" s="1"/>
  <c r="D59" i="6"/>
  <c r="D61" i="6" s="1"/>
  <c r="C59" i="6"/>
  <c r="C61" i="6" s="1"/>
  <c r="B59" i="6"/>
  <c r="B61" i="6" s="1"/>
  <c r="U58" i="6"/>
  <c r="V58" i="6" s="1"/>
  <c r="U57" i="6"/>
  <c r="V57" i="6" s="1"/>
  <c r="U56" i="6"/>
  <c r="V56" i="6" s="1"/>
  <c r="U55" i="6"/>
  <c r="V55" i="6" s="1"/>
  <c r="U54" i="6"/>
  <c r="V54" i="6" s="1"/>
  <c r="U53" i="6"/>
  <c r="V53" i="6" s="1"/>
  <c r="U52" i="6"/>
  <c r="V52" i="6" s="1"/>
  <c r="U51" i="6"/>
  <c r="V51" i="6" s="1"/>
  <c r="U50" i="6"/>
  <c r="V50" i="6" s="1"/>
  <c r="U49" i="6"/>
  <c r="V49" i="6" s="1"/>
  <c r="U48" i="6"/>
  <c r="V48" i="6" s="1"/>
  <c r="U47" i="6"/>
  <c r="V47" i="6" s="1"/>
  <c r="B2" i="10"/>
  <c r="G89" i="1"/>
  <c r="E89" i="1"/>
  <c r="H110" i="4"/>
  <c r="O4" i="4" s="1"/>
  <c r="I15" i="18"/>
  <c r="I16" i="18"/>
  <c r="U34" i="6"/>
  <c r="U35" i="6"/>
  <c r="V59" i="6" l="1"/>
  <c r="T59" i="6"/>
  <c r="T61" i="6" s="1"/>
  <c r="U59" i="6"/>
  <c r="F36" i="6"/>
  <c r="E148" i="3"/>
  <c r="J149" i="13"/>
  <c r="D36" i="6"/>
  <c r="E36" i="6"/>
  <c r="G36" i="6"/>
  <c r="H36" i="6"/>
  <c r="I36" i="6"/>
  <c r="C150" i="13"/>
  <c r="B149" i="13"/>
  <c r="O36" i="6"/>
  <c r="P36" i="6"/>
  <c r="Q36" i="6"/>
  <c r="R36" i="6"/>
  <c r="I11" i="18"/>
  <c r="I13" i="18"/>
  <c r="I14" i="18"/>
  <c r="J14" i="18" s="1"/>
  <c r="I5" i="18"/>
  <c r="I6" i="18"/>
  <c r="I7" i="18"/>
  <c r="I8" i="18"/>
  <c r="I9" i="18"/>
  <c r="I10" i="18"/>
  <c r="I12" i="18"/>
  <c r="T37" i="6"/>
  <c r="X29" i="6" s="1"/>
  <c r="S36" i="6"/>
  <c r="B16" i="18"/>
  <c r="H17" i="18"/>
  <c r="L9" i="18" s="1"/>
  <c r="J9" i="18" l="1"/>
  <c r="K9" i="18" s="1"/>
  <c r="N153" i="13"/>
  <c r="B153" i="13"/>
  <c r="C153" i="13"/>
  <c r="D153" i="13"/>
  <c r="E153" i="13"/>
  <c r="F153" i="13"/>
  <c r="G153" i="13"/>
  <c r="H153" i="13"/>
  <c r="I153" i="13"/>
  <c r="J153" i="13"/>
  <c r="K153" i="13"/>
  <c r="L153" i="13"/>
  <c r="M153" i="13"/>
  <c r="M131" i="13"/>
  <c r="U33" i="6"/>
  <c r="U32" i="6"/>
  <c r="U31" i="6"/>
  <c r="U30" i="6"/>
  <c r="U29" i="6"/>
  <c r="J131" i="13"/>
  <c r="O131" i="13" s="1"/>
  <c r="O117" i="13"/>
  <c r="O116" i="13"/>
  <c r="U28" i="6"/>
  <c r="I40" i="6"/>
  <c r="R38" i="6" l="1"/>
  <c r="F40" i="6"/>
  <c r="F41" i="6" s="1"/>
  <c r="I41" i="6"/>
  <c r="B40" i="6" l="1"/>
  <c r="B41" i="6" s="1"/>
  <c r="G16" i="18"/>
  <c r="L125" i="13"/>
  <c r="U27" i="6"/>
  <c r="G18" i="18" l="1"/>
  <c r="U26" i="6"/>
  <c r="D122" i="13"/>
  <c r="H122" i="13"/>
  <c r="U25" i="6"/>
  <c r="H85" i="4"/>
  <c r="N4" i="4" s="1"/>
  <c r="F16" i="18" l="1"/>
  <c r="F18" i="18" s="1"/>
  <c r="E16" i="18"/>
  <c r="D16" i="18"/>
  <c r="C16" i="18"/>
  <c r="J15" i="18"/>
  <c r="J13" i="18"/>
  <c r="J12" i="18"/>
  <c r="J11" i="18"/>
  <c r="J10" i="18"/>
  <c r="J8" i="18"/>
  <c r="J7" i="18"/>
  <c r="J6" i="18"/>
  <c r="J5" i="18"/>
  <c r="I4" i="18"/>
  <c r="J4" i="18" s="1"/>
  <c r="D18" i="18" l="1"/>
  <c r="J16" i="18"/>
  <c r="B18" i="18"/>
  <c r="H16" i="18"/>
  <c r="H18" i="18" s="1"/>
  <c r="K15" i="18"/>
  <c r="K14" i="18"/>
  <c r="K13" i="18"/>
  <c r="K12" i="18"/>
  <c r="K11" i="18"/>
  <c r="K10" i="18"/>
  <c r="C18" i="18"/>
  <c r="B7" i="10"/>
  <c r="U24" i="6"/>
  <c r="V24" i="6" s="1"/>
  <c r="T40" i="6"/>
  <c r="T41" i="6" s="1"/>
  <c r="G30" i="11"/>
  <c r="F30" i="11"/>
  <c r="E30" i="11"/>
  <c r="D30" i="11"/>
  <c r="C30" i="11"/>
  <c r="B30" i="11"/>
  <c r="H29" i="11"/>
  <c r="H28" i="11"/>
  <c r="H27" i="11"/>
  <c r="H26" i="11"/>
  <c r="H25" i="11"/>
  <c r="H24" i="11"/>
  <c r="H23" i="11"/>
  <c r="H22" i="11"/>
  <c r="H21" i="11"/>
  <c r="H20" i="11"/>
  <c r="H19" i="11"/>
  <c r="H18" i="11"/>
  <c r="B16" i="12"/>
  <c r="C16" i="12"/>
  <c r="E16" i="12"/>
  <c r="D16" i="12"/>
  <c r="M41" i="12"/>
  <c r="L41" i="12"/>
  <c r="J41" i="12"/>
  <c r="I41" i="12"/>
  <c r="H41" i="12"/>
  <c r="G41" i="12"/>
  <c r="F41" i="12"/>
  <c r="J40" i="12"/>
  <c r="I40" i="12"/>
  <c r="H40" i="12"/>
  <c r="G40" i="12"/>
  <c r="F40" i="12"/>
  <c r="E39" i="12"/>
  <c r="D39" i="12"/>
  <c r="C39" i="12"/>
  <c r="T39" i="12" s="1"/>
  <c r="B39" i="12"/>
  <c r="U37" i="12"/>
  <c r="U36" i="12"/>
  <c r="U35" i="12"/>
  <c r="U34" i="12"/>
  <c r="U33" i="12"/>
  <c r="U32" i="12"/>
  <c r="U31" i="12"/>
  <c r="U30" i="12"/>
  <c r="U29" i="12"/>
  <c r="C38" i="12"/>
  <c r="B38" i="12"/>
  <c r="E38" i="12"/>
  <c r="D38" i="12"/>
  <c r="U27" i="12"/>
  <c r="U26" i="12"/>
  <c r="T25" i="12"/>
  <c r="E25" i="12"/>
  <c r="D25" i="12"/>
  <c r="C25" i="12"/>
  <c r="B25" i="12"/>
  <c r="Q38" i="6"/>
  <c r="P38" i="6"/>
  <c r="O38" i="6"/>
  <c r="N36" i="6"/>
  <c r="N38" i="6" s="1"/>
  <c r="M36" i="6"/>
  <c r="M38" i="6" s="1"/>
  <c r="L36" i="6"/>
  <c r="L38" i="6" s="1"/>
  <c r="K36" i="6"/>
  <c r="K38" i="6" s="1"/>
  <c r="J36" i="6"/>
  <c r="J38" i="6" s="1"/>
  <c r="I38" i="6"/>
  <c r="G38" i="6"/>
  <c r="E38" i="6"/>
  <c r="D38" i="6"/>
  <c r="C36" i="6"/>
  <c r="B36" i="6"/>
  <c r="V35" i="6"/>
  <c r="V34" i="6"/>
  <c r="V33" i="6"/>
  <c r="V32" i="6"/>
  <c r="V31" i="6"/>
  <c r="V30" i="6"/>
  <c r="V29" i="6"/>
  <c r="V28" i="6"/>
  <c r="V27" i="6"/>
  <c r="V26" i="6"/>
  <c r="V25" i="6"/>
  <c r="G151" i="3"/>
  <c r="F151" i="3"/>
  <c r="E151" i="3"/>
  <c r="D151" i="3"/>
  <c r="C151" i="3"/>
  <c r="B151" i="3"/>
  <c r="I150" i="3"/>
  <c r="I149" i="3"/>
  <c r="I148" i="3"/>
  <c r="I147" i="3"/>
  <c r="I146" i="3"/>
  <c r="I145" i="3"/>
  <c r="J145" i="3" s="1"/>
  <c r="I144" i="3"/>
  <c r="I143" i="3"/>
  <c r="J142" i="3" s="1"/>
  <c r="I142" i="3"/>
  <c r="I141" i="3"/>
  <c r="I140" i="3"/>
  <c r="J139" i="3" s="1"/>
  <c r="I139" i="3"/>
  <c r="I138" i="3"/>
  <c r="I137" i="3"/>
  <c r="J136" i="3" s="1"/>
  <c r="I136" i="3"/>
  <c r="I135" i="3"/>
  <c r="I134" i="3"/>
  <c r="J133" i="3" s="1"/>
  <c r="I133" i="3"/>
  <c r="I132" i="3"/>
  <c r="I131" i="3"/>
  <c r="I130" i="3"/>
  <c r="I129" i="3"/>
  <c r="I128" i="3"/>
  <c r="J127" i="3" s="1"/>
  <c r="I127" i="3"/>
  <c r="I126" i="3"/>
  <c r="I125" i="3"/>
  <c r="J124" i="3" s="1"/>
  <c r="I124" i="3"/>
  <c r="I123" i="3"/>
  <c r="I122" i="3"/>
  <c r="J121" i="3" s="1"/>
  <c r="I121" i="3"/>
  <c r="I120" i="3"/>
  <c r="I119" i="3"/>
  <c r="J118" i="3" s="1"/>
  <c r="I118" i="3"/>
  <c r="I117" i="3"/>
  <c r="I116" i="3"/>
  <c r="J115" i="3" s="1"/>
  <c r="I115" i="3"/>
  <c r="M152" i="13"/>
  <c r="K152" i="13"/>
  <c r="K154" i="13" s="1"/>
  <c r="I152" i="13"/>
  <c r="I154" i="13" s="1"/>
  <c r="H152" i="13"/>
  <c r="H154" i="13" s="1"/>
  <c r="G152" i="13"/>
  <c r="G154" i="13" s="1"/>
  <c r="F152" i="13"/>
  <c r="F154" i="13" s="1"/>
  <c r="E152" i="13"/>
  <c r="E154" i="13" s="1"/>
  <c r="D152" i="13"/>
  <c r="O151" i="13"/>
  <c r="O150" i="13"/>
  <c r="O149" i="13"/>
  <c r="O148" i="13"/>
  <c r="O147" i="13"/>
  <c r="O146" i="13"/>
  <c r="O145" i="13"/>
  <c r="O144" i="13"/>
  <c r="O143" i="13"/>
  <c r="O142" i="13"/>
  <c r="O141" i="13"/>
  <c r="O140" i="13"/>
  <c r="O139" i="13"/>
  <c r="O138" i="13"/>
  <c r="O137" i="13"/>
  <c r="O136" i="13"/>
  <c r="O135" i="13"/>
  <c r="O134" i="13"/>
  <c r="O133" i="13"/>
  <c r="O132" i="13"/>
  <c r="P131" i="13" s="1"/>
  <c r="O130" i="13"/>
  <c r="O129" i="13"/>
  <c r="O128" i="13"/>
  <c r="O127" i="13"/>
  <c r="O126" i="13"/>
  <c r="O125" i="13"/>
  <c r="O124" i="13"/>
  <c r="O123" i="13"/>
  <c r="O122" i="13"/>
  <c r="O121" i="13"/>
  <c r="L152" i="13"/>
  <c r="J152" i="13"/>
  <c r="J154" i="13" s="1"/>
  <c r="C152" i="13"/>
  <c r="O120" i="13"/>
  <c r="O119" i="13"/>
  <c r="O118" i="13"/>
  <c r="B103" i="13"/>
  <c r="H11" i="4"/>
  <c r="H4" i="4" s="1"/>
  <c r="H68" i="4"/>
  <c r="M4" i="4" s="1"/>
  <c r="H13" i="11"/>
  <c r="H4" i="11"/>
  <c r="H2" i="11"/>
  <c r="H3" i="11"/>
  <c r="H5" i="11"/>
  <c r="H6" i="11"/>
  <c r="H7" i="11"/>
  <c r="H8" i="11"/>
  <c r="H9" i="11"/>
  <c r="H10" i="11"/>
  <c r="H12" i="11"/>
  <c r="H11" i="11"/>
  <c r="B15" i="12"/>
  <c r="C15" i="12"/>
  <c r="E14" i="12"/>
  <c r="D14" i="12"/>
  <c r="C14" i="12"/>
  <c r="B14" i="12"/>
  <c r="B13" i="12"/>
  <c r="E11" i="12"/>
  <c r="U15" i="6"/>
  <c r="U14" i="6"/>
  <c r="U13" i="6"/>
  <c r="P16" i="6"/>
  <c r="Q16" i="6"/>
  <c r="C17" i="14"/>
  <c r="B18" i="14"/>
  <c r="D17" i="14"/>
  <c r="I17" i="14" s="1"/>
  <c r="B17" i="14"/>
  <c r="I106" i="14"/>
  <c r="I107" i="14" s="1"/>
  <c r="I105" i="14"/>
  <c r="I104" i="14"/>
  <c r="I103" i="14"/>
  <c r="J103" i="14" s="1"/>
  <c r="I102" i="14"/>
  <c r="I101" i="14"/>
  <c r="I100" i="14"/>
  <c r="J100" i="14" s="1"/>
  <c r="I99" i="14"/>
  <c r="I98" i="14"/>
  <c r="I97" i="14"/>
  <c r="I96" i="14"/>
  <c r="I95" i="14"/>
  <c r="I94" i="14"/>
  <c r="J94" i="14" s="1"/>
  <c r="I93" i="14"/>
  <c r="I92" i="14"/>
  <c r="I91" i="14"/>
  <c r="I90" i="14"/>
  <c r="I89" i="14"/>
  <c r="I88" i="14"/>
  <c r="I87" i="14"/>
  <c r="I86" i="14"/>
  <c r="I85" i="14"/>
  <c r="I84" i="14"/>
  <c r="I83" i="14"/>
  <c r="I82" i="14"/>
  <c r="I81" i="14"/>
  <c r="I80" i="14"/>
  <c r="I79" i="14"/>
  <c r="I78" i="14"/>
  <c r="I77" i="14"/>
  <c r="I76" i="14"/>
  <c r="J76" i="14" s="1"/>
  <c r="I75" i="14"/>
  <c r="I74" i="14"/>
  <c r="I73" i="14"/>
  <c r="I72" i="14"/>
  <c r="I71" i="14"/>
  <c r="I70" i="14"/>
  <c r="I61" i="14"/>
  <c r="I60" i="14"/>
  <c r="I59" i="14"/>
  <c r="I58" i="14"/>
  <c r="I57" i="14"/>
  <c r="I56" i="14"/>
  <c r="I55" i="14"/>
  <c r="J55" i="14" s="1"/>
  <c r="I54" i="14"/>
  <c r="I53" i="14"/>
  <c r="I52" i="14"/>
  <c r="J52" i="14" s="1"/>
  <c r="I51" i="14"/>
  <c r="I50" i="14"/>
  <c r="I49" i="14"/>
  <c r="I48" i="14"/>
  <c r="I47" i="14"/>
  <c r="I46" i="14"/>
  <c r="I45" i="14"/>
  <c r="I44" i="14"/>
  <c r="I43" i="14"/>
  <c r="J43" i="14" s="1"/>
  <c r="I42" i="14"/>
  <c r="I41" i="14"/>
  <c r="I40" i="14"/>
  <c r="I39" i="14"/>
  <c r="I38" i="14"/>
  <c r="I37" i="14"/>
  <c r="J37" i="14" s="1"/>
  <c r="I36" i="14"/>
  <c r="I35" i="14"/>
  <c r="I34" i="14"/>
  <c r="I33" i="14"/>
  <c r="I32" i="14"/>
  <c r="I31" i="14"/>
  <c r="J31" i="14" s="1"/>
  <c r="I30" i="14"/>
  <c r="I29" i="14"/>
  <c r="I28" i="14"/>
  <c r="J28" i="14" s="1"/>
  <c r="I27" i="14"/>
  <c r="I26" i="14"/>
  <c r="I25" i="14"/>
  <c r="G14" i="11"/>
  <c r="T38" i="6" l="1"/>
  <c r="P137" i="13"/>
  <c r="F38" i="6"/>
  <c r="C38" i="6"/>
  <c r="W29" i="6"/>
  <c r="J130" i="3"/>
  <c r="P146" i="13"/>
  <c r="P134" i="13"/>
  <c r="H151" i="3"/>
  <c r="H38" i="6"/>
  <c r="P140" i="13"/>
  <c r="C154" i="13"/>
  <c r="P149" i="13"/>
  <c r="L154" i="13"/>
  <c r="P143" i="13"/>
  <c r="M154" i="13"/>
  <c r="D154" i="13"/>
  <c r="P128" i="13"/>
  <c r="O113" i="13"/>
  <c r="P122" i="13"/>
  <c r="I151" i="3"/>
  <c r="I152" i="3" s="1"/>
  <c r="P116" i="13"/>
  <c r="H30" i="11"/>
  <c r="D41" i="12"/>
  <c r="D40" i="12"/>
  <c r="E40" i="12"/>
  <c r="E41" i="12"/>
  <c r="B41" i="12"/>
  <c r="T38" i="12"/>
  <c r="B40" i="12"/>
  <c r="C41" i="12"/>
  <c r="C40" i="12"/>
  <c r="U28" i="12"/>
  <c r="U38" i="12" s="1"/>
  <c r="B38" i="6"/>
  <c r="J148" i="3"/>
  <c r="J151" i="3" s="1"/>
  <c r="P119" i="13"/>
  <c r="P125" i="13"/>
  <c r="B152" i="13"/>
  <c r="H14" i="11"/>
  <c r="J91" i="14"/>
  <c r="J85" i="14"/>
  <c r="J46" i="14"/>
  <c r="J70" i="14"/>
  <c r="J79" i="14"/>
  <c r="J40" i="14"/>
  <c r="J88" i="14"/>
  <c r="J25" i="14"/>
  <c r="J61" i="14" s="1"/>
  <c r="J49" i="14"/>
  <c r="J73" i="14"/>
  <c r="J34" i="14"/>
  <c r="J58" i="14"/>
  <c r="J82" i="14"/>
  <c r="J97" i="14"/>
  <c r="J106" i="14"/>
  <c r="M107" i="13"/>
  <c r="L107" i="13"/>
  <c r="J107" i="13"/>
  <c r="I107" i="13"/>
  <c r="H107" i="13"/>
  <c r="G107" i="13"/>
  <c r="F107" i="13"/>
  <c r="E107" i="13"/>
  <c r="D107" i="13"/>
  <c r="C107" i="13"/>
  <c r="B107" i="13"/>
  <c r="M106" i="13"/>
  <c r="K106" i="13"/>
  <c r="K108" i="13" s="1"/>
  <c r="I106" i="13"/>
  <c r="H106" i="13"/>
  <c r="G106" i="13"/>
  <c r="F106" i="13"/>
  <c r="E106" i="13"/>
  <c r="D106" i="13"/>
  <c r="D108" i="13" s="1"/>
  <c r="B106" i="13"/>
  <c r="O105" i="13"/>
  <c r="O104" i="13"/>
  <c r="O103" i="13"/>
  <c r="O102" i="13"/>
  <c r="O101" i="13"/>
  <c r="O100" i="13"/>
  <c r="O99" i="13"/>
  <c r="O98" i="13"/>
  <c r="O97" i="13"/>
  <c r="O96" i="13"/>
  <c r="O95" i="13"/>
  <c r="O94" i="13"/>
  <c r="O93" i="13"/>
  <c r="O92" i="13"/>
  <c r="O91" i="13"/>
  <c r="O90" i="13"/>
  <c r="O89" i="13"/>
  <c r="O88" i="13"/>
  <c r="O87" i="13"/>
  <c r="O86" i="13"/>
  <c r="O85" i="13"/>
  <c r="O84" i="13"/>
  <c r="O83" i="13"/>
  <c r="O82" i="13"/>
  <c r="O81" i="13"/>
  <c r="O80" i="13"/>
  <c r="O79" i="13"/>
  <c r="O78" i="13"/>
  <c r="O77" i="13"/>
  <c r="O76" i="13"/>
  <c r="L75" i="13"/>
  <c r="L106" i="13" s="1"/>
  <c r="L108" i="13" s="1"/>
  <c r="J75" i="13"/>
  <c r="J106" i="13" s="1"/>
  <c r="C75" i="13"/>
  <c r="C106" i="13" s="1"/>
  <c r="O74" i="13"/>
  <c r="O73" i="13"/>
  <c r="O72" i="13"/>
  <c r="O71" i="13"/>
  <c r="O70" i="13"/>
  <c r="P70" i="13" s="1"/>
  <c r="M62" i="13"/>
  <c r="L62" i="13"/>
  <c r="J62" i="13"/>
  <c r="I62" i="13"/>
  <c r="H62" i="13"/>
  <c r="G62" i="13"/>
  <c r="F62" i="13"/>
  <c r="E62" i="13"/>
  <c r="D62" i="13"/>
  <c r="C62" i="13"/>
  <c r="B62" i="13"/>
  <c r="M61" i="13"/>
  <c r="L61" i="13"/>
  <c r="L63" i="13" s="1"/>
  <c r="J61" i="13"/>
  <c r="I61" i="13"/>
  <c r="H61" i="13"/>
  <c r="G61" i="13"/>
  <c r="F61" i="13"/>
  <c r="E61" i="13"/>
  <c r="C61" i="13"/>
  <c r="C63" i="13" s="1"/>
  <c r="O60" i="13"/>
  <c r="O59" i="13"/>
  <c r="O58" i="13"/>
  <c r="P58" i="13" s="1"/>
  <c r="O57" i="13"/>
  <c r="O56" i="13"/>
  <c r="O55" i="13"/>
  <c r="O54" i="13"/>
  <c r="O53" i="13"/>
  <c r="O52" i="13"/>
  <c r="O51" i="13"/>
  <c r="O50" i="13"/>
  <c r="O49" i="13"/>
  <c r="O48" i="13"/>
  <c r="O47" i="13"/>
  <c r="D46" i="13"/>
  <c r="D61" i="13" s="1"/>
  <c r="O45" i="13"/>
  <c r="O44" i="13"/>
  <c r="O43" i="13"/>
  <c r="O42" i="13"/>
  <c r="O41" i="13"/>
  <c r="P40" i="13" s="1"/>
  <c r="O40" i="13"/>
  <c r="O39" i="13"/>
  <c r="O38" i="13"/>
  <c r="B37" i="13"/>
  <c r="O37" i="13" s="1"/>
  <c r="O36" i="13"/>
  <c r="O35" i="13"/>
  <c r="O34" i="13"/>
  <c r="O33" i="13"/>
  <c r="O32" i="13"/>
  <c r="O31" i="13"/>
  <c r="O30" i="13"/>
  <c r="O29" i="13"/>
  <c r="O28" i="13"/>
  <c r="O27" i="13"/>
  <c r="O26" i="13"/>
  <c r="O25" i="13"/>
  <c r="M18" i="13"/>
  <c r="M20" i="13" s="1"/>
  <c r="L18" i="13"/>
  <c r="L20" i="13" s="1"/>
  <c r="J18" i="13"/>
  <c r="I18" i="13"/>
  <c r="H18" i="13"/>
  <c r="G18" i="13"/>
  <c r="F18" i="13"/>
  <c r="E18" i="13"/>
  <c r="D18" i="13"/>
  <c r="C18" i="13"/>
  <c r="B18" i="13"/>
  <c r="J17" i="13"/>
  <c r="I17" i="13"/>
  <c r="H17" i="13"/>
  <c r="G17" i="13"/>
  <c r="F17" i="13"/>
  <c r="F20" i="13" s="1"/>
  <c r="E17" i="13"/>
  <c r="D17" i="13"/>
  <c r="C17" i="13"/>
  <c r="B17" i="13"/>
  <c r="O16" i="13"/>
  <c r="O15" i="13"/>
  <c r="O14" i="13"/>
  <c r="O13" i="13"/>
  <c r="O12" i="13"/>
  <c r="O11" i="13"/>
  <c r="O10" i="13"/>
  <c r="O9" i="13"/>
  <c r="O8" i="13"/>
  <c r="O7" i="13"/>
  <c r="O6" i="13"/>
  <c r="O5" i="13"/>
  <c r="J4" i="13"/>
  <c r="I4" i="13"/>
  <c r="H4" i="13"/>
  <c r="G4" i="13"/>
  <c r="F4" i="13"/>
  <c r="E4" i="13"/>
  <c r="D4" i="13"/>
  <c r="C4" i="13"/>
  <c r="B4" i="13"/>
  <c r="C10" i="11"/>
  <c r="F14" i="11"/>
  <c r="F16" i="11" s="1"/>
  <c r="D4" i="12"/>
  <c r="T4" i="12" s="1"/>
  <c r="C4" i="12"/>
  <c r="B4" i="12"/>
  <c r="E4" i="12"/>
  <c r="E18" i="12"/>
  <c r="D18" i="12"/>
  <c r="C18" i="12"/>
  <c r="B18" i="12"/>
  <c r="T18" i="12" s="1"/>
  <c r="E7" i="12"/>
  <c r="D11" i="12"/>
  <c r="D7" i="12"/>
  <c r="D17" i="12" s="1"/>
  <c r="C13" i="12"/>
  <c r="C12" i="12"/>
  <c r="C11" i="12"/>
  <c r="C10" i="12"/>
  <c r="C9" i="12"/>
  <c r="C8" i="12"/>
  <c r="U13" i="12"/>
  <c r="B12" i="12"/>
  <c r="B11" i="12"/>
  <c r="B10" i="12"/>
  <c r="B9" i="12"/>
  <c r="U9" i="12" s="1"/>
  <c r="U15" i="12"/>
  <c r="U16" i="12"/>
  <c r="B8" i="12"/>
  <c r="M20" i="12"/>
  <c r="L20" i="12"/>
  <c r="J20" i="12"/>
  <c r="I20" i="12"/>
  <c r="G19" i="12"/>
  <c r="F20" i="12"/>
  <c r="U14" i="12"/>
  <c r="U12" i="12"/>
  <c r="U6" i="12"/>
  <c r="U5" i="12"/>
  <c r="H19" i="12"/>
  <c r="E3" i="2"/>
  <c r="G3" i="2" s="1"/>
  <c r="E14" i="11"/>
  <c r="E16" i="11" s="1"/>
  <c r="D14" i="11"/>
  <c r="D16" i="11" s="1"/>
  <c r="B14" i="11"/>
  <c r="C4" i="11"/>
  <c r="C14" i="11" s="1"/>
  <c r="C16" i="11" s="1"/>
  <c r="P79" i="13" l="1"/>
  <c r="P152" i="13"/>
  <c r="P91" i="13"/>
  <c r="I63" i="13"/>
  <c r="P76" i="13"/>
  <c r="H19" i="13"/>
  <c r="P43" i="13"/>
  <c r="J63" i="13"/>
  <c r="F108" i="13"/>
  <c r="I20" i="13"/>
  <c r="P28" i="13"/>
  <c r="O152" i="13"/>
  <c r="N154" i="13" s="1"/>
  <c r="N152" i="13"/>
  <c r="C20" i="13"/>
  <c r="E20" i="13"/>
  <c r="J108" i="13"/>
  <c r="P82" i="13"/>
  <c r="M108" i="13"/>
  <c r="D63" i="13"/>
  <c r="H20" i="13"/>
  <c r="D19" i="13"/>
  <c r="O46" i="13"/>
  <c r="P46" i="13" s="1"/>
  <c r="P52" i="13"/>
  <c r="B61" i="13"/>
  <c r="B63" i="13" s="1"/>
  <c r="M63" i="13"/>
  <c r="P85" i="13"/>
  <c r="P25" i="13"/>
  <c r="P55" i="13"/>
  <c r="E63" i="13"/>
  <c r="P103" i="13"/>
  <c r="H108" i="13"/>
  <c r="N17" i="13"/>
  <c r="P34" i="13"/>
  <c r="F63" i="13"/>
  <c r="U10" i="12"/>
  <c r="D20" i="12"/>
  <c r="B43" i="6"/>
  <c r="B154" i="13"/>
  <c r="P100" i="13"/>
  <c r="P97" i="13"/>
  <c r="I108" i="13"/>
  <c r="P49" i="13"/>
  <c r="G19" i="13"/>
  <c r="I19" i="13"/>
  <c r="P37" i="13"/>
  <c r="O106" i="13"/>
  <c r="D20" i="13"/>
  <c r="G63" i="13"/>
  <c r="G20" i="13"/>
  <c r="P31" i="13"/>
  <c r="H63" i="13"/>
  <c r="P94" i="13"/>
  <c r="E108" i="13"/>
  <c r="J20" i="13"/>
  <c r="P88" i="13"/>
  <c r="G108" i="13"/>
  <c r="C108" i="13"/>
  <c r="N106" i="13"/>
  <c r="B19" i="13"/>
  <c r="J19" i="13"/>
  <c r="O75" i="13"/>
  <c r="P73" i="13" s="1"/>
  <c r="C19" i="13"/>
  <c r="B20" i="13"/>
  <c r="B108" i="13"/>
  <c r="E19" i="13"/>
  <c r="F19" i="13"/>
  <c r="E17" i="12"/>
  <c r="E20" i="12" s="1"/>
  <c r="U7" i="12"/>
  <c r="U11" i="12"/>
  <c r="C17" i="12"/>
  <c r="C20" i="12" s="1"/>
  <c r="U8" i="12"/>
  <c r="B17" i="12"/>
  <c r="B20" i="12" s="1"/>
  <c r="I19" i="12"/>
  <c r="H20" i="12"/>
  <c r="G20" i="12"/>
  <c r="D19" i="12"/>
  <c r="J19" i="12"/>
  <c r="F19" i="12"/>
  <c r="B4" i="2"/>
  <c r="E4" i="2" s="1"/>
  <c r="G4" i="2" s="1"/>
  <c r="J75" i="1"/>
  <c r="R3" i="1"/>
  <c r="R5" i="1"/>
  <c r="R12" i="1"/>
  <c r="R14" i="1"/>
  <c r="Q3" i="1"/>
  <c r="Q5" i="1"/>
  <c r="Q12" i="1"/>
  <c r="P3" i="1"/>
  <c r="P4" i="1"/>
  <c r="P5" i="1"/>
  <c r="P6" i="1"/>
  <c r="Q6" i="1" s="1"/>
  <c r="P7" i="1"/>
  <c r="R7" i="1" s="1"/>
  <c r="P8" i="1"/>
  <c r="P9" i="1"/>
  <c r="Q9" i="1" s="1"/>
  <c r="P10" i="1"/>
  <c r="P11" i="1"/>
  <c r="Q11" i="1" s="1"/>
  <c r="P12" i="1"/>
  <c r="P13" i="1"/>
  <c r="O3" i="1"/>
  <c r="O4" i="1"/>
  <c r="O5" i="1"/>
  <c r="O6" i="1"/>
  <c r="O7" i="1"/>
  <c r="O8" i="1"/>
  <c r="O9" i="1"/>
  <c r="O10" i="1"/>
  <c r="O11" i="1"/>
  <c r="O12" i="1"/>
  <c r="O13" i="1"/>
  <c r="I7" i="10"/>
  <c r="D7" i="10"/>
  <c r="J6" i="10"/>
  <c r="N61" i="13" l="1"/>
  <c r="R72" i="13"/>
  <c r="O61" i="13"/>
  <c r="P106" i="13"/>
  <c r="P61" i="13"/>
  <c r="R13" i="1"/>
  <c r="Q13" i="1"/>
  <c r="U17" i="12"/>
  <c r="T17" i="12"/>
  <c r="E19" i="12"/>
  <c r="O67" i="13"/>
  <c r="C19" i="12"/>
  <c r="B19" i="12"/>
  <c r="B5" i="2"/>
  <c r="E5" i="2" s="1"/>
  <c r="G5" i="2" s="1"/>
  <c r="R11" i="1"/>
  <c r="Q10" i="1"/>
  <c r="R10" i="1"/>
  <c r="Q8" i="1"/>
  <c r="R8" i="1"/>
  <c r="Q7" i="1"/>
  <c r="R6" i="1"/>
  <c r="R9" i="1"/>
  <c r="Q4" i="1"/>
  <c r="R4" i="1"/>
  <c r="C6" i="10"/>
  <c r="E2" i="10"/>
  <c r="E6" i="10"/>
  <c r="F6" i="10" s="1"/>
  <c r="J2" i="10"/>
  <c r="E5" i="10"/>
  <c r="F5" i="10" s="1"/>
  <c r="J3" i="10"/>
  <c r="C5" i="10"/>
  <c r="E4" i="10"/>
  <c r="F4" i="10" s="1"/>
  <c r="J4" i="10"/>
  <c r="C4" i="10"/>
  <c r="E3" i="10"/>
  <c r="F3" i="10" s="1"/>
  <c r="J5" i="10"/>
  <c r="C3" i="10"/>
  <c r="B6" i="2" l="1"/>
  <c r="E6" i="2" s="1"/>
  <c r="G6" i="2" s="1"/>
  <c r="J7" i="10"/>
  <c r="B7" i="2" l="1"/>
  <c r="E7" i="2" s="1"/>
  <c r="G7" i="2" s="1"/>
  <c r="B16" i="6"/>
  <c r="C16" i="6"/>
  <c r="C18" i="6" s="1"/>
  <c r="D16" i="6"/>
  <c r="E16" i="6"/>
  <c r="E18" i="6" s="1"/>
  <c r="F16" i="6"/>
  <c r="G16" i="6"/>
  <c r="H16" i="6"/>
  <c r="I16" i="6"/>
  <c r="J16" i="6"/>
  <c r="K16" i="6"/>
  <c r="K18" i="6" s="1"/>
  <c r="L16" i="6"/>
  <c r="L18" i="6" s="1"/>
  <c r="M16" i="6"/>
  <c r="M18" i="6" s="1"/>
  <c r="N16" i="6"/>
  <c r="N18" i="6" s="1"/>
  <c r="O16" i="6"/>
  <c r="O18" i="6" s="1"/>
  <c r="E106" i="3"/>
  <c r="F106" i="3"/>
  <c r="C106" i="3"/>
  <c r="V15" i="6"/>
  <c r="V14" i="6"/>
  <c r="U12" i="6"/>
  <c r="U11" i="6"/>
  <c r="U10" i="6"/>
  <c r="U9" i="6"/>
  <c r="U8" i="6"/>
  <c r="U7" i="6"/>
  <c r="U6" i="6"/>
  <c r="U5" i="6"/>
  <c r="V5" i="6" s="1"/>
  <c r="U4" i="6"/>
  <c r="V4" i="6" s="1"/>
  <c r="G106" i="3"/>
  <c r="D106" i="3"/>
  <c r="B106" i="3"/>
  <c r="I105" i="3"/>
  <c r="I104" i="3"/>
  <c r="I103" i="3"/>
  <c r="I102" i="3"/>
  <c r="I101" i="3"/>
  <c r="I100" i="3"/>
  <c r="I99" i="3"/>
  <c r="I98" i="3"/>
  <c r="I97" i="3"/>
  <c r="I96" i="3"/>
  <c r="I95" i="3"/>
  <c r="I94" i="3"/>
  <c r="I93" i="3"/>
  <c r="I92" i="3"/>
  <c r="I91" i="3"/>
  <c r="I90" i="3"/>
  <c r="I89" i="3"/>
  <c r="I88" i="3"/>
  <c r="I87" i="3"/>
  <c r="I86" i="3"/>
  <c r="I85" i="3"/>
  <c r="I84" i="3"/>
  <c r="I83" i="3"/>
  <c r="I82" i="3"/>
  <c r="I81" i="3"/>
  <c r="I80" i="3"/>
  <c r="I79" i="3"/>
  <c r="I78" i="3"/>
  <c r="I77" i="3"/>
  <c r="I76" i="3"/>
  <c r="I74" i="3"/>
  <c r="I73" i="3"/>
  <c r="I72" i="3"/>
  <c r="I71" i="3"/>
  <c r="I70" i="3"/>
  <c r="I26" i="3"/>
  <c r="I27" i="3"/>
  <c r="I28" i="3"/>
  <c r="I29" i="3"/>
  <c r="I30" i="3"/>
  <c r="I31" i="3"/>
  <c r="I32" i="3"/>
  <c r="I33" i="3"/>
  <c r="I34" i="3"/>
  <c r="I35" i="3"/>
  <c r="I36" i="3"/>
  <c r="I38" i="3"/>
  <c r="I39" i="3"/>
  <c r="I40" i="3"/>
  <c r="I41" i="3"/>
  <c r="I42" i="3"/>
  <c r="I43" i="3"/>
  <c r="I44" i="3"/>
  <c r="I45" i="3"/>
  <c r="I47" i="3"/>
  <c r="I48" i="3"/>
  <c r="I49" i="3"/>
  <c r="I50" i="3"/>
  <c r="I51" i="3"/>
  <c r="I52" i="3"/>
  <c r="I53" i="3"/>
  <c r="I54" i="3"/>
  <c r="J52" i="3" s="1"/>
  <c r="I55" i="3"/>
  <c r="I56" i="3"/>
  <c r="I57" i="3"/>
  <c r="I58" i="3"/>
  <c r="I59" i="3"/>
  <c r="I60" i="3"/>
  <c r="I25" i="3"/>
  <c r="J25" i="3" s="1"/>
  <c r="G61" i="3"/>
  <c r="D61" i="3"/>
  <c r="B61" i="3"/>
  <c r="H43" i="4"/>
  <c r="K4" i="4" s="1"/>
  <c r="H53" i="4"/>
  <c r="L4" i="4" s="1"/>
  <c r="H38" i="4"/>
  <c r="J4" i="4" s="1"/>
  <c r="H26" i="4"/>
  <c r="I6" i="3"/>
  <c r="I7" i="3"/>
  <c r="I8" i="3"/>
  <c r="I9" i="3"/>
  <c r="I10" i="3"/>
  <c r="I11" i="3"/>
  <c r="I12" i="3"/>
  <c r="I13" i="3"/>
  <c r="I14" i="3"/>
  <c r="I15" i="3"/>
  <c r="I16" i="3"/>
  <c r="I5" i="3"/>
  <c r="T38" i="1"/>
  <c r="T36" i="1"/>
  <c r="T37" i="1"/>
  <c r="D13" i="7"/>
  <c r="T35" i="1"/>
  <c r="G13" i="8"/>
  <c r="G12" i="8"/>
  <c r="G10" i="8"/>
  <c r="G9" i="8"/>
  <c r="G8" i="8"/>
  <c r="G7" i="8"/>
  <c r="G6" i="8"/>
  <c r="G5" i="8"/>
  <c r="G4" i="8"/>
  <c r="G3" i="8"/>
  <c r="G2" i="8"/>
  <c r="E14" i="8"/>
  <c r="N63" i="1"/>
  <c r="D18" i="6" l="1"/>
  <c r="U16" i="6"/>
  <c r="I4" i="4"/>
  <c r="P4" i="4" s="1"/>
  <c r="T16" i="6"/>
  <c r="J58" i="3"/>
  <c r="J34" i="3"/>
  <c r="J43" i="3"/>
  <c r="J94" i="3"/>
  <c r="B8" i="2"/>
  <c r="E8" i="2" s="1"/>
  <c r="G8" i="2"/>
  <c r="J28" i="3"/>
  <c r="J49" i="3"/>
  <c r="J40" i="3"/>
  <c r="I46" i="3"/>
  <c r="J46" i="3" s="1"/>
  <c r="J100" i="3"/>
  <c r="I61" i="3"/>
  <c r="J82" i="3"/>
  <c r="I37" i="3"/>
  <c r="J37" i="3" s="1"/>
  <c r="J76" i="3"/>
  <c r="J55" i="3"/>
  <c r="J31" i="3"/>
  <c r="J79" i="3"/>
  <c r="J103" i="3"/>
  <c r="V7" i="6"/>
  <c r="V10" i="6"/>
  <c r="F18" i="6"/>
  <c r="G18" i="6"/>
  <c r="V8" i="6"/>
  <c r="V13" i="6"/>
  <c r="I18" i="6"/>
  <c r="J18" i="6"/>
  <c r="V11" i="6"/>
  <c r="V6" i="6"/>
  <c r="V9" i="6"/>
  <c r="H18" i="6"/>
  <c r="V12" i="6"/>
  <c r="I75" i="3"/>
  <c r="J73" i="3" s="1"/>
  <c r="B18" i="6"/>
  <c r="J91" i="3"/>
  <c r="J70" i="3"/>
  <c r="J85" i="3"/>
  <c r="J88" i="3"/>
  <c r="J97" i="3"/>
  <c r="G14" i="8"/>
  <c r="N62" i="1"/>
  <c r="N61" i="1"/>
  <c r="N60" i="1"/>
  <c r="P2" i="1"/>
  <c r="O2" i="1"/>
  <c r="B9" i="2" l="1"/>
  <c r="E9" i="2" s="1"/>
  <c r="G9" i="2" s="1"/>
  <c r="J106" i="3"/>
  <c r="I106" i="3"/>
  <c r="I107" i="3" s="1"/>
  <c r="C7" i="10"/>
  <c r="J61" i="3"/>
  <c r="V16" i="6"/>
  <c r="V20" i="6" s="1"/>
  <c r="H106" i="3"/>
  <c r="H61" i="3"/>
  <c r="F2" i="10"/>
  <c r="C2" i="10"/>
  <c r="R2" i="1"/>
  <c r="Q2" i="1"/>
  <c r="T34" i="1"/>
  <c r="T33" i="1"/>
  <c r="T32" i="1"/>
  <c r="B10" i="2" l="1"/>
  <c r="E10" i="2" s="1"/>
  <c r="G10" i="2" s="1"/>
  <c r="T31" i="1"/>
  <c r="B11" i="2" l="1"/>
  <c r="E11" i="2" s="1"/>
  <c r="G11" i="2"/>
  <c r="N59" i="1"/>
  <c r="B12" i="2" l="1"/>
  <c r="E12" i="2" s="1"/>
  <c r="G12" i="2" s="1"/>
  <c r="N58" i="1"/>
  <c r="B13" i="2" l="1"/>
  <c r="E13" i="2" s="1"/>
  <c r="G13" i="2"/>
  <c r="T30" i="1"/>
  <c r="R4" i="8"/>
  <c r="AC4" i="8"/>
  <c r="AB4" i="8"/>
  <c r="O4" i="8"/>
  <c r="H4" i="8"/>
  <c r="W4" i="8"/>
  <c r="S4" i="8"/>
  <c r="Z4" i="8"/>
  <c r="P4" i="8"/>
  <c r="Q4" i="8"/>
  <c r="I4" i="8"/>
  <c r="U4" i="8"/>
  <c r="Y4" i="8"/>
  <c r="AA4" i="8"/>
  <c r="X4" i="8"/>
  <c r="T4" i="8"/>
  <c r="V4" i="8"/>
  <c r="B14" i="2" l="1"/>
  <c r="E14" i="2" s="1"/>
  <c r="G14" i="2" s="1"/>
  <c r="L4" i="8"/>
  <c r="N15" i="8"/>
  <c r="B15" i="2" l="1"/>
  <c r="E15" i="2" s="1"/>
  <c r="G15" i="2" s="1"/>
  <c r="N57" i="1"/>
  <c r="B16" i="2" l="1"/>
  <c r="E16" i="2" s="1"/>
  <c r="G16" i="2"/>
  <c r="N56" i="1"/>
  <c r="O11" i="8"/>
  <c r="W10" i="8"/>
  <c r="S5" i="8"/>
  <c r="P5" i="8"/>
  <c r="T2" i="8"/>
  <c r="O9" i="8"/>
  <c r="AB8" i="8"/>
  <c r="Z11" i="8"/>
  <c r="W11" i="8"/>
  <c r="P6" i="8"/>
  <c r="AB6" i="8"/>
  <c r="R10" i="8"/>
  <c r="Q8" i="8"/>
  <c r="K5" i="8"/>
  <c r="V6" i="8"/>
  <c r="Y6" i="8"/>
  <c r="Z6" i="8"/>
  <c r="S7" i="8"/>
  <c r="U11" i="8"/>
  <c r="P10" i="8"/>
  <c r="AA5" i="8"/>
  <c r="X3" i="8"/>
  <c r="K2" i="8"/>
  <c r="Q6" i="8"/>
  <c r="W7" i="8"/>
  <c r="AC9" i="8"/>
  <c r="I5" i="8"/>
  <c r="Y7" i="8"/>
  <c r="I7" i="8"/>
  <c r="Q11" i="8"/>
  <c r="U2" i="8"/>
  <c r="H6" i="8"/>
  <c r="I11" i="8"/>
  <c r="V10" i="8"/>
  <c r="W9" i="8"/>
  <c r="U7" i="8"/>
  <c r="AA2" i="8"/>
  <c r="AC5" i="8"/>
  <c r="P11" i="8"/>
  <c r="Q9" i="8"/>
  <c r="V3" i="8"/>
  <c r="X9" i="8"/>
  <c r="O7" i="8"/>
  <c r="AB3" i="8"/>
  <c r="AB2" i="8"/>
  <c r="O5" i="8"/>
  <c r="W2" i="8"/>
  <c r="AA8" i="8"/>
  <c r="S9" i="8"/>
  <c r="AC7" i="8"/>
  <c r="S2" i="8"/>
  <c r="I3" i="8"/>
  <c r="R3" i="8"/>
  <c r="T9" i="8"/>
  <c r="V9" i="8"/>
  <c r="W5" i="8"/>
  <c r="AA6" i="8"/>
  <c r="Y10" i="8"/>
  <c r="Y3" i="8"/>
  <c r="AC11" i="8"/>
  <c r="Y9" i="8"/>
  <c r="R9" i="8"/>
  <c r="AC3" i="8"/>
  <c r="V5" i="8"/>
  <c r="AB5" i="8"/>
  <c r="O6" i="8"/>
  <c r="T11" i="8"/>
  <c r="I9" i="8"/>
  <c r="X2" i="8"/>
  <c r="U5" i="8"/>
  <c r="X7" i="8"/>
  <c r="T7" i="8"/>
  <c r="I10" i="8"/>
  <c r="AB11" i="8"/>
  <c r="H9" i="8"/>
  <c r="T10" i="8"/>
  <c r="K6" i="8"/>
  <c r="R6" i="8"/>
  <c r="AC2" i="8"/>
  <c r="W3" i="8"/>
  <c r="Q5" i="8"/>
  <c r="V2" i="8"/>
  <c r="P9" i="8"/>
  <c r="Q7" i="8"/>
  <c r="K11" i="8"/>
  <c r="P7" i="8"/>
  <c r="AC10" i="8"/>
  <c r="S10" i="8"/>
  <c r="AB9" i="8"/>
  <c r="S6" i="8"/>
  <c r="X5" i="8"/>
  <c r="Y11" i="8"/>
  <c r="K10" i="8"/>
  <c r="H5" i="8"/>
  <c r="I8" i="8"/>
  <c r="U10" i="8"/>
  <c r="U6" i="8"/>
  <c r="O8" i="8"/>
  <c r="W6" i="8"/>
  <c r="Q10" i="8"/>
  <c r="X10" i="8"/>
  <c r="H2" i="8"/>
  <c r="O2" i="8"/>
  <c r="Y8" i="8"/>
  <c r="Q2" i="8"/>
  <c r="K8" i="8"/>
  <c r="W8" i="8"/>
  <c r="R5" i="8"/>
  <c r="T8" i="8"/>
  <c r="AA7" i="8"/>
  <c r="X6" i="8"/>
  <c r="T3" i="8"/>
  <c r="U8" i="8"/>
  <c r="Z5" i="8"/>
  <c r="H7" i="8"/>
  <c r="R8" i="8"/>
  <c r="R7" i="8"/>
  <c r="AB7" i="8"/>
  <c r="AC6" i="8"/>
  <c r="O3" i="8"/>
  <c r="K7" i="8"/>
  <c r="AA3" i="8"/>
  <c r="S8" i="8"/>
  <c r="Z3" i="8"/>
  <c r="I2" i="8"/>
  <c r="AA9" i="8"/>
  <c r="H3" i="8"/>
  <c r="Z7" i="8"/>
  <c r="T6" i="8"/>
  <c r="R2" i="8"/>
  <c r="H11" i="8"/>
  <c r="Z10" i="8"/>
  <c r="AA11" i="8"/>
  <c r="K3" i="8"/>
  <c r="Y5" i="8"/>
  <c r="T5" i="8"/>
  <c r="Y2" i="8"/>
  <c r="P8" i="8"/>
  <c r="Z9" i="8"/>
  <c r="H10" i="8"/>
  <c r="S11" i="8"/>
  <c r="X11" i="8"/>
  <c r="Q3" i="8"/>
  <c r="O10" i="8"/>
  <c r="X8" i="8"/>
  <c r="AB10" i="8"/>
  <c r="V8" i="8"/>
  <c r="AA10" i="8"/>
  <c r="P3" i="8"/>
  <c r="Z2" i="8"/>
  <c r="V11" i="8"/>
  <c r="R11" i="8"/>
  <c r="AC8" i="8"/>
  <c r="U3" i="8"/>
  <c r="S3" i="8"/>
  <c r="V7" i="8"/>
  <c r="P2" i="8"/>
  <c r="Z8" i="8"/>
  <c r="I6" i="8"/>
  <c r="H8" i="8"/>
  <c r="K9" i="8"/>
  <c r="U9" i="8"/>
  <c r="B17" i="2" l="1"/>
  <c r="E17" i="2" s="1"/>
  <c r="G17" i="2" s="1"/>
  <c r="L9" i="8"/>
  <c r="L3" i="8"/>
  <c r="L7" i="8"/>
  <c r="L8" i="8"/>
  <c r="L10" i="8"/>
  <c r="L11" i="8"/>
  <c r="L6" i="8"/>
  <c r="L2" i="8"/>
  <c r="L15" i="8" s="1"/>
  <c r="L5" i="8"/>
  <c r="B18" i="2" l="1"/>
  <c r="E18" i="2" s="1"/>
  <c r="G18" i="2" s="1"/>
  <c r="M7" i="8"/>
  <c r="M4" i="8"/>
  <c r="M2" i="8"/>
  <c r="M10" i="8"/>
  <c r="M8" i="8"/>
  <c r="M5" i="8"/>
  <c r="M3" i="8"/>
  <c r="M11" i="8"/>
  <c r="M6" i="8"/>
  <c r="M9" i="8"/>
  <c r="N55" i="1"/>
  <c r="B19" i="2" l="1"/>
  <c r="E19" i="2" s="1"/>
  <c r="G19" i="2" s="1"/>
  <c r="M15" i="8"/>
  <c r="N54" i="1"/>
  <c r="N53" i="1"/>
  <c r="B20" i="2" l="1"/>
  <c r="E20" i="2" s="1"/>
  <c r="G20" i="2" s="1"/>
  <c r="N52" i="1"/>
  <c r="N51" i="1"/>
  <c r="T29" i="1"/>
  <c r="U29" i="1" s="1"/>
  <c r="B21" i="2" l="1"/>
  <c r="E21" i="2" s="1"/>
  <c r="G21" i="2"/>
  <c r="T26" i="1"/>
  <c r="U26" i="1" s="1"/>
  <c r="T27" i="1"/>
  <c r="U27" i="1" s="1"/>
  <c r="T28" i="1"/>
  <c r="U28" i="1" s="1"/>
  <c r="B22" i="2" l="1"/>
  <c r="E22" i="2" s="1"/>
  <c r="G22" i="2" s="1"/>
  <c r="N50" i="1"/>
  <c r="B23" i="2" l="1"/>
  <c r="E23" i="2" s="1"/>
  <c r="G23" i="2" s="1"/>
  <c r="J2" i="7"/>
  <c r="B24" i="2" l="1"/>
  <c r="E24" i="2" s="1"/>
  <c r="G24" i="2"/>
  <c r="N49" i="1"/>
  <c r="B25" i="2" l="1"/>
  <c r="E25" i="2" s="1"/>
  <c r="G25" i="2" s="1"/>
  <c r="N48" i="1"/>
  <c r="B26" i="2" l="1"/>
  <c r="E26" i="2" s="1"/>
  <c r="G26" i="2" s="1"/>
  <c r="N47" i="1"/>
  <c r="N46" i="1"/>
  <c r="N45" i="1"/>
  <c r="N44" i="1"/>
  <c r="B27" i="2" l="1"/>
  <c r="E27" i="2" s="1"/>
  <c r="G27" i="2" s="1"/>
  <c r="T25" i="1"/>
  <c r="U25" i="1" s="1"/>
  <c r="B28" i="2" l="1"/>
  <c r="E28" i="2" s="1"/>
  <c r="G28" i="2" s="1"/>
  <c r="N43" i="1"/>
  <c r="B29" i="2" l="1"/>
  <c r="E29" i="2" s="1"/>
  <c r="G29" i="2"/>
  <c r="N42" i="1"/>
  <c r="B30" i="2" l="1"/>
  <c r="E30" i="2" s="1"/>
  <c r="G30" i="2" s="1"/>
  <c r="O15" i="1"/>
  <c r="N41" i="1"/>
  <c r="B31" i="2" l="1"/>
  <c r="E31" i="2" s="1"/>
  <c r="G31" i="2" s="1"/>
  <c r="N40" i="1"/>
  <c r="N39" i="1"/>
  <c r="B32" i="2" l="1"/>
  <c r="E32" i="2" s="1"/>
  <c r="G32" i="2"/>
  <c r="N38" i="1"/>
  <c r="B33" i="2" l="1"/>
  <c r="E33" i="2" s="1"/>
  <c r="G33" i="2" s="1"/>
  <c r="N37" i="1"/>
  <c r="B34" i="2" l="1"/>
  <c r="E34" i="2" s="1"/>
  <c r="G34" i="2" s="1"/>
  <c r="H17" i="3"/>
  <c r="N36" i="1"/>
  <c r="N35" i="1"/>
  <c r="B35" i="2" l="1"/>
  <c r="E35" i="2" s="1"/>
  <c r="G35" i="2"/>
  <c r="L19" i="1"/>
  <c r="B36" i="2" l="1"/>
  <c r="E36" i="2" s="1"/>
  <c r="G36" i="2" s="1"/>
  <c r="N34" i="1"/>
  <c r="B37" i="2" l="1"/>
  <c r="E37" i="2" s="1"/>
  <c r="G37" i="2"/>
  <c r="N33" i="1"/>
  <c r="B38" i="2" l="1"/>
  <c r="E38" i="2" s="1"/>
  <c r="G38" i="2" s="1"/>
  <c r="N32" i="1"/>
  <c r="B39" i="2" l="1"/>
  <c r="E39" i="2" s="1"/>
  <c r="G39" i="2" s="1"/>
  <c r="N31" i="1"/>
  <c r="N30" i="1"/>
  <c r="N25" i="1"/>
  <c r="N26" i="1"/>
  <c r="B40" i="2" l="1"/>
  <c r="E40" i="2" s="1"/>
  <c r="G40" i="2"/>
  <c r="N29" i="1"/>
  <c r="B41" i="2" l="1"/>
  <c r="E41" i="2" s="1"/>
  <c r="G41" i="2" s="1"/>
  <c r="N28" i="1"/>
  <c r="B42" i="2" l="1"/>
  <c r="E42" i="2" s="1"/>
  <c r="G42" i="2" s="1"/>
  <c r="N27" i="1"/>
  <c r="B43" i="2" l="1"/>
  <c r="E43" i="2" s="1"/>
  <c r="G43" i="2"/>
  <c r="K5" i="2"/>
  <c r="B44" i="2" l="1"/>
  <c r="E44" i="2" s="1"/>
  <c r="G44" i="2" s="1"/>
  <c r="E3" i="1"/>
  <c r="G3" i="1" s="1"/>
  <c r="B4" i="1" s="1"/>
  <c r="E4" i="1" s="1"/>
  <c r="B45" i="2" l="1"/>
  <c r="E45" i="2" s="1"/>
  <c r="G45" i="2"/>
  <c r="P15" i="1"/>
  <c r="B46" i="2" l="1"/>
  <c r="E46" i="2" s="1"/>
  <c r="G46" i="2" s="1"/>
  <c r="P19" i="1"/>
  <c r="O19" i="1"/>
  <c r="G4" i="1"/>
  <c r="B47" i="2" l="1"/>
  <c r="E47" i="2" s="1"/>
  <c r="G47" i="2" s="1"/>
  <c r="T10" i="1"/>
  <c r="V9" i="1"/>
  <c r="V3" i="1" s="1"/>
  <c r="T7" i="1"/>
  <c r="T5" i="1"/>
  <c r="T8" i="1"/>
  <c r="T4" i="1"/>
  <c r="T6" i="1"/>
  <c r="T11" i="1"/>
  <c r="T19" i="1" s="1"/>
  <c r="T12" i="1"/>
  <c r="Q19" i="1"/>
  <c r="R19" i="1"/>
  <c r="B5" i="1"/>
  <c r="E5" i="1" s="1"/>
  <c r="G5" i="1" s="1"/>
  <c r="B6" i="1" s="1"/>
  <c r="E6" i="1" s="1"/>
  <c r="G6" i="1" s="1"/>
  <c r="B48" i="2" l="1"/>
  <c r="E48" i="2" s="1"/>
  <c r="G48" i="2"/>
  <c r="W3" i="1"/>
  <c r="B7" i="1"/>
  <c r="E7" i="1" s="1"/>
  <c r="G7" i="1" s="1"/>
  <c r="B49" i="2" l="1"/>
  <c r="E49" i="2" s="1"/>
  <c r="G49" i="2" s="1"/>
  <c r="B8" i="1"/>
  <c r="E8" i="1" s="1"/>
  <c r="G8" i="1" s="1"/>
  <c r="B50" i="2" l="1"/>
  <c r="E50" i="2" s="1"/>
  <c r="G50" i="2" s="1"/>
  <c r="B9" i="1"/>
  <c r="E9" i="1" s="1"/>
  <c r="G9" i="1" s="1"/>
  <c r="B51" i="2" l="1"/>
  <c r="E51" i="2" s="1"/>
  <c r="G51" i="2" s="1"/>
  <c r="B10" i="1"/>
  <c r="E10" i="1" s="1"/>
  <c r="G10" i="1" s="1"/>
  <c r="B52" i="2" l="1"/>
  <c r="E52" i="2" s="1"/>
  <c r="G52" i="2" s="1"/>
  <c r="B11" i="1"/>
  <c r="E11" i="1" s="1"/>
  <c r="G11" i="1" s="1"/>
  <c r="B53" i="2" l="1"/>
  <c r="E53" i="2" s="1"/>
  <c r="G53" i="2"/>
  <c r="B12" i="1"/>
  <c r="E12" i="1" s="1"/>
  <c r="G12" i="1" s="1"/>
  <c r="B54" i="2" l="1"/>
  <c r="E54" i="2" s="1"/>
  <c r="G54" i="2" s="1"/>
  <c r="B13" i="1"/>
  <c r="E13" i="1" s="1"/>
  <c r="G13" i="1" s="1"/>
  <c r="B55" i="2" l="1"/>
  <c r="E55" i="2" s="1"/>
  <c r="G55" i="2" s="1"/>
  <c r="B14" i="1"/>
  <c r="E14" i="1" s="1"/>
  <c r="G14" i="1" s="1"/>
  <c r="B56" i="2" l="1"/>
  <c r="E56" i="2" s="1"/>
  <c r="G56" i="2"/>
  <c r="B15" i="1"/>
  <c r="E15" i="1" s="1"/>
  <c r="G15" i="1" s="1"/>
  <c r="B57" i="2" l="1"/>
  <c r="E57" i="2" s="1"/>
  <c r="G57" i="2" s="1"/>
  <c r="B16" i="1"/>
  <c r="E16" i="1" s="1"/>
  <c r="G16" i="1" s="1"/>
  <c r="B58" i="2" l="1"/>
  <c r="E58" i="2" s="1"/>
  <c r="G58" i="2" s="1"/>
  <c r="B17" i="1"/>
  <c r="E17" i="1" s="1"/>
  <c r="G17" i="1" s="1"/>
  <c r="B59" i="2" l="1"/>
  <c r="E59" i="2" s="1"/>
  <c r="G59" i="2"/>
  <c r="B18" i="1"/>
  <c r="B60" i="2" l="1"/>
  <c r="E60" i="2" s="1"/>
  <c r="G60" i="2" s="1"/>
  <c r="E18" i="1"/>
  <c r="G18" i="1" s="1"/>
  <c r="B19" i="1" s="1"/>
  <c r="E19" i="1" s="1"/>
  <c r="G19" i="1" s="1"/>
  <c r="B61" i="2" l="1"/>
  <c r="E61" i="2" s="1"/>
  <c r="G61" i="2"/>
  <c r="B20" i="1"/>
  <c r="E20" i="1" s="1"/>
  <c r="G20" i="1" s="1"/>
  <c r="B62" i="2" l="1"/>
  <c r="E62" i="2" s="1"/>
  <c r="G62" i="2" s="1"/>
  <c r="B21" i="1"/>
  <c r="E21" i="1" s="1"/>
  <c r="G21" i="1" s="1"/>
  <c r="B63" i="2" l="1"/>
  <c r="E63" i="2" s="1"/>
  <c r="G63" i="2" s="1"/>
  <c r="B22" i="1"/>
  <c r="E22" i="1" s="1"/>
  <c r="G22" i="1" s="1"/>
  <c r="B64" i="2" l="1"/>
  <c r="E64" i="2" s="1"/>
  <c r="G64" i="2"/>
  <c r="B23" i="1"/>
  <c r="E23" i="1" s="1"/>
  <c r="G23" i="1" s="1"/>
  <c r="B65" i="2" l="1"/>
  <c r="E65" i="2" s="1"/>
  <c r="G65" i="2" s="1"/>
  <c r="B24" i="1"/>
  <c r="E24" i="1" s="1"/>
  <c r="G24" i="1" s="1"/>
  <c r="B66" i="2" l="1"/>
  <c r="E66" i="2" s="1"/>
  <c r="G66" i="2" s="1"/>
  <c r="B25" i="1"/>
  <c r="E25" i="1" s="1"/>
  <c r="G25" i="1" s="1"/>
  <c r="B67" i="2" l="1"/>
  <c r="E67" i="2" s="1"/>
  <c r="G67" i="2"/>
  <c r="B26" i="1"/>
  <c r="E26" i="1" s="1"/>
  <c r="G26" i="1" s="1"/>
  <c r="B68" i="2" l="1"/>
  <c r="E68" i="2" s="1"/>
  <c r="G68" i="2" s="1"/>
  <c r="B27" i="1"/>
  <c r="E27" i="1" s="1"/>
  <c r="G27" i="1" s="1"/>
  <c r="B69" i="2" l="1"/>
  <c r="E69" i="2" s="1"/>
  <c r="G69" i="2"/>
  <c r="B28" i="1"/>
  <c r="E28" i="1" s="1"/>
  <c r="G28" i="1" s="1"/>
  <c r="B70" i="2" l="1"/>
  <c r="E70" i="2" s="1"/>
  <c r="G70" i="2" s="1"/>
  <c r="B29" i="1"/>
  <c r="E29" i="1" s="1"/>
  <c r="G29" i="1" s="1"/>
  <c r="B71" i="2" l="1"/>
  <c r="E71" i="2" s="1"/>
  <c r="G71" i="2" s="1"/>
  <c r="B30" i="1"/>
  <c r="E30" i="1" s="1"/>
  <c r="G30" i="1" s="1"/>
  <c r="B72" i="2" l="1"/>
  <c r="E72" i="2" s="1"/>
  <c r="G72" i="2"/>
  <c r="B31" i="1"/>
  <c r="E31" i="1" s="1"/>
  <c r="B73" i="2" l="1"/>
  <c r="E73" i="2" s="1"/>
  <c r="G73" i="2" s="1"/>
  <c r="G31" i="1"/>
  <c r="B32" i="1" s="1"/>
  <c r="E32" i="1" s="1"/>
  <c r="G32" i="1" s="1"/>
  <c r="B74" i="2" l="1"/>
  <c r="E74" i="2" s="1"/>
  <c r="G74" i="2" s="1"/>
  <c r="B33" i="1"/>
  <c r="E33" i="1" s="1"/>
  <c r="G33" i="1" s="1"/>
  <c r="B75" i="2" l="1"/>
  <c r="E75" i="2" s="1"/>
  <c r="G75" i="2"/>
  <c r="B34" i="1"/>
  <c r="E34" i="1" s="1"/>
  <c r="G34" i="1" s="1"/>
  <c r="B76" i="2" l="1"/>
  <c r="E76" i="2" s="1"/>
  <c r="G76" i="2" s="1"/>
  <c r="B35" i="1"/>
  <c r="E35" i="1" s="1"/>
  <c r="G35" i="1" s="1"/>
  <c r="B77" i="2" l="1"/>
  <c r="E77" i="2" s="1"/>
  <c r="G77" i="2"/>
  <c r="B36" i="1"/>
  <c r="E36" i="1" s="1"/>
  <c r="G36" i="1" s="1"/>
  <c r="B78" i="2" l="1"/>
  <c r="E78" i="2" s="1"/>
  <c r="G78" i="2" s="1"/>
  <c r="B37" i="1"/>
  <c r="E37" i="1" s="1"/>
  <c r="G37" i="1" s="1"/>
  <c r="B79" i="2" l="1"/>
  <c r="E79" i="2" s="1"/>
  <c r="G79" i="2" s="1"/>
  <c r="B38" i="1"/>
  <c r="E38" i="1" s="1"/>
  <c r="G38" i="1" s="1"/>
  <c r="B80" i="2" l="1"/>
  <c r="E80" i="2" s="1"/>
  <c r="G80" i="2"/>
  <c r="B39" i="1"/>
  <c r="E39" i="1" s="1"/>
  <c r="G39" i="1" s="1"/>
  <c r="B81" i="2" l="1"/>
  <c r="E81" i="2" s="1"/>
  <c r="G81" i="2" s="1"/>
  <c r="B40" i="1"/>
  <c r="E40" i="1" s="1"/>
  <c r="G40" i="1" s="1"/>
  <c r="B82" i="2" l="1"/>
  <c r="E82" i="2" s="1"/>
  <c r="G82" i="2"/>
  <c r="B41" i="1"/>
  <c r="E41" i="1" s="1"/>
  <c r="G41" i="1" s="1"/>
  <c r="B83" i="2" l="1"/>
  <c r="E83" i="2" s="1"/>
  <c r="G83" i="2" s="1"/>
  <c r="B42" i="1"/>
  <c r="E42" i="1" s="1"/>
  <c r="G42" i="1" s="1"/>
  <c r="B84" i="2" l="1"/>
  <c r="E84" i="2" s="1"/>
  <c r="G84" i="2" s="1"/>
  <c r="B43" i="1"/>
  <c r="E43" i="1" s="1"/>
  <c r="G43" i="1" s="1"/>
  <c r="B85" i="2" l="1"/>
  <c r="E85" i="2" s="1"/>
  <c r="G85" i="2"/>
  <c r="B44" i="1"/>
  <c r="E44" i="1" s="1"/>
  <c r="G44" i="1" s="1"/>
  <c r="B86" i="2" l="1"/>
  <c r="E86" i="2" s="1"/>
  <c r="G86" i="2" s="1"/>
  <c r="B45" i="1"/>
  <c r="E45" i="1" s="1"/>
  <c r="G45" i="1" s="1"/>
  <c r="B87" i="2" l="1"/>
  <c r="E87" i="2" s="1"/>
  <c r="G87" i="2" s="1"/>
  <c r="B46" i="1"/>
  <c r="E46" i="1" s="1"/>
  <c r="G46" i="1" s="1"/>
  <c r="B88" i="2" l="1"/>
  <c r="E88" i="2" s="1"/>
  <c r="G88" i="2"/>
  <c r="B47" i="1"/>
  <c r="E47" i="1" s="1"/>
  <c r="G47" i="1" s="1"/>
  <c r="B89" i="2" l="1"/>
  <c r="E89" i="2" s="1"/>
  <c r="G89" i="2" s="1"/>
  <c r="B48" i="1"/>
  <c r="E48" i="1" s="1"/>
  <c r="G48" i="1" s="1"/>
  <c r="B90" i="2" l="1"/>
  <c r="E90" i="2" s="1"/>
  <c r="G90" i="2"/>
  <c r="B49" i="1"/>
  <c r="E49" i="1" s="1"/>
  <c r="G49" i="1" s="1"/>
  <c r="B91" i="2" l="1"/>
  <c r="E91" i="2" s="1"/>
  <c r="G91" i="2" s="1"/>
  <c r="B50" i="1"/>
  <c r="E50" i="1" s="1"/>
  <c r="G50" i="1" s="1"/>
  <c r="B92" i="2" l="1"/>
  <c r="E92" i="2" s="1"/>
  <c r="G92" i="2" s="1"/>
  <c r="B51" i="1"/>
  <c r="E51" i="1" s="1"/>
  <c r="G51" i="1" s="1"/>
  <c r="B93" i="2" l="1"/>
  <c r="E93" i="2" s="1"/>
  <c r="G93" i="2"/>
  <c r="B52" i="1"/>
  <c r="E52" i="1" s="1"/>
  <c r="G52" i="1" s="1"/>
  <c r="B94" i="2" l="1"/>
  <c r="E94" i="2" s="1"/>
  <c r="G94" i="2" s="1"/>
  <c r="B53" i="1"/>
  <c r="E53" i="1" s="1"/>
  <c r="G53" i="1" s="1"/>
  <c r="B95" i="2" l="1"/>
  <c r="E95" i="2" s="1"/>
  <c r="G95" i="2" s="1"/>
  <c r="B54" i="1"/>
  <c r="E54" i="1" s="1"/>
  <c r="G54" i="1" s="1"/>
  <c r="B96" i="2" l="1"/>
  <c r="E96" i="2" s="1"/>
  <c r="G96" i="2" s="1"/>
  <c r="B55" i="1"/>
  <c r="E55" i="1" s="1"/>
  <c r="G55" i="1" s="1"/>
  <c r="B97" i="2" l="1"/>
  <c r="E97" i="2" s="1"/>
  <c r="G97" i="2" s="1"/>
  <c r="B56" i="1"/>
  <c r="E56" i="1" s="1"/>
  <c r="G56" i="1" s="1"/>
  <c r="B98" i="2" l="1"/>
  <c r="E98" i="2" s="1"/>
  <c r="G98" i="2"/>
  <c r="B57" i="1"/>
  <c r="E57" i="1" s="1"/>
  <c r="G57" i="1" s="1"/>
  <c r="B99" i="2" l="1"/>
  <c r="E99" i="2" s="1"/>
  <c r="G99" i="2" s="1"/>
  <c r="B58" i="1"/>
  <c r="E58" i="1" s="1"/>
  <c r="G58" i="1" s="1"/>
  <c r="B100" i="2" l="1"/>
  <c r="E100" i="2" s="1"/>
  <c r="G100" i="2" s="1"/>
  <c r="B59" i="1"/>
  <c r="E59" i="1" s="1"/>
  <c r="G59" i="1" s="1"/>
  <c r="B101" i="2" l="1"/>
  <c r="E101" i="2" s="1"/>
  <c r="G101" i="2"/>
  <c r="B60" i="1"/>
  <c r="E60" i="1" s="1"/>
  <c r="G60" i="1" s="1"/>
  <c r="B102" i="2" l="1"/>
  <c r="E102" i="2" s="1"/>
  <c r="G102" i="2" s="1"/>
  <c r="B61" i="1"/>
  <c r="E61" i="1" s="1"/>
  <c r="G61" i="1" s="1"/>
  <c r="B103" i="2" l="1"/>
  <c r="E103" i="2" s="1"/>
  <c r="G103" i="2" s="1"/>
  <c r="B62" i="1"/>
  <c r="E62" i="1" s="1"/>
  <c r="G62" i="1" s="1"/>
  <c r="B104" i="2" l="1"/>
  <c r="E104" i="2" s="1"/>
  <c r="G104" i="2"/>
  <c r="B63" i="1"/>
  <c r="E63" i="1" s="1"/>
  <c r="G63" i="1" s="1"/>
  <c r="B105" i="2" l="1"/>
  <c r="E105" i="2" s="1"/>
  <c r="G105" i="2" s="1"/>
  <c r="B64" i="1"/>
  <c r="E64" i="1" s="1"/>
  <c r="G64" i="1" s="1"/>
  <c r="B106" i="2" l="1"/>
  <c r="E106" i="2" s="1"/>
  <c r="G106" i="2"/>
  <c r="B65" i="1"/>
  <c r="E65" i="1" s="1"/>
  <c r="G65" i="1" s="1"/>
  <c r="B107" i="2" l="1"/>
  <c r="E107" i="2" s="1"/>
  <c r="G107" i="2" s="1"/>
  <c r="B66" i="1"/>
  <c r="E66" i="1" s="1"/>
  <c r="G66" i="1" s="1"/>
  <c r="B108" i="2" l="1"/>
  <c r="E108" i="2" s="1"/>
  <c r="G108" i="2" s="1"/>
  <c r="B67" i="1"/>
  <c r="E67" i="1" s="1"/>
  <c r="G67" i="1" s="1"/>
  <c r="B109" i="2" l="1"/>
  <c r="E109" i="2" s="1"/>
  <c r="G109" i="2"/>
  <c r="B68" i="1"/>
  <c r="E68" i="1" s="1"/>
  <c r="G68" i="1" s="1"/>
  <c r="B110" i="2" l="1"/>
  <c r="E110" i="2" s="1"/>
  <c r="G110" i="2" s="1"/>
  <c r="B69" i="1"/>
  <c r="E69" i="1" s="1"/>
  <c r="G69" i="1" s="1"/>
  <c r="B111" i="2" l="1"/>
  <c r="E111" i="2" s="1"/>
  <c r="G111" i="2" s="1"/>
  <c r="B70" i="1"/>
  <c r="E70" i="1" s="1"/>
  <c r="G70" i="1" s="1"/>
  <c r="B112" i="2" l="1"/>
  <c r="E112" i="2" s="1"/>
  <c r="G112" i="2"/>
  <c r="B71" i="1"/>
  <c r="E71" i="1" s="1"/>
  <c r="G71" i="1" s="1"/>
  <c r="B113" i="2" l="1"/>
  <c r="E113" i="2" s="1"/>
  <c r="G113" i="2" s="1"/>
  <c r="B72" i="1"/>
  <c r="E72" i="1" s="1"/>
  <c r="G72" i="1" s="1"/>
  <c r="B114" i="2" l="1"/>
  <c r="E114" i="2" s="1"/>
  <c r="G114" i="2"/>
  <c r="B73" i="1"/>
  <c r="E73" i="1" s="1"/>
  <c r="G73" i="1" s="1"/>
  <c r="B115" i="2" l="1"/>
  <c r="E115" i="2" s="1"/>
  <c r="G115" i="2" s="1"/>
  <c r="B74" i="1"/>
  <c r="E74" i="1" s="1"/>
  <c r="G74" i="1" s="1"/>
  <c r="B116" i="2" l="1"/>
  <c r="E116" i="2" s="1"/>
  <c r="G116" i="2" s="1"/>
  <c r="B75" i="1"/>
  <c r="E75" i="1" s="1"/>
  <c r="G75" i="1" s="1"/>
  <c r="B117" i="2" l="1"/>
  <c r="E117" i="2" s="1"/>
  <c r="G117" i="2"/>
  <c r="B76" i="1"/>
  <c r="E76" i="1" s="1"/>
  <c r="G76" i="1" s="1"/>
  <c r="B118" i="2" l="1"/>
  <c r="E118" i="2" s="1"/>
  <c r="G118" i="2" s="1"/>
  <c r="B77" i="1"/>
  <c r="E77" i="1" s="1"/>
  <c r="G77" i="1" s="1"/>
  <c r="B119" i="2" l="1"/>
  <c r="E119" i="2" s="1"/>
  <c r="G119" i="2" s="1"/>
  <c r="B78" i="1"/>
  <c r="E78" i="1" s="1"/>
  <c r="G78" i="1" s="1"/>
  <c r="B120" i="2" l="1"/>
  <c r="E120" i="2" s="1"/>
  <c r="G120" i="2" s="1"/>
  <c r="B79" i="1"/>
  <c r="E79" i="1" s="1"/>
  <c r="G79" i="1" s="1"/>
  <c r="B121" i="2" l="1"/>
  <c r="E121" i="2" s="1"/>
  <c r="G121" i="2" s="1"/>
  <c r="B80" i="1"/>
  <c r="E80" i="1" s="1"/>
  <c r="G80" i="1" s="1"/>
  <c r="B122" i="2" l="1"/>
  <c r="E122" i="2" s="1"/>
  <c r="G122" i="2" s="1"/>
  <c r="B81" i="1"/>
  <c r="E81" i="1" s="1"/>
  <c r="G81" i="1" s="1"/>
  <c r="B123" i="2" l="1"/>
  <c r="E123" i="2" s="1"/>
  <c r="G123" i="2" s="1"/>
  <c r="B82" i="1"/>
  <c r="E82" i="1" s="1"/>
  <c r="G82" i="1" s="1"/>
  <c r="B124" i="2" l="1"/>
  <c r="E124" i="2" s="1"/>
  <c r="G124" i="2" s="1"/>
  <c r="B83" i="1"/>
  <c r="E83" i="1" s="1"/>
  <c r="G83" i="1" s="1"/>
  <c r="B125" i="2" l="1"/>
  <c r="E125" i="2" s="1"/>
  <c r="G125" i="2"/>
  <c r="B84" i="1"/>
  <c r="E84" i="1" s="1"/>
  <c r="G84" i="1" s="1"/>
  <c r="B126" i="2" l="1"/>
  <c r="E126" i="2" s="1"/>
  <c r="G126" i="2" s="1"/>
  <c r="B85" i="1"/>
  <c r="E85" i="1" s="1"/>
  <c r="G85" i="1" s="1"/>
  <c r="B127" i="2" l="1"/>
  <c r="E127" i="2" s="1"/>
  <c r="G127" i="2" s="1"/>
  <c r="B86" i="1"/>
  <c r="E86" i="1" s="1"/>
  <c r="G86" i="1" s="1"/>
  <c r="B87" i="1" l="1"/>
  <c r="E87" i="1" s="1"/>
  <c r="G87" i="1" s="1"/>
  <c r="B88" i="1" l="1"/>
  <c r="E88" i="1" s="1"/>
  <c r="G88" i="1" s="1"/>
  <c r="B89" i="1" l="1"/>
  <c r="B90" i="1" l="1"/>
  <c r="E90" i="1" s="1"/>
  <c r="G90" i="1" s="1"/>
  <c r="B91" i="1" l="1"/>
  <c r="E91" i="1" s="1"/>
  <c r="G91" i="1" s="1"/>
  <c r="B92" i="1" l="1"/>
  <c r="E92" i="1" s="1"/>
  <c r="G92" i="1" s="1"/>
  <c r="B93" i="1" l="1"/>
  <c r="E93" i="1" s="1"/>
  <c r="G93" i="1" s="1"/>
  <c r="B94" i="1" l="1"/>
  <c r="E94" i="1" s="1"/>
  <c r="G94" i="1" s="1"/>
  <c r="B95" i="1" l="1"/>
  <c r="E95" i="1" s="1"/>
  <c r="G95" i="1" s="1"/>
  <c r="B96" i="1" l="1"/>
  <c r="E96" i="1" s="1"/>
  <c r="G96" i="1" s="1"/>
  <c r="B97" i="1" l="1"/>
  <c r="E97" i="1" s="1"/>
  <c r="G97" i="1" s="1"/>
  <c r="B98" i="1" l="1"/>
  <c r="E98" i="1" s="1"/>
  <c r="G98" i="1" s="1"/>
  <c r="B99" i="1" l="1"/>
  <c r="E99" i="1" s="1"/>
  <c r="G99" i="1" s="1"/>
  <c r="B100" i="1" l="1"/>
  <c r="E100" i="1" s="1"/>
  <c r="G100" i="1" s="1"/>
  <c r="B101" i="1" l="1"/>
  <c r="E101" i="1" s="1"/>
  <c r="G101" i="1" s="1"/>
  <c r="B102" i="1" l="1"/>
  <c r="E102" i="1" s="1"/>
  <c r="G102" i="1" s="1"/>
  <c r="B103" i="1" l="1"/>
  <c r="E103" i="1" s="1"/>
  <c r="G103" i="1" s="1"/>
  <c r="B104" i="1" l="1"/>
  <c r="E104" i="1" s="1"/>
  <c r="G104" i="1" s="1"/>
  <c r="B105" i="1" l="1"/>
  <c r="E105" i="1" s="1"/>
  <c r="G105" i="1" s="1"/>
  <c r="B106" i="1" l="1"/>
  <c r="E106" i="1" s="1"/>
  <c r="G106" i="1" s="1"/>
  <c r="B107" i="1" l="1"/>
  <c r="E107" i="1" s="1"/>
  <c r="G107" i="1" s="1"/>
  <c r="B108" i="1" l="1"/>
  <c r="E108" i="1" s="1"/>
  <c r="G108" i="1" s="1"/>
  <c r="B109" i="1" l="1"/>
  <c r="E109" i="1" s="1"/>
  <c r="G109" i="1" s="1"/>
  <c r="B110" i="1" l="1"/>
  <c r="E110" i="1" s="1"/>
  <c r="G110" i="1" s="1"/>
  <c r="B111" i="1" l="1"/>
  <c r="E111" i="1" s="1"/>
  <c r="G111" i="1" s="1"/>
  <c r="B112" i="1" l="1"/>
  <c r="E112" i="1" s="1"/>
  <c r="G112" i="1" s="1"/>
  <c r="B113" i="1" l="1"/>
  <c r="E113" i="1" s="1"/>
  <c r="G113" i="1" s="1"/>
  <c r="B114" i="1" l="1"/>
  <c r="E114" i="1" s="1"/>
  <c r="G114" i="1" s="1"/>
  <c r="B115" i="1" l="1"/>
  <c r="E115" i="1" s="1"/>
  <c r="G115" i="1" s="1"/>
  <c r="B116" i="1" l="1"/>
  <c r="E116" i="1" s="1"/>
  <c r="G116" i="1" s="1"/>
  <c r="B117" i="1" l="1"/>
  <c r="E117" i="1" s="1"/>
  <c r="G117" i="1" s="1"/>
  <c r="B118" i="1" l="1"/>
  <c r="E118" i="1" s="1"/>
  <c r="G118" i="1" s="1"/>
  <c r="B119" i="1" l="1"/>
  <c r="E119" i="1" s="1"/>
  <c r="G119" i="1" s="1"/>
  <c r="B120" i="1" l="1"/>
  <c r="E120" i="1" s="1"/>
  <c r="G120" i="1" s="1"/>
  <c r="B121" i="1" l="1"/>
  <c r="E121" i="1" s="1"/>
  <c r="G121" i="1" s="1"/>
  <c r="B122" i="1" l="1"/>
  <c r="E122" i="1" s="1"/>
  <c r="G122" i="1" s="1"/>
  <c r="B123" i="1" l="1"/>
  <c r="E123" i="1" s="1"/>
  <c r="G123" i="1" s="1"/>
  <c r="B124" i="1" l="1"/>
  <c r="E124" i="1" s="1"/>
  <c r="G124" i="1" s="1"/>
  <c r="B125" i="1" l="1"/>
  <c r="E125" i="1" s="1"/>
  <c r="G125" i="1" s="1"/>
  <c r="B128" i="2" l="1"/>
  <c r="E128" i="2" s="1"/>
  <c r="G128" i="2" s="1"/>
  <c r="B129" i="2" s="1"/>
  <c r="E129" i="2" s="1"/>
  <c r="G129" i="2" s="1"/>
  <c r="B130" i="2" s="1"/>
  <c r="E130" i="2" s="1"/>
  <c r="G130" i="2" s="1"/>
  <c r="B126" i="1"/>
  <c r="E126" i="1" s="1"/>
  <c r="G126" i="1" s="1"/>
  <c r="B131" i="2" l="1"/>
  <c r="E131" i="2" s="1"/>
  <c r="G131" i="2" s="1"/>
  <c r="B132" i="2" s="1"/>
  <c r="E132" i="2" s="1"/>
  <c r="G132" i="2" s="1"/>
  <c r="B133" i="2" s="1"/>
  <c r="E133" i="2" s="1"/>
  <c r="G133" i="2" s="1"/>
  <c r="B134" i="2" s="1"/>
  <c r="E134" i="2" s="1"/>
  <c r="G134" i="2" s="1"/>
  <c r="B135" i="2" s="1"/>
  <c r="E135" i="2" s="1"/>
  <c r="G135" i="2" s="1"/>
  <c r="B127" i="1"/>
  <c r="E127" i="1" s="1"/>
  <c r="G127" i="1" s="1"/>
  <c r="B128" i="1" s="1"/>
  <c r="E128" i="1" s="1"/>
  <c r="G128" i="1" s="1"/>
  <c r="B129" i="1" l="1"/>
  <c r="E129" i="1" s="1"/>
  <c r="G129" i="1"/>
  <c r="B130" i="1" s="1"/>
  <c r="E130" i="1" s="1"/>
  <c r="G130" i="1" s="1"/>
  <c r="B136" i="2"/>
  <c r="E136" i="2" s="1"/>
  <c r="G136" i="2"/>
  <c r="B137" i="2" s="1"/>
  <c r="E137" i="2" s="1"/>
  <c r="G137" i="2" s="1"/>
  <c r="B131" i="1" l="1"/>
  <c r="E131" i="1" s="1"/>
  <c r="G131" i="1"/>
  <c r="B138" i="2"/>
  <c r="E138" i="2" s="1"/>
  <c r="G138" i="2" s="1"/>
  <c r="B132" i="1" l="1"/>
  <c r="E132" i="1" s="1"/>
  <c r="G132" i="1" s="1"/>
  <c r="B133" i="1" s="1"/>
  <c r="E133" i="1" s="1"/>
  <c r="G133" i="1" s="1"/>
  <c r="B139" i="2"/>
  <c r="E139" i="2" s="1"/>
  <c r="G139" i="2" s="1"/>
  <c r="B134" i="1" l="1"/>
  <c r="E134" i="1" s="1"/>
  <c r="G134" i="1" s="1"/>
  <c r="B140" i="2"/>
  <c r="E140" i="2" s="1"/>
  <c r="G140" i="2" s="1"/>
  <c r="B141" i="2" s="1"/>
  <c r="E141" i="2" s="1"/>
  <c r="G141" i="2" s="1"/>
  <c r="B142" i="2" s="1"/>
  <c r="E142" i="2" s="1"/>
  <c r="G142" i="2" s="1"/>
  <c r="B135" i="1" l="1"/>
  <c r="E135" i="1" s="1"/>
  <c r="G135" i="1" s="1"/>
  <c r="B143" i="2"/>
  <c r="E143" i="2" s="1"/>
  <c r="G143" i="2"/>
  <c r="B136" i="1" l="1"/>
  <c r="E136" i="1" s="1"/>
  <c r="G136" i="1" s="1"/>
  <c r="B144" i="2"/>
  <c r="E144" i="2" s="1"/>
  <c r="G144" i="2" s="1"/>
  <c r="B145" i="2" s="1"/>
  <c r="E145" i="2" s="1"/>
  <c r="G145" i="2" s="1"/>
  <c r="B146" i="2" s="1"/>
  <c r="E146" i="2" s="1"/>
  <c r="G146" i="2" s="1"/>
  <c r="B137" i="1" l="1"/>
  <c r="E137" i="1" s="1"/>
  <c r="G137" i="1"/>
  <c r="B138" i="1" s="1"/>
  <c r="E138" i="1" s="1"/>
  <c r="G138" i="1" s="1"/>
  <c r="B147" i="2"/>
  <c r="E147" i="2" s="1"/>
  <c r="G147" i="2"/>
  <c r="B139" i="1" l="1"/>
  <c r="E139" i="1" s="1"/>
  <c r="G139" i="1" s="1"/>
  <c r="B148" i="2"/>
  <c r="E148" i="2" s="1"/>
  <c r="G148" i="2" s="1"/>
  <c r="B149" i="2" s="1"/>
  <c r="E149" i="2" s="1"/>
  <c r="G149" i="2" s="1"/>
  <c r="B150" i="2" s="1"/>
  <c r="E150" i="2" s="1"/>
  <c r="G150" i="2" s="1"/>
  <c r="B140" i="1" l="1"/>
  <c r="E140" i="1" s="1"/>
  <c r="G140" i="1"/>
  <c r="B141" i="1" s="1"/>
  <c r="E141" i="1" s="1"/>
  <c r="G141" i="1" s="1"/>
  <c r="B151" i="2"/>
  <c r="E151" i="2" s="1"/>
  <c r="G151" i="2"/>
  <c r="B142" i="1" l="1"/>
  <c r="E142" i="1" s="1"/>
  <c r="G142" i="1" s="1"/>
  <c r="B143" i="1" s="1"/>
  <c r="E143" i="1" s="1"/>
  <c r="G143" i="1" s="1"/>
  <c r="B152" i="2"/>
  <c r="E152" i="2" s="1"/>
  <c r="G152" i="2" s="1"/>
  <c r="B153" i="2" s="1"/>
  <c r="E153" i="2" s="1"/>
  <c r="G153" i="2" s="1"/>
  <c r="B144" i="1" l="1"/>
  <c r="E144" i="1" s="1"/>
  <c r="G144" i="1"/>
  <c r="B154" i="2"/>
  <c r="E154" i="2" s="1"/>
  <c r="G154" i="2" s="1"/>
  <c r="B145" i="1" l="1"/>
  <c r="E145" i="1" s="1"/>
  <c r="G145" i="1" s="1"/>
  <c r="B146" i="1" s="1"/>
  <c r="E146" i="1" s="1"/>
  <c r="G146" i="1" s="1"/>
  <c r="B155" i="2"/>
  <c r="E155" i="2" s="1"/>
  <c r="G155" i="2" s="1"/>
  <c r="B147" i="1" l="1"/>
  <c r="E147" i="1" s="1"/>
  <c r="G147" i="1"/>
  <c r="B148" i="1" s="1"/>
  <c r="E148" i="1" s="1"/>
  <c r="G148" i="1" s="1"/>
  <c r="B149" i="1" s="1"/>
  <c r="E149" i="1" s="1"/>
  <c r="G149" i="1" s="1"/>
  <c r="B156" i="2"/>
  <c r="E156" i="2" s="1"/>
  <c r="G156" i="2" s="1"/>
  <c r="B157" i="2" s="1"/>
  <c r="E157" i="2" s="1"/>
  <c r="G157" i="2" s="1"/>
  <c r="B158" i="2" s="1"/>
  <c r="E158" i="2" s="1"/>
  <c r="G158" i="2" s="1"/>
  <c r="B150" i="1" l="1"/>
  <c r="E150" i="1" s="1"/>
  <c r="G150" i="1" s="1"/>
  <c r="B159" i="2"/>
  <c r="E159" i="2" s="1"/>
  <c r="G159" i="2" s="1"/>
  <c r="B151" i="1" l="1"/>
  <c r="E151" i="1" s="1"/>
  <c r="G151" i="1"/>
  <c r="B160" i="2"/>
  <c r="E160" i="2" s="1"/>
  <c r="G160" i="2" s="1"/>
  <c r="B161" i="2" s="1"/>
  <c r="E161" i="2" s="1"/>
  <c r="G161" i="2" s="1"/>
  <c r="B152" i="1" l="1"/>
  <c r="E152" i="1" s="1"/>
  <c r="G152" i="1" s="1"/>
  <c r="B162" i="2"/>
  <c r="E162" i="2" s="1"/>
  <c r="G162" i="2" s="1"/>
  <c r="B163" i="2" s="1"/>
  <c r="E163" i="2" s="1"/>
  <c r="G163" i="2" s="1"/>
  <c r="B153" i="1" l="1"/>
  <c r="E153" i="1" s="1"/>
  <c r="G153" i="1" s="1"/>
  <c r="B154" i="1" s="1"/>
  <c r="E154" i="1" s="1"/>
  <c r="G154" i="1" s="1"/>
  <c r="B164" i="2"/>
  <c r="E164" i="2" s="1"/>
  <c r="G164" i="2" s="1"/>
  <c r="B165" i="2" s="1"/>
  <c r="E165" i="2" s="1"/>
  <c r="G165" i="2" s="1"/>
  <c r="B166" i="2" s="1"/>
  <c r="E166" i="2" s="1"/>
  <c r="G166" i="2" s="1"/>
  <c r="B155" i="1" l="1"/>
  <c r="E155" i="1" s="1"/>
  <c r="G155" i="1" s="1"/>
  <c r="B167" i="2"/>
  <c r="E167" i="2" s="1"/>
  <c r="G167" i="2" s="1"/>
  <c r="B168" i="2" s="1"/>
  <c r="E168" i="2" s="1"/>
  <c r="G168" i="2" s="1"/>
  <c r="B169" i="2" s="1"/>
  <c r="E169" i="2" s="1"/>
  <c r="G169" i="2" s="1"/>
  <c r="B170" i="2" s="1"/>
  <c r="E170" i="2" s="1"/>
  <c r="G170" i="2" s="1"/>
  <c r="B156" i="1" l="1"/>
  <c r="E156" i="1" s="1"/>
  <c r="G156" i="1" s="1"/>
  <c r="B157" i="1" s="1"/>
  <c r="E157" i="1" s="1"/>
  <c r="G157" i="1" s="1"/>
  <c r="B171" i="2"/>
  <c r="E171" i="2" s="1"/>
  <c r="G171" i="2"/>
  <c r="B158" i="1" l="1"/>
  <c r="E158" i="1" s="1"/>
  <c r="G158" i="1"/>
  <c r="B159" i="1" s="1"/>
  <c r="E159" i="1" s="1"/>
  <c r="G159" i="1" s="1"/>
  <c r="B172" i="2"/>
  <c r="E172" i="2" s="1"/>
  <c r="G172" i="2"/>
  <c r="B173" i="2" s="1"/>
  <c r="E173" i="2" s="1"/>
  <c r="G173" i="2" s="1"/>
  <c r="B174" i="2" s="1"/>
  <c r="E174" i="2" s="1"/>
  <c r="G174" i="2" s="1"/>
  <c r="B160" i="1" l="1"/>
  <c r="E160" i="1" s="1"/>
  <c r="G160" i="1" s="1"/>
  <c r="B175" i="2"/>
  <c r="E175" i="2" s="1"/>
  <c r="G175" i="2" s="1"/>
  <c r="B161" i="1" l="1"/>
  <c r="E161" i="1" s="1"/>
  <c r="G161" i="1" s="1"/>
  <c r="B162" i="1" s="1"/>
  <c r="E162" i="1" s="1"/>
  <c r="G162" i="1" s="1"/>
  <c r="B176" i="2"/>
  <c r="E176" i="2" s="1"/>
  <c r="G176" i="2" s="1"/>
  <c r="B177" i="2" s="1"/>
  <c r="E177" i="2" s="1"/>
  <c r="G177" i="2" s="1"/>
  <c r="B163" i="1" l="1"/>
  <c r="E163" i="1" s="1"/>
  <c r="G163" i="1"/>
  <c r="B178" i="2"/>
  <c r="E178" i="2" s="1"/>
  <c r="G178" i="2" s="1"/>
  <c r="B164" i="1" l="1"/>
  <c r="E164" i="1" s="1"/>
  <c r="G164" i="1"/>
  <c r="B165" i="1" s="1"/>
  <c r="E165" i="1" s="1"/>
  <c r="G165" i="1" s="1"/>
  <c r="B179" i="2"/>
  <c r="E179" i="2" s="1"/>
  <c r="G179" i="2" s="1"/>
  <c r="B166" i="1" l="1"/>
  <c r="E166" i="1" s="1"/>
  <c r="G166" i="1" s="1"/>
  <c r="B180" i="2"/>
  <c r="E180" i="2" s="1"/>
  <c r="G180" i="2" s="1"/>
  <c r="B181" i="2" s="1"/>
  <c r="E181" i="2" s="1"/>
  <c r="G181" i="2" s="1"/>
  <c r="B182" i="2" s="1"/>
  <c r="E182" i="2" s="1"/>
  <c r="G182" i="2" s="1"/>
  <c r="B167" i="1" l="1"/>
  <c r="E167" i="1" s="1"/>
  <c r="G167" i="1"/>
  <c r="B183" i="2"/>
  <c r="E183" i="2" s="1"/>
  <c r="G183" i="2"/>
  <c r="B168" i="1" l="1"/>
  <c r="E168" i="1" s="1"/>
  <c r="G168" i="1" s="1"/>
  <c r="B184" i="2"/>
  <c r="E184" i="2" s="1"/>
  <c r="G184" i="2" s="1"/>
  <c r="B185" i="2" s="1"/>
  <c r="E185" i="2" s="1"/>
  <c r="G185" i="2" s="1"/>
  <c r="B186" i="2" s="1"/>
  <c r="E186" i="2" s="1"/>
  <c r="G186" i="2" s="1"/>
  <c r="B169" i="1" l="1"/>
  <c r="E169" i="1" s="1"/>
  <c r="G169" i="1"/>
  <c r="B170" i="1" s="1"/>
  <c r="E170" i="1" s="1"/>
  <c r="G170" i="1" s="1"/>
  <c r="B187" i="2"/>
  <c r="E187" i="2" s="1"/>
  <c r="G187" i="2"/>
  <c r="B171" i="1" l="1"/>
  <c r="E171" i="1" s="1"/>
  <c r="G171" i="1"/>
  <c r="B188" i="2"/>
  <c r="E188" i="2" s="1"/>
  <c r="G188" i="2"/>
  <c r="B189" i="2" s="1"/>
  <c r="E189" i="2" s="1"/>
  <c r="G189" i="2" s="1"/>
  <c r="B190" i="2" s="1"/>
  <c r="E190" i="2" s="1"/>
  <c r="G190" i="2" s="1"/>
  <c r="B172" i="1" l="1"/>
  <c r="E172" i="1" s="1"/>
  <c r="G172" i="1"/>
  <c r="B173" i="1" s="1"/>
  <c r="E173" i="1" s="1"/>
  <c r="G173" i="1" s="1"/>
  <c r="B191" i="2"/>
  <c r="E191" i="2" s="1"/>
  <c r="G191" i="2" s="1"/>
  <c r="B192" i="2" s="1"/>
  <c r="E192" i="2" s="1"/>
  <c r="G192" i="2" s="1"/>
  <c r="B193" i="2" s="1"/>
  <c r="E193" i="2" s="1"/>
  <c r="G193" i="2" s="1"/>
  <c r="B174" i="1" l="1"/>
  <c r="E174" i="1" s="1"/>
  <c r="G174" i="1" s="1"/>
  <c r="B175" i="1" s="1"/>
  <c r="E175" i="1" s="1"/>
  <c r="G175" i="1" s="1"/>
  <c r="B194" i="2"/>
  <c r="E194" i="2" s="1"/>
  <c r="G194" i="2" s="1"/>
  <c r="B176" i="1" l="1"/>
  <c r="E176" i="1" s="1"/>
  <c r="G176" i="1" s="1"/>
  <c r="B195" i="2"/>
  <c r="E195" i="2" s="1"/>
  <c r="G195" i="2" s="1"/>
  <c r="B177" i="1" l="1"/>
  <c r="E177" i="1" s="1"/>
  <c r="G177" i="1" s="1"/>
  <c r="B196" i="2"/>
  <c r="E196" i="2" s="1"/>
  <c r="G196" i="2" s="1"/>
  <c r="B197" i="2" s="1"/>
  <c r="E197" i="2" s="1"/>
  <c r="G197" i="2" s="1"/>
  <c r="B198" i="2" s="1"/>
  <c r="E198" i="2" s="1"/>
  <c r="G198" i="2" s="1"/>
  <c r="B199" i="2" s="1"/>
  <c r="E199" i="2" s="1"/>
  <c r="G199" i="2" s="1"/>
  <c r="B200" i="2" s="1"/>
  <c r="E200" i="2" s="1"/>
  <c r="G200" i="2" s="1"/>
  <c r="B201" i="2" s="1"/>
  <c r="E201" i="2" s="1"/>
  <c r="G201" i="2" s="1"/>
  <c r="B178" i="1" l="1"/>
  <c r="E178" i="1" s="1"/>
  <c r="G178" i="1"/>
  <c r="B202" i="2"/>
  <c r="E202" i="2" s="1"/>
  <c r="G202" i="2" s="1"/>
  <c r="B203" i="2" s="1"/>
  <c r="E203" i="2" s="1"/>
  <c r="G203" i="2" s="1"/>
  <c r="B204" i="2" s="1"/>
  <c r="E204" i="2" s="1"/>
  <c r="G204" i="2" s="1"/>
  <c r="B205" i="2" s="1"/>
  <c r="E205" i="2" s="1"/>
  <c r="G205" i="2" s="1"/>
  <c r="B179" i="1" l="1"/>
  <c r="E179" i="1" s="1"/>
  <c r="G179" i="1" s="1"/>
  <c r="B206" i="2"/>
  <c r="E206" i="2" s="1"/>
  <c r="G206" i="2" s="1"/>
  <c r="B207" i="2" s="1"/>
  <c r="E207" i="2" s="1"/>
  <c r="G207" i="2" s="1"/>
  <c r="B208" i="2" s="1"/>
  <c r="E208" i="2" s="1"/>
  <c r="G208" i="2" s="1"/>
  <c r="B209" i="2" s="1"/>
  <c r="E209" i="2" s="1"/>
  <c r="G209" i="2" s="1"/>
  <c r="B210" i="2" s="1"/>
  <c r="E210" i="2" s="1"/>
  <c r="G210" i="2" s="1"/>
  <c r="B211" i="2" s="1"/>
  <c r="E211" i="2" s="1"/>
  <c r="G211" i="2" s="1"/>
  <c r="B212" i="2" s="1"/>
  <c r="E212" i="2" s="1"/>
  <c r="G212" i="2" s="1"/>
  <c r="B213" i="2" s="1"/>
  <c r="E213" i="2" s="1"/>
  <c r="G213" i="2" s="1"/>
  <c r="B180" i="1" l="1"/>
  <c r="E180" i="1" s="1"/>
  <c r="G180" i="1" s="1"/>
  <c r="B181" i="1" s="1"/>
  <c r="E181" i="1" s="1"/>
  <c r="G181" i="1" s="1"/>
  <c r="B214" i="2"/>
  <c r="E214" i="2" s="1"/>
  <c r="G214" i="2" s="1"/>
  <c r="B215" i="2" s="1"/>
  <c r="E215" i="2" s="1"/>
  <c r="G215" i="2" s="1"/>
  <c r="B216" i="2" s="1"/>
  <c r="E216" i="2" s="1"/>
  <c r="G216" i="2" s="1"/>
  <c r="B217" i="2" s="1"/>
  <c r="E217" i="2" s="1"/>
  <c r="G217" i="2" s="1"/>
  <c r="B218" i="2" s="1"/>
  <c r="E218" i="2" s="1"/>
  <c r="G218" i="2" s="1"/>
  <c r="B219" i="2" s="1"/>
  <c r="E219" i="2" s="1"/>
  <c r="G219" i="2" s="1"/>
  <c r="B220" i="2" s="1"/>
  <c r="E220" i="2" s="1"/>
  <c r="G220" i="2" s="1"/>
  <c r="B221" i="2" s="1"/>
  <c r="E221" i="2" s="1"/>
  <c r="G221" i="2" s="1"/>
  <c r="B182" i="1" l="1"/>
  <c r="E182" i="1" s="1"/>
  <c r="G182" i="1" s="1"/>
  <c r="B183" i="1" s="1"/>
  <c r="E183" i="1" s="1"/>
  <c r="G183" i="1" s="1"/>
  <c r="B222" i="2"/>
  <c r="E222" i="2" s="1"/>
  <c r="G222" i="2" s="1"/>
  <c r="B223" i="2" s="1"/>
  <c r="E223" i="2" s="1"/>
  <c r="G223" i="2" s="1"/>
  <c r="B224" i="2" s="1"/>
  <c r="E224" i="2" s="1"/>
  <c r="G224" i="2" s="1"/>
  <c r="B225" i="2" s="1"/>
  <c r="E225" i="2" s="1"/>
  <c r="G225" i="2" s="1"/>
  <c r="B184" i="1" l="1"/>
  <c r="E184" i="1" s="1"/>
  <c r="G184" i="1" s="1"/>
  <c r="B185" i="1" s="1"/>
  <c r="E185" i="1" s="1"/>
  <c r="G185" i="1" s="1"/>
  <c r="B186" i="1" s="1"/>
  <c r="E186" i="1" s="1"/>
  <c r="G186" i="1" s="1"/>
  <c r="B226" i="2"/>
  <c r="E226" i="2" s="1"/>
  <c r="G226" i="2" s="1"/>
  <c r="B227" i="2" s="1"/>
  <c r="E227" i="2" s="1"/>
  <c r="G227" i="2" s="1"/>
  <c r="B228" i="2" s="1"/>
  <c r="E228" i="2" s="1"/>
  <c r="G228" i="2" s="1"/>
  <c r="B229" i="2" s="1"/>
  <c r="E229" i="2" s="1"/>
  <c r="G229" i="2" s="1"/>
  <c r="B230" i="2" s="1"/>
  <c r="E230" i="2" s="1"/>
  <c r="G230" i="2" s="1"/>
  <c r="B231" i="2" s="1"/>
  <c r="E231" i="2" s="1"/>
  <c r="G231" i="2" s="1"/>
  <c r="B232" i="2" s="1"/>
  <c r="E232" i="2" s="1"/>
  <c r="G232" i="2" s="1"/>
  <c r="B233" i="2" s="1"/>
  <c r="E233" i="2" s="1"/>
  <c r="G233" i="2" s="1"/>
  <c r="B187" i="1" l="1"/>
  <c r="E187" i="1" s="1"/>
  <c r="G187" i="1" s="1"/>
  <c r="B234" i="2"/>
  <c r="E234" i="2" s="1"/>
  <c r="G234" i="2"/>
  <c r="B235" i="2" s="1"/>
  <c r="E235" i="2" s="1"/>
  <c r="G235" i="2" s="1"/>
  <c r="B236" i="2" s="1"/>
  <c r="E236" i="2" s="1"/>
  <c r="G236" i="2" s="1"/>
  <c r="B237" i="2" s="1"/>
  <c r="E237" i="2" s="1"/>
  <c r="G237" i="2" s="1"/>
  <c r="B188" i="1" l="1"/>
  <c r="E188" i="1" s="1"/>
  <c r="G188" i="1" s="1"/>
  <c r="B238" i="2"/>
  <c r="E238" i="2" s="1"/>
  <c r="G238" i="2" s="1"/>
  <c r="B239" i="2" s="1"/>
  <c r="E239" i="2" s="1"/>
  <c r="G239" i="2" s="1"/>
  <c r="B240" i="2" s="1"/>
  <c r="E240" i="2" s="1"/>
  <c r="G240" i="2" s="1"/>
  <c r="B241" i="2" s="1"/>
  <c r="E241" i="2" s="1"/>
  <c r="G241" i="2" s="1"/>
  <c r="B242" i="2" s="1"/>
  <c r="E242" i="2" s="1"/>
  <c r="G242" i="2" s="1"/>
  <c r="B243" i="2" s="1"/>
  <c r="E243" i="2" s="1"/>
  <c r="G243" i="2" s="1"/>
  <c r="B244" i="2" s="1"/>
  <c r="E244" i="2" s="1"/>
  <c r="G244" i="2" s="1"/>
  <c r="B245" i="2" s="1"/>
  <c r="E245" i="2" s="1"/>
  <c r="G245" i="2" s="1"/>
  <c r="B189" i="1" l="1"/>
  <c r="E189" i="1" s="1"/>
  <c r="G189" i="1" s="1"/>
  <c r="B190" i="1" s="1"/>
  <c r="E190" i="1" s="1"/>
  <c r="G190" i="1" s="1"/>
  <c r="B191" i="1" s="1"/>
  <c r="E191" i="1" s="1"/>
  <c r="G191" i="1" s="1"/>
  <c r="B246" i="2"/>
  <c r="E246" i="2" s="1"/>
  <c r="G246" i="2" s="1"/>
  <c r="B247" i="2" s="1"/>
  <c r="E247" i="2" s="1"/>
  <c r="G247" i="2" s="1"/>
  <c r="B248" i="2" s="1"/>
  <c r="E248" i="2" s="1"/>
  <c r="G248" i="2" s="1"/>
  <c r="B249" i="2" s="1"/>
  <c r="E249" i="2" s="1"/>
  <c r="G249" i="2" s="1"/>
  <c r="B192" i="1" l="1"/>
  <c r="E192" i="1" s="1"/>
  <c r="G192" i="1"/>
  <c r="B193" i="1" s="1"/>
  <c r="E193" i="1" s="1"/>
  <c r="G193" i="1" s="1"/>
  <c r="B194" i="1" s="1"/>
  <c r="E194" i="1" s="1"/>
  <c r="G194" i="1" s="1"/>
  <c r="B250" i="2"/>
  <c r="E250" i="2" s="1"/>
  <c r="G250" i="2" s="1"/>
  <c r="B251" i="2" s="1"/>
  <c r="E251" i="2" s="1"/>
  <c r="G251" i="2" s="1"/>
  <c r="B252" i="2" s="1"/>
  <c r="E252" i="2" s="1"/>
  <c r="G252" i="2" s="1"/>
  <c r="B253" i="2" s="1"/>
  <c r="E253" i="2" s="1"/>
  <c r="G253" i="2" s="1"/>
  <c r="B254" i="2" s="1"/>
  <c r="E254" i="2" s="1"/>
  <c r="G254" i="2" s="1"/>
  <c r="B255" i="2" s="1"/>
  <c r="E255" i="2" s="1"/>
  <c r="G255" i="2" s="1"/>
  <c r="B256" i="2" s="1"/>
  <c r="E256" i="2" s="1"/>
  <c r="G256" i="2" s="1"/>
  <c r="B257" i="2" s="1"/>
  <c r="E257" i="2" s="1"/>
  <c r="G257" i="2" s="1"/>
  <c r="B195" i="1" l="1"/>
  <c r="E195" i="1" s="1"/>
  <c r="G195" i="1" s="1"/>
  <c r="B196" i="1" s="1"/>
  <c r="E196" i="1" s="1"/>
  <c r="G196" i="1" s="1"/>
  <c r="B258" i="2"/>
  <c r="E258" i="2" s="1"/>
  <c r="G258" i="2" s="1"/>
  <c r="B259" i="2" s="1"/>
  <c r="E259" i="2" s="1"/>
  <c r="G259" i="2" s="1"/>
  <c r="B260" i="2" s="1"/>
  <c r="E260" i="2" s="1"/>
  <c r="G260" i="2" s="1"/>
  <c r="B261" i="2" s="1"/>
  <c r="E261" i="2" s="1"/>
  <c r="G261" i="2" s="1"/>
  <c r="B262" i="2" s="1"/>
  <c r="E262" i="2" s="1"/>
  <c r="G262" i="2" s="1"/>
  <c r="B263" i="2" s="1"/>
  <c r="E263" i="2" s="1"/>
  <c r="G263" i="2" s="1"/>
  <c r="B264" i="2" s="1"/>
  <c r="E264" i="2" s="1"/>
  <c r="G264" i="2" s="1"/>
  <c r="B197" i="1" l="1"/>
  <c r="E197" i="1" s="1"/>
  <c r="G197" i="1"/>
  <c r="B198" i="1" s="1"/>
  <c r="E198" i="1" s="1"/>
  <c r="G198" i="1" s="1"/>
  <c r="B199" i="1" s="1"/>
  <c r="E199" i="1" s="1"/>
  <c r="G199" i="1" s="1"/>
  <c r="B200" i="1" l="1"/>
  <c r="E200" i="1" s="1"/>
  <c r="G200" i="1" s="1"/>
  <c r="B201" i="1" s="1"/>
  <c r="E201" i="1" s="1"/>
  <c r="G201" i="1" s="1"/>
  <c r="B202" i="1" s="1"/>
  <c r="E202" i="1" s="1"/>
  <c r="G20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tc={17795A1D-64BD-48E9-B168-39BCF766B0C4}</author>
    <author>tc={B6C156C7-FD3C-4BB1-8512-F0DE77DE3D3D}</author>
  </authors>
  <commentList>
    <comment ref="G85" authorId="0" shapeId="0" xr:uid="{17795A1D-64BD-48E9-B168-39BCF766B0C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100 açoes de bonificação</t>
      </text>
    </comment>
    <comment ref="G131" authorId="1" shapeId="0" xr:uid="{B6C156C7-FD3C-4BB1-8512-F0DE77DE3D3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100 açoes de bonificação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tc={248A5F33-1E2E-4FC6-8926-79E08D62ED43}</author>
    <author>tc={34E75F3B-C284-4D7C-9BC1-E168C5C1DF2C}</author>
  </authors>
  <commentList>
    <comment ref="I107" authorId="0" shapeId="0" xr:uid="{248A5F33-1E2E-4FC6-8926-79E08D62ED4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Valor somente de ações, sem BTC e RF</t>
      </text>
    </comment>
    <comment ref="I152" authorId="1" shapeId="0" xr:uid="{34E75F3B-C284-4D7C-9BC1-E168C5C1DF2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Valor somente de ações, sem BTC e RF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tc={2D85F38E-912A-4744-935B-19ED90241840}</author>
  </authors>
  <commentList>
    <comment ref="I107" authorId="0" shapeId="0" xr:uid="{2D85F38E-912A-4744-935B-19ED9024184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Valor somente de ações, sem BTC e RF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tc={C4B4DF70-474B-4AA3-BFE6-1128FAF27677}</author>
    <author>tc={85EF3F72-8FF4-4088-9CB5-FD32421E1463}</author>
  </authors>
  <commentList>
    <comment ref="C7" authorId="0" shapeId="0" xr:uid="{C4B4DF70-474B-4AA3-BFE6-1128FAF2767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Tem 1600 Fleury aumento capital</t>
      </text>
    </comment>
    <comment ref="C23" authorId="1" shapeId="0" xr:uid="{85EF3F72-8FF4-4088-9CB5-FD32421E146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Tem 1600 Fleury aumento capital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C9C58C2-26DF-47CF-B5D8-BC3DE8D4B176}" name="Consulta - Document" description="Conexão com a consulta 'Document' na pasta de trabalho." type="100" refreshedVersion="8" minRefreshableVersion="5">
    <extLst>
      <ext xmlns:x15="http://schemas.microsoft.com/office/spreadsheetml/2010/11/main" uri="{DE250136-89BD-433C-8126-D09CA5730AF9}">
        <x15:connection id="eb309116-1c16-4220-b056-a3459d3dd72d">
          <x15:oledbPr connection="Provider=Microsoft.Mashup.OleDb.1;Data Source=$Workbook$;Location=Document;Extended Properties=&quot;&quot;">
            <x15:dbTables>
              <x15:dbTable name="Document"/>
            </x15:dbTables>
          </x15:oledbPr>
        </x15:connection>
      </ext>
    </extLst>
  </connection>
  <connection id="2" xr16:uid="{8276C4BF-73B5-49C6-8E05-996251EE8550}" name="Consulta - Document (2)" description="Conexão com a consulta 'Document (2)' na pasta de trabalho." type="100" refreshedVersion="8" minRefreshableVersion="5">
    <extLst>
      <ext xmlns:x15="http://schemas.microsoft.com/office/spreadsheetml/2010/11/main" uri="{DE250136-89BD-433C-8126-D09CA5730AF9}">
        <x15:connection id="ddc495e8-6f8f-45f7-b6d2-ba9f22fabe7d">
          <x15:oledbPr connection="Provider=Microsoft.Mashup.OleDb.1;Data Source=$Workbook$;Location=&quot;Document (2)&quot;;Extended Properties=&quot;&quot;">
            <x15:dbTables>
              <x15:dbTable name="Document (2)"/>
            </x15:dbTables>
          </x15:oledbPr>
        </x15:connection>
      </ext>
    </extLst>
  </connection>
  <connection id="3" xr16:uid="{F9C264F7-B2AB-4603-A28B-8EE8F74F4A4D}" keepAlive="1" name="Consulta - https://docs google com/spreadsheets/d/e/2PACX-1vTk6qXlaE6Um65Ah7UyuUgfNHaon-FHJ" description="Conexão com a consulta 'https://docs google com/spreadsheets/d/e/2PACX-1vTk6qXlaE6Um65Ah7UyuUgfNHaon-FHJ' na pasta de trabalho." type="5" refreshedVersion="0" background="1" saveData="1">
    <dbPr connection="Provider=Microsoft.Mashup.OleDb.1;Data Source=$Workbook$;Location=&quot;https://docs google com/spreadsheets/d/e/2PACX-1vTk6qXlaE6Um65Ah7UyuUgfNHaon-FHJ&quot;;Extended Properties=&quot;&quot;" command="SELECT * FROM [https://docs google com/spreadsheets/d/e/2PACX-1vTk6qXlaE6Um65Ah7UyuUgfNHaon-FHJ]"/>
  </connection>
  <connection id="4" xr16:uid="{6A680293-9AAB-4B08-8C62-C31FC789FAE6}" name="Consulta - Table 0" description="Conexão com a consulta 'Table 0' na pasta de trabalho." type="100" refreshedVersion="8" minRefreshableVersion="5">
    <extLst>
      <ext xmlns:x15="http://schemas.microsoft.com/office/spreadsheetml/2010/11/main" uri="{DE250136-89BD-433C-8126-D09CA5730AF9}">
        <x15:connection id="19ba1807-66ab-4895-9b27-ff7574ae3def">
          <x15:oledbPr connection="Provider=Microsoft.Mashup.OleDb.1;Data Source=$Workbook$;Location=&quot;Table 0&quot;;Extended Properties=&quot;&quot;">
            <x15:dbTables>
              <x15:dbTable name="Table 0"/>
            </x15:dbTables>
          </x15:oledbPr>
        </x15:connection>
      </ext>
    </extLst>
  </connection>
  <connection id="5" xr16:uid="{D67EA173-04AD-4100-807D-82F21B1CAFF3}" name="Consulta - Table 0 (2)" description="Conexão com a consulta 'Table 0 (2)' na pasta de trabalho." type="100" refreshedVersion="8" minRefreshableVersion="5">
    <extLst>
      <ext xmlns:x15="http://schemas.microsoft.com/office/spreadsheetml/2010/11/main" uri="{DE250136-89BD-433C-8126-D09CA5730AF9}">
        <x15:connection id="cea84957-00d0-4de0-be2c-18ff27f579e6">
          <x15:oledbPr connection="Provider=Microsoft.Mashup.OleDb.1;Data Source=$Workbook$;Location=&quot;Table 0 (2)&quot;;Extended Properties=&quot;&quot;">
            <x15:dbTables>
              <x15:dbTable name="Table 0 (2)"/>
            </x15:dbTables>
          </x15:oledbPr>
        </x15:connection>
      </ext>
    </extLst>
  </connection>
  <connection id="6" xr16:uid="{7AF7203F-41BF-4AB1-AC34-D4569CA6ACD3}" name="Consulta - Table 0 (3)" description="Conexão com a consulta 'Table 0 (3)' na pasta de trabalho." type="100" refreshedVersion="8" minRefreshableVersion="5">
    <extLst>
      <ext xmlns:x15="http://schemas.microsoft.com/office/spreadsheetml/2010/11/main" uri="{DE250136-89BD-433C-8126-D09CA5730AF9}">
        <x15:connection id="af478541-91a6-483f-ab60-1b0ed847d02f">
          <x15:oledbPr connection="Provider=Microsoft.Mashup.OleDb.1;Data Source=$Workbook$;Location=&quot;Table 0 (3)&quot;;Extended Properties=&quot;&quot;">
            <x15:dbTables>
              <x15:dbTable name="Table 0 (3)"/>
            </x15:dbTables>
          </x15:oledbPr>
        </x15:connection>
      </ext>
    </extLst>
  </connection>
  <connection id="7" xr16:uid="{E2FE68D2-12E6-493A-AB69-37C13B2CB3B8}" name="Consulta - Table 0 (4)" description="Conexão com a consulta 'Table 0 (4)' na pasta de trabalho." type="100" refreshedVersion="8" minRefreshableVersion="5">
    <extLst>
      <ext xmlns:x15="http://schemas.microsoft.com/office/spreadsheetml/2010/11/main" uri="{DE250136-89BD-433C-8126-D09CA5730AF9}">
        <x15:connection id="eadffab2-ced9-44ef-bec0-18ff83c2f395">
          <x15:oledbPr connection="Provider=Microsoft.Mashup.OleDb.1;Data Source=$Workbook$;Location=&quot;Table 0 (4)&quot;;Extended Properties=&quot;&quot;">
            <x15:dbTables>
              <x15:dbTable name="Table 0 (4)"/>
            </x15:dbTables>
          </x15:oledbPr>
        </x15:connection>
      </ext>
    </extLst>
  </connection>
  <connection id="8" xr16:uid="{37442846-BEB2-4544-9865-248F8C87CDC5}" name="Consulta - Table 0 (5)" description="Conexão com a consulta 'Table 0 (5)' na pasta de trabalho." type="100" refreshedVersion="8" minRefreshableVersion="5" refreshOnLoad="1" saveData="1">
    <extLst>
      <ext xmlns:x15="http://schemas.microsoft.com/office/spreadsheetml/2010/11/main" uri="{DE250136-89BD-433C-8126-D09CA5730AF9}">
        <x15:connection id="d2f4ea96-46ed-4f12-bf53-bf74c9104ac6"/>
      </ext>
    </extLst>
  </connection>
  <connection id="9" xr16:uid="{B291E529-EE92-4EDF-8FBB-3CF0416D5255}" keepAlive="1" name="ModelConnection_DadosExternos_2" description="Modelo de Dados" type="5" refreshedVersion="8" minRefreshableVersion="5" saveData="1">
    <dbPr connection="Data Model Connection" command="Table 0  5" commandType="3"/>
    <extLst>
      <ext xmlns:x15="http://schemas.microsoft.com/office/spreadsheetml/2010/11/main" uri="{DE250136-89BD-433C-8126-D09CA5730AF9}">
        <x15:connection id="" model="1"/>
      </ext>
    </extLst>
  </connection>
  <connection id="10" xr16:uid="{4925FD51-2A98-4DDC-B9F6-E5DECD0BA76D}" keepAlive="1" name="ThisWorkbookDataModel" description="Modelo de Dado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<sst xmlns="http://schemas.openxmlformats.org/spreadsheetml/2006/main" count="1124" uniqueCount="293">
  <si>
    <t>Mês</t>
  </si>
  <si>
    <t>Aportes</t>
  </si>
  <si>
    <t>Juros no mês</t>
  </si>
  <si>
    <t>Juros total</t>
  </si>
  <si>
    <t>Acumulado</t>
  </si>
  <si>
    <t>BBSE3</t>
  </si>
  <si>
    <t>ITSA4</t>
  </si>
  <si>
    <t>TAEE11</t>
  </si>
  <si>
    <t>TIET11</t>
  </si>
  <si>
    <t>FESA4</t>
  </si>
  <si>
    <t>Nº AÇÕES</t>
  </si>
  <si>
    <t>VALOR ATUAL</t>
  </si>
  <si>
    <t>PREÇO ENTRADA</t>
  </si>
  <si>
    <t>PREÇO ATUAL</t>
  </si>
  <si>
    <t>%</t>
  </si>
  <si>
    <t>VALOR INICIAL</t>
  </si>
  <si>
    <t>R FIXA</t>
  </si>
  <si>
    <t>TOTAL</t>
  </si>
  <si>
    <t>DIVDENDO</t>
  </si>
  <si>
    <t>DIFERENÇA</t>
  </si>
  <si>
    <t>Capital Acumulado</t>
  </si>
  <si>
    <t>Valor Carteira</t>
  </si>
  <si>
    <t>a.a</t>
  </si>
  <si>
    <t>EMPRESA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</si>
  <si>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</si>
  <si>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</si>
  <si>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</si>
  <si>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</si>
  <si>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</si>
  <si>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</si>
  <si>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</si>
  <si>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</si>
  <si>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</si>
  <si>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</si>
  <si>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</si>
  <si>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</si>
  <si>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Dividendo pago/ação</t>
  </si>
  <si>
    <t>QTD</t>
  </si>
  <si>
    <t>Valo investido</t>
  </si>
  <si>
    <t>MPLU3</t>
  </si>
  <si>
    <t>TRANSFERÊNCIA DE RECURSOS</t>
  </si>
  <si>
    <t>TED - RECEBIMENTO DE TED - SPB</t>
  </si>
  <si>
    <t>Valor</t>
  </si>
  <si>
    <t xml:space="preserve"> TAEE11</t>
  </si>
  <si>
    <t>% carterira</t>
  </si>
  <si>
    <t>Receita Líq.</t>
  </si>
  <si>
    <t>Patrim. Líq.</t>
  </si>
  <si>
    <t>Ebitda</t>
  </si>
  <si>
    <t>D&amp;A</t>
  </si>
  <si>
    <t>Ebit</t>
  </si>
  <si>
    <t>Mrg. Ebit</t>
  </si>
  <si>
    <t>Result. Fin.</t>
  </si>
  <si>
    <t>Impostos</t>
  </si>
  <si>
    <t>% Impostos</t>
  </si>
  <si>
    <t>Lucro Líq</t>
  </si>
  <si>
    <t>Mrg. Líq</t>
  </si>
  <si>
    <t>ROE</t>
  </si>
  <si>
    <t>Caixa</t>
  </si>
  <si>
    <t>Dívida Bruta</t>
  </si>
  <si>
    <t>Dívida Líq</t>
  </si>
  <si>
    <t>Dív. Bru/PL</t>
  </si>
  <si>
    <t>Dív. Líq. /Ebitda</t>
  </si>
  <si>
    <t>FCO</t>
  </si>
  <si>
    <t>Capex</t>
  </si>
  <si>
    <t>FCF</t>
  </si>
  <si>
    <t>FCL Capex</t>
  </si>
  <si>
    <t>Capex/FCO</t>
  </si>
  <si>
    <t>Proventos</t>
  </si>
  <si>
    <t>Payout</t>
  </si>
  <si>
    <t>% Anual</t>
  </si>
  <si>
    <t>Ano / Trimestre</t>
  </si>
  <si>
    <t>Valor atual da carteira até Mar/18</t>
  </si>
  <si>
    <t>ENBR3</t>
  </si>
  <si>
    <t>Corretora</t>
  </si>
  <si>
    <t>KROT3</t>
  </si>
  <si>
    <t>BBDC4</t>
  </si>
  <si>
    <t>GRND3</t>
  </si>
  <si>
    <t>Total no mês</t>
  </si>
  <si>
    <t>SULA11</t>
  </si>
  <si>
    <t>Dividendos atualizado em 19/05/2018</t>
  </si>
  <si>
    <t>TOTAL AÇÕES</t>
  </si>
  <si>
    <t>Total Ano</t>
  </si>
  <si>
    <t>Preço atual</t>
  </si>
  <si>
    <t>Ação</t>
  </si>
  <si>
    <t>Qtd</t>
  </si>
  <si>
    <t>Preço/ação</t>
  </si>
  <si>
    <t>Valor total</t>
  </si>
  <si>
    <t>data</t>
  </si>
  <si>
    <t>ABEV3</t>
  </si>
  <si>
    <t>Venda</t>
  </si>
  <si>
    <t>GANHO/PERDA</t>
  </si>
  <si>
    <t>Dividendo</t>
  </si>
  <si>
    <t>DY</t>
  </si>
  <si>
    <t>TED - TRANFERÊNCIA DE TED - SPB</t>
  </si>
  <si>
    <t>WEGE3</t>
  </si>
  <si>
    <t>WEG3</t>
  </si>
  <si>
    <t>MDIA3</t>
  </si>
  <si>
    <t>TOTAL FII'S</t>
  </si>
  <si>
    <t>Valor investido até nov/18</t>
  </si>
  <si>
    <t>VRTA11</t>
  </si>
  <si>
    <t>Moeda</t>
  </si>
  <si>
    <t>Quantidade</t>
  </si>
  <si>
    <t>Preço entrada</t>
  </si>
  <si>
    <t>Data</t>
  </si>
  <si>
    <t>BTC</t>
  </si>
  <si>
    <t>Exchange</t>
  </si>
  <si>
    <t>Coinext</t>
  </si>
  <si>
    <t>ETH</t>
  </si>
  <si>
    <t>Mercado bitcoin</t>
  </si>
  <si>
    <t>CRPT</t>
  </si>
  <si>
    <t>฿  0,000059207777</t>
  </si>
  <si>
    <t>STQ</t>
  </si>
  <si>
    <t>฿  0,00000027246</t>
  </si>
  <si>
    <t>POLY</t>
  </si>
  <si>
    <t>฿ 0,07511042</t>
  </si>
  <si>
    <t>NANO</t>
  </si>
  <si>
    <t>DASH</t>
  </si>
  <si>
    <t>฿ 0,232827</t>
  </si>
  <si>
    <t>Lucro/Prejuizo</t>
  </si>
  <si>
    <t>Dólar</t>
  </si>
  <si>
    <t>TOTAL BITCOIN</t>
  </si>
  <si>
    <t>BITCOIN</t>
  </si>
  <si>
    <t>20/02/;2019</t>
  </si>
  <si>
    <t>EGIE3</t>
  </si>
  <si>
    <t>FLRY3</t>
  </si>
  <si>
    <t>Preço médio de compra</t>
  </si>
  <si>
    <t>OIBR3</t>
  </si>
  <si>
    <t>$ 292,09</t>
  </si>
  <si>
    <t>$ 13,48</t>
  </si>
  <si>
    <t>$ 73,86</t>
  </si>
  <si>
    <t>$ 1110,71</t>
  </si>
  <si>
    <t>$ 991,95</t>
  </si>
  <si>
    <t>$ 1508,76</t>
  </si>
  <si>
    <t>$ 3994,98</t>
  </si>
  <si>
    <t>Sigla</t>
  </si>
  <si>
    <t>Nome</t>
  </si>
  <si>
    <t>Escore</t>
  </si>
  <si>
    <t>Preço</t>
  </si>
  <si>
    <t>% Carteira</t>
  </si>
  <si>
    <t>% Ideal</t>
  </si>
  <si>
    <t>VPA</t>
  </si>
  <si>
    <t>Vl Merc &gt; 500M</t>
  </si>
  <si>
    <t>Niv Gov?</t>
  </si>
  <si>
    <t>RPL &gt; 20</t>
  </si>
  <si>
    <t>Liq Corr &gt; 1,5</t>
  </si>
  <si>
    <t>Dív Bru / Pat Líq &lt; 50</t>
  </si>
  <si>
    <t>Cresc. Lucro &gt; 5 a.a.</t>
  </si>
  <si>
    <t>Lucro Const</t>
  </si>
  <si>
    <t>Div Const</t>
  </si>
  <si>
    <t>P/VPA &lt; 2x</t>
  </si>
  <si>
    <t>P/L &lt; 15x</t>
  </si>
  <si>
    <t>Vol. &gt; 1M</t>
  </si>
  <si>
    <t>Segmento</t>
  </si>
  <si>
    <t>Setor</t>
  </si>
  <si>
    <t>Juro Carteira</t>
  </si>
  <si>
    <t>Valor do Juro</t>
  </si>
  <si>
    <t>ITUB3</t>
  </si>
  <si>
    <t>HGRU11</t>
  </si>
  <si>
    <t>PETR4</t>
  </si>
  <si>
    <t>BBDC3</t>
  </si>
  <si>
    <t>BBAS3</t>
  </si>
  <si>
    <t>TOTAL R. FIXA POUPANÇA</t>
  </si>
  <si>
    <t>DY (12 m)</t>
  </si>
  <si>
    <t>Preço Entrada</t>
  </si>
  <si>
    <t>Dy Entrada</t>
  </si>
  <si>
    <t>ETH /LINK</t>
  </si>
  <si>
    <t>Binance</t>
  </si>
  <si>
    <t>Alocação de ativos</t>
  </si>
  <si>
    <t xml:space="preserve">Renda fixa </t>
  </si>
  <si>
    <t>Total</t>
  </si>
  <si>
    <t>% Projeto</t>
  </si>
  <si>
    <t>Valor Ideal</t>
  </si>
  <si>
    <t>Ajuste de carteira</t>
  </si>
  <si>
    <t>PSSA3</t>
  </si>
  <si>
    <t>SAPR11</t>
  </si>
  <si>
    <t>DY ON COST</t>
  </si>
  <si>
    <t>MÊS/2021</t>
  </si>
  <si>
    <t>MÊS/2022</t>
  </si>
  <si>
    <t>CRA JBS</t>
  </si>
  <si>
    <t xml:space="preserve">Valo Atual </t>
  </si>
  <si>
    <t xml:space="preserve">CRI CSN </t>
  </si>
  <si>
    <t>DEB UHE SAO SIMAO </t>
  </si>
  <si>
    <t>IRBR3</t>
  </si>
  <si>
    <t>Aportes por ano</t>
  </si>
  <si>
    <t>DIV</t>
  </si>
  <si>
    <t>Jan   (JCP)</t>
  </si>
  <si>
    <t>Fev   (JCP)</t>
  </si>
  <si>
    <t>Mar  (JCP)</t>
  </si>
  <si>
    <t>Abr  (JCP)</t>
  </si>
  <si>
    <t>Mai  (JCP)</t>
  </si>
  <si>
    <t>Jun   (JCP)</t>
  </si>
  <si>
    <t>Jul   (JCP)</t>
  </si>
  <si>
    <t>Ago  (JCP)</t>
  </si>
  <si>
    <t>Set   (JCP)</t>
  </si>
  <si>
    <t>Out  (JCP)</t>
  </si>
  <si>
    <t>NOV (JCP)</t>
  </si>
  <si>
    <t>Dez  (JCP)</t>
  </si>
  <si>
    <t>MÊS/2023</t>
  </si>
  <si>
    <t>FUNDOS IMOBILIÁRIOS</t>
  </si>
  <si>
    <t>VILG11</t>
  </si>
  <si>
    <t>VGIR11</t>
  </si>
  <si>
    <t>KNSC11</t>
  </si>
  <si>
    <t>HSML11</t>
  </si>
  <si>
    <t>HGRE11</t>
  </si>
  <si>
    <t>BTLG11</t>
  </si>
  <si>
    <t>RBRF11</t>
  </si>
  <si>
    <t>JSRE11</t>
  </si>
  <si>
    <t>HSLG11</t>
  </si>
  <si>
    <t>RBRY11</t>
  </si>
  <si>
    <t>RVBI11</t>
  </si>
  <si>
    <t>HGPO11</t>
  </si>
  <si>
    <t xml:space="preserve">Jan  </t>
  </si>
  <si>
    <t xml:space="preserve">Fev   </t>
  </si>
  <si>
    <t xml:space="preserve">Mar  </t>
  </si>
  <si>
    <t xml:space="preserve">Abr  </t>
  </si>
  <si>
    <t xml:space="preserve">Mai  </t>
  </si>
  <si>
    <t xml:space="preserve">Jun   </t>
  </si>
  <si>
    <t xml:space="preserve">Jul   </t>
  </si>
  <si>
    <t xml:space="preserve">Ago  </t>
  </si>
  <si>
    <t xml:space="preserve">Set   </t>
  </si>
  <si>
    <t xml:space="preserve">Out  </t>
  </si>
  <si>
    <t>NOV</t>
  </si>
  <si>
    <t xml:space="preserve">Dez </t>
  </si>
  <si>
    <t>DEVA11</t>
  </si>
  <si>
    <t>DEB UTE GNA</t>
  </si>
  <si>
    <t>DEB MOVIDA</t>
  </si>
  <si>
    <t>DEB VIABRASIL</t>
  </si>
  <si>
    <t>Criptos</t>
  </si>
  <si>
    <t xml:space="preserve">Ações USA </t>
  </si>
  <si>
    <t>Ações Brasil</t>
  </si>
  <si>
    <t>FIIs</t>
  </si>
  <si>
    <t>P2P</t>
  </si>
  <si>
    <t>DY Atual</t>
  </si>
  <si>
    <t xml:space="preserve">Valor Atual </t>
  </si>
  <si>
    <t>Valor BTC 2023</t>
  </si>
  <si>
    <t>FIIS + DIV + BTC + RF</t>
  </si>
  <si>
    <t>Ações</t>
  </si>
  <si>
    <t>FII's</t>
  </si>
  <si>
    <t>RF</t>
  </si>
  <si>
    <t>Exterior</t>
  </si>
  <si>
    <t>O Reality Income</t>
  </si>
  <si>
    <t>VNQ</t>
  </si>
  <si>
    <t>VOO</t>
  </si>
  <si>
    <t>STAG</t>
  </si>
  <si>
    <t>Dolar Hoje</t>
  </si>
  <si>
    <t>Column1</t>
  </si>
  <si>
    <t>Column2</t>
  </si>
  <si>
    <t>Column3</t>
  </si>
  <si>
    <t>Column4</t>
  </si>
  <si>
    <t>PVBI11</t>
  </si>
  <si>
    <t>Ano 2023</t>
  </si>
  <si>
    <t>TED - RECEBIMENTO DE TED - INTER</t>
  </si>
  <si>
    <t>TED - RECEBIMENTO DE TED - XP</t>
  </si>
  <si>
    <t>MÊS/2024</t>
  </si>
  <si>
    <t>]</t>
  </si>
  <si>
    <t>Ano 2024</t>
  </si>
  <si>
    <t>TRXF11</t>
  </si>
  <si>
    <t>O</t>
  </si>
  <si>
    <t>Valor Atual</t>
  </si>
  <si>
    <t>Preço Médio</t>
  </si>
  <si>
    <t>Valor de compra</t>
  </si>
  <si>
    <t/>
  </si>
  <si>
    <t>Div 2024</t>
  </si>
  <si>
    <t>DY 2024</t>
  </si>
  <si>
    <t>DY ON COST 2024</t>
  </si>
  <si>
    <t>RURA11</t>
  </si>
  <si>
    <t>VGIA11</t>
  </si>
  <si>
    <t>JURO11</t>
  </si>
  <si>
    <t>BIDB11</t>
  </si>
  <si>
    <t>CVBI11</t>
  </si>
  <si>
    <t>FUNDOS IMOBILIÁRIOS RECEBÍVEIS</t>
  </si>
  <si>
    <t>FIIs + Recebíveis</t>
  </si>
  <si>
    <t>VRTA11 - R</t>
  </si>
  <si>
    <t>RBRY11-R</t>
  </si>
  <si>
    <t>HSML11-R</t>
  </si>
  <si>
    <t>RVBI11-R</t>
  </si>
  <si>
    <t>BTLG11-R</t>
  </si>
  <si>
    <t>HGRU11-R</t>
  </si>
  <si>
    <t>HSLG11-R</t>
  </si>
  <si>
    <t>KNSC11-R</t>
  </si>
  <si>
    <t>VGIR11-R</t>
  </si>
  <si>
    <t>PVBI11-R</t>
  </si>
  <si>
    <t>TRXF11-R</t>
  </si>
  <si>
    <t>CPTI11</t>
  </si>
  <si>
    <t>XPML11</t>
  </si>
  <si>
    <t xml:space="preserve">HGRE11 </t>
  </si>
  <si>
    <t>Renda total</t>
  </si>
  <si>
    <t>DY Mensal</t>
  </si>
  <si>
    <t>Valor investido</t>
  </si>
  <si>
    <t>DY mensal</t>
  </si>
  <si>
    <t>Valor Invetido</t>
  </si>
  <si>
    <t>CDII11</t>
  </si>
  <si>
    <t>MÊS/2025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</si>
</sst>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8" formatCode="&quot;R$&quot;\ #,##0.00;[Red]\-&quot;R$&quot;\ #,##0.00"/>
    <numFmt numFmtId="164" formatCode="&quot;R$&quot;\ #,##0.00"/>
    <numFmt numFmtId="165" formatCode="#,##0.0"/>
    <numFmt numFmtId="166" formatCode="[$$-540A]#,##0.00"/>
    <numFmt numFmtId="167" formatCode="0.0"/>
    <numFmt numFmtId="168" formatCode="0.0000"/>
    <numFmt numFmtId="169" formatCode="0.0%"/>
    <numFmt numFmtId="170" formatCode="#,##0.000"/>
    <numFmt numFmtId="171" formatCode="0.000%"/>
  </numFmts>
  <fonts count="2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indexed="8"/>
      <name val="Arial"/>
      <family val="2"/>
    </font>
    <font>
      <sz val="11"/>
      <color theme="4" tint="-0.249977111117893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00B0F0"/>
      <name val="Calibri"/>
      <family val="2"/>
      <scheme val="minor"/>
    </font>
    <font>
      <b/>
      <sz val="12"/>
      <name val="Calibri"/>
      <family val="2"/>
    </font>
    <font>
      <b/>
      <sz val="11"/>
      <color rgb="FF00B0F0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00000"/>
      <name val="Times New Roman"/>
      <family val="1"/>
    </font>
    <font>
      <sz val="11"/>
      <color rgb="FF666666"/>
      <name val="Roboto"/>
    </font>
    <font>
      <sz val="9"/>
      <color rgb="FFFF0000"/>
      <name val="Arial"/>
      <family val="2"/>
    </font>
  </fonts>
  <fills count="6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10" fillId="0" borderId="0" applyNumberFormat="0" applyFill="0" applyBorder="0" applyAlignment="0" applyProtection="0"/>
    <xf numFmtId="0" fontId="11" fillId="0" borderId="6" applyNumberFormat="0" applyFill="0" applyAlignment="0" applyProtection="0"/>
    <xf numFmtId="0" fontId="12" fillId="0" borderId="7" applyNumberFormat="0" applyFill="0" applyAlignment="0" applyProtection="0"/>
    <xf numFmtId="0" fontId="13" fillId="0" borderId="8" applyNumberFormat="0" applyFill="0" applyAlignment="0" applyProtection="0"/>
    <xf numFmtId="0" fontId="13" fillId="0" borderId="0" applyNumberFormat="0" applyFill="0" applyBorder="0" applyAlignment="0" applyProtection="0"/>
    <xf numFmtId="0" fontId="14" fillId="13" borderId="0" applyNumberFormat="0" applyBorder="0" applyAlignment="0" applyProtection="0"/>
    <xf numFmtId="0" fontId="15" fillId="14" borderId="0" applyNumberFormat="0" applyBorder="0" applyAlignment="0" applyProtection="0"/>
    <xf numFmtId="0" fontId="16" fillId="15" borderId="0" applyNumberFormat="0" applyBorder="0" applyAlignment="0" applyProtection="0"/>
    <xf numFmtId="0" fontId="17" fillId="16" borderId="9" applyNumberFormat="0" applyAlignment="0" applyProtection="0"/>
    <xf numFmtId="0" fontId="18" fillId="17" borderId="10" applyNumberFormat="0" applyAlignment="0" applyProtection="0"/>
    <xf numFmtId="0" fontId="19" fillId="17" borderId="9" applyNumberFormat="0" applyAlignment="0" applyProtection="0"/>
    <xf numFmtId="0" fontId="20" fillId="0" borderId="11" applyNumberFormat="0" applyFill="0" applyAlignment="0" applyProtection="0"/>
    <xf numFmtId="0" fontId="21" fillId="18" borderId="12" applyNumberFormat="0" applyAlignment="0" applyProtection="0"/>
    <xf numFmtId="0" fontId="22" fillId="0" borderId="0" applyNumberFormat="0" applyFill="0" applyBorder="0" applyAlignment="0" applyProtection="0"/>
    <xf numFmtId="0" fontId="9" fillId="19" borderId="13" applyNumberFormat="0" applyFont="0" applyAlignment="0" applyProtection="0"/>
    <xf numFmtId="0" fontId="23" fillId="0" borderId="0" applyNumberFormat="0" applyFill="0" applyBorder="0" applyAlignment="0" applyProtection="0"/>
    <xf numFmtId="0" fontId="1" fillId="0" borderId="14" applyNumberFormat="0" applyFill="0" applyAlignment="0" applyProtection="0"/>
    <xf numFmtId="0" fontId="24" fillId="20" borderId="0" applyNumberFormat="0" applyBorder="0" applyAlignment="0" applyProtection="0"/>
    <xf numFmtId="0" fontId="9" fillId="21" borderId="0" applyNumberFormat="0" applyBorder="0" applyAlignment="0" applyProtection="0"/>
    <xf numFmtId="0" fontId="9" fillId="22" borderId="0" applyNumberFormat="0" applyBorder="0" applyAlignment="0" applyProtection="0"/>
    <xf numFmtId="0" fontId="9" fillId="23" borderId="0" applyNumberFormat="0" applyBorder="0" applyAlignment="0" applyProtection="0"/>
    <xf numFmtId="0" fontId="24" fillId="24" borderId="0" applyNumberFormat="0" applyBorder="0" applyAlignment="0" applyProtection="0"/>
    <xf numFmtId="0" fontId="9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24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24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24" fillId="36" borderId="0" applyNumberFormat="0" applyBorder="0" applyAlignment="0" applyProtection="0"/>
    <xf numFmtId="0" fontId="9" fillId="37" borderId="0" applyNumberFormat="0" applyBorder="0" applyAlignment="0" applyProtection="0"/>
    <xf numFmtId="0" fontId="9" fillId="38" borderId="0" applyNumberFormat="0" applyBorder="0" applyAlignment="0" applyProtection="0"/>
    <xf numFmtId="0" fontId="9" fillId="39" borderId="0" applyNumberFormat="0" applyBorder="0" applyAlignment="0" applyProtection="0"/>
    <xf numFmtId="0" fontId="24" fillId="40" borderId="0" applyNumberFormat="0" applyBorder="0" applyAlignment="0" applyProtection="0"/>
    <xf numFmtId="0" fontId="9" fillId="41" borderId="0" applyNumberFormat="0" applyBorder="0" applyAlignment="0" applyProtection="0"/>
    <xf numFmtId="0" fontId="9" fillId="42" borderId="0" applyNumberFormat="0" applyBorder="0" applyAlignment="0" applyProtection="0"/>
    <xf numFmtId="0" fontId="9" fillId="43" borderId="0" applyNumberFormat="0" applyBorder="0" applyAlignment="0" applyProtection="0"/>
  </cellStyleXfs>
  <cellXfs count="233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4" fontId="0" fillId="0" borderId="1" xfId="0" applyNumberFormat="1" applyBorder="1" applyAlignment="1">
      <alignment vertical="center" wrapText="1"/>
    </xf>
    <xf numFmtId="0" fontId="0" fillId="0" borderId="1" xfId="0" applyBorder="1"/>
    <xf numFmtId="17" fontId="0" fillId="0" borderId="1" xfId="0" applyNumberFormat="1" applyBorder="1" applyAlignment="1">
      <alignment vertical="center" wrapText="1"/>
    </xf>
    <xf numFmtId="0" fontId="0" fillId="2" borderId="1" xfId="0" applyFill="1" applyBorder="1"/>
    <xf numFmtId="164" fontId="1" fillId="0" borderId="2" xfId="0" applyNumberFormat="1" applyFont="1" applyBorder="1" applyAlignment="1">
      <alignment horizontal="center" vertical="center" wrapText="1"/>
    </xf>
    <xf numFmtId="164" fontId="0" fillId="0" borderId="0" xfId="0" applyNumberFormat="1"/>
    <xf numFmtId="2" fontId="1" fillId="0" borderId="1" xfId="0" applyNumberFormat="1" applyFont="1" applyBorder="1" applyAlignment="1">
      <alignment horizontal="center" vertical="center" wrapText="1"/>
    </xf>
    <xf numFmtId="2" fontId="0" fillId="3" borderId="1" xfId="0" applyNumberFormat="1" applyFill="1" applyBorder="1"/>
    <xf numFmtId="2" fontId="0" fillId="0" borderId="0" xfId="0" applyNumberFormat="1"/>
    <xf numFmtId="2" fontId="2" fillId="3" borderId="1" xfId="0" applyNumberFormat="1" applyFont="1" applyFill="1" applyBorder="1"/>
    <xf numFmtId="2" fontId="1" fillId="0" borderId="2" xfId="0" applyNumberFormat="1" applyFont="1" applyBorder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2" fontId="0" fillId="4" borderId="1" xfId="0" applyNumberFormat="1" applyFill="1" applyBorder="1"/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/>
    <xf numFmtId="0" fontId="1" fillId="2" borderId="1" xfId="0" applyFont="1" applyFill="1" applyBorder="1"/>
    <xf numFmtId="0" fontId="1" fillId="7" borderId="5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0" fillId="0" borderId="4" xfId="0" applyBorder="1"/>
    <xf numFmtId="0" fontId="1" fillId="0" borderId="2" xfId="0" applyFont="1" applyBorder="1" applyAlignment="1">
      <alignment horizontal="center" vertical="center" wrapText="1"/>
    </xf>
    <xf numFmtId="14" fontId="0" fillId="0" borderId="0" xfId="0" applyNumberFormat="1"/>
    <xf numFmtId="4" fontId="0" fillId="0" borderId="0" xfId="0" applyNumberFormat="1" applyAlignment="1">
      <alignment horizontal="center"/>
    </xf>
    <xf numFmtId="2" fontId="0" fillId="0" borderId="1" xfId="0" applyNumberFormat="1" applyBorder="1"/>
    <xf numFmtId="0" fontId="1" fillId="9" borderId="0" xfId="0" applyFont="1" applyFill="1"/>
    <xf numFmtId="164" fontId="0" fillId="0" borderId="1" xfId="0" applyNumberFormat="1" applyBorder="1"/>
    <xf numFmtId="4" fontId="4" fillId="0" borderId="1" xfId="0" applyNumberFormat="1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/>
    <xf numFmtId="164" fontId="4" fillId="0" borderId="1" xfId="0" applyNumberFormat="1" applyFont="1" applyBorder="1"/>
    <xf numFmtId="0" fontId="0" fillId="4" borderId="1" xfId="0" applyFill="1" applyBorder="1"/>
    <xf numFmtId="2" fontId="2" fillId="4" borderId="1" xfId="0" applyNumberFormat="1" applyFont="1" applyFill="1" applyBorder="1"/>
    <xf numFmtId="2" fontId="0" fillId="0" borderId="3" xfId="0" applyNumberFormat="1" applyBorder="1"/>
    <xf numFmtId="17" fontId="4" fillId="0" borderId="1" xfId="0" applyNumberFormat="1" applyFont="1" applyBorder="1" applyAlignment="1">
      <alignment vertical="center" wrapText="1"/>
    </xf>
    <xf numFmtId="2" fontId="1" fillId="9" borderId="0" xfId="0" applyNumberFormat="1" applyFont="1" applyFill="1"/>
    <xf numFmtId="164" fontId="0" fillId="9" borderId="0" xfId="0" applyNumberFormat="1" applyFill="1"/>
    <xf numFmtId="4" fontId="5" fillId="0" borderId="1" xfId="0" applyNumberFormat="1" applyFont="1" applyBorder="1" applyAlignment="1">
      <alignment vertical="center" wrapText="1"/>
    </xf>
    <xf numFmtId="0" fontId="5" fillId="0" borderId="1" xfId="0" applyFont="1" applyBorder="1"/>
    <xf numFmtId="2" fontId="0" fillId="10" borderId="1" xfId="0" applyNumberFormat="1" applyFill="1" applyBorder="1"/>
    <xf numFmtId="2" fontId="0" fillId="9" borderId="1" xfId="0" applyNumberFormat="1" applyFill="1" applyBorder="1"/>
    <xf numFmtId="2" fontId="2" fillId="9" borderId="0" xfId="0" applyNumberFormat="1" applyFont="1" applyFill="1"/>
    <xf numFmtId="164" fontId="0" fillId="11" borderId="0" xfId="0" applyNumberFormat="1" applyFill="1"/>
    <xf numFmtId="0" fontId="0" fillId="9" borderId="1" xfId="0" applyFill="1" applyBorder="1"/>
    <xf numFmtId="8" fontId="0" fillId="0" borderId="0" xfId="0" applyNumberFormat="1"/>
    <xf numFmtId="2" fontId="0" fillId="2" borderId="0" xfId="0" applyNumberFormat="1" applyFill="1"/>
    <xf numFmtId="164" fontId="0" fillId="2" borderId="0" xfId="0" applyNumberFormat="1" applyFill="1"/>
    <xf numFmtId="10" fontId="0" fillId="0" borderId="0" xfId="0" applyNumberFormat="1"/>
    <xf numFmtId="0" fontId="0" fillId="9" borderId="0" xfId="0" applyFill="1"/>
    <xf numFmtId="164" fontId="0" fillId="9" borderId="1" xfId="0" applyNumberFormat="1" applyFill="1" applyBorder="1"/>
    <xf numFmtId="4" fontId="6" fillId="0" borderId="1" xfId="0" applyNumberFormat="1" applyFont="1" applyBorder="1" applyAlignment="1">
      <alignment vertical="center" wrapText="1"/>
    </xf>
    <xf numFmtId="0" fontId="3" fillId="0" borderId="0" xfId="0" applyFont="1" applyAlignment="1">
      <alignment horizontal="left" vertical="top" wrapText="1"/>
    </xf>
    <xf numFmtId="164" fontId="1" fillId="9" borderId="0" xfId="0" applyNumberFormat="1" applyFont="1" applyFill="1"/>
    <xf numFmtId="164" fontId="1" fillId="10" borderId="0" xfId="0" applyNumberFormat="1" applyFont="1" applyFill="1"/>
    <xf numFmtId="166" fontId="0" fillId="0" borderId="0" xfId="0" applyNumberFormat="1"/>
    <xf numFmtId="0" fontId="1" fillId="2" borderId="0" xfId="0" applyFont="1" applyFill="1"/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164" fontId="0" fillId="10" borderId="0" xfId="0" applyNumberFormat="1" applyFill="1"/>
    <xf numFmtId="4" fontId="0" fillId="0" borderId="0" xfId="0" applyNumberFormat="1"/>
    <xf numFmtId="164" fontId="5" fillId="0" borderId="1" xfId="0" applyNumberFormat="1" applyFont="1" applyBorder="1"/>
    <xf numFmtId="0" fontId="7" fillId="9" borderId="1" xfId="0" applyFont="1" applyFill="1" applyBorder="1"/>
    <xf numFmtId="167" fontId="0" fillId="0" borderId="1" xfId="0" applyNumberFormat="1" applyBorder="1"/>
    <xf numFmtId="9" fontId="0" fillId="0" borderId="1" xfId="0" applyNumberFormat="1" applyBorder="1"/>
    <xf numFmtId="168" fontId="0" fillId="0" borderId="1" xfId="0" applyNumberFormat="1" applyBorder="1"/>
    <xf numFmtId="169" fontId="0" fillId="0" borderId="1" xfId="0" applyNumberFormat="1" applyBorder="1"/>
    <xf numFmtId="0" fontId="1" fillId="0" borderId="4" xfId="0" applyFont="1" applyBorder="1"/>
    <xf numFmtId="9" fontId="1" fillId="9" borderId="1" xfId="0" applyNumberFormat="1" applyFont="1" applyFill="1" applyBorder="1"/>
    <xf numFmtId="170" fontId="0" fillId="0" borderId="1" xfId="0" applyNumberFormat="1" applyBorder="1" applyAlignment="1">
      <alignment vertical="center" wrapText="1"/>
    </xf>
    <xf numFmtId="170" fontId="4" fillId="0" borderId="1" xfId="0" applyNumberFormat="1" applyFont="1" applyBorder="1" applyAlignment="1">
      <alignment vertical="center" wrapText="1"/>
    </xf>
    <xf numFmtId="0" fontId="1" fillId="9" borderId="4" xfId="0" applyFont="1" applyFill="1" applyBorder="1"/>
    <xf numFmtId="170" fontId="6" fillId="0" borderId="1" xfId="0" applyNumberFormat="1" applyFont="1" applyBorder="1" applyAlignment="1">
      <alignment vertical="center" wrapText="1"/>
    </xf>
    <xf numFmtId="164" fontId="6" fillId="0" borderId="1" xfId="0" applyNumberFormat="1" applyFont="1" applyBorder="1"/>
    <xf numFmtId="0" fontId="8" fillId="0" borderId="2" xfId="0" applyFont="1" applyBorder="1" applyAlignment="1">
      <alignment horizontal="center" vertical="center" wrapText="1"/>
    </xf>
    <xf numFmtId="0" fontId="6" fillId="0" borderId="0" xfId="0" applyFont="1"/>
    <xf numFmtId="14" fontId="6" fillId="0" borderId="0" xfId="0" applyNumberFormat="1" applyFont="1"/>
    <xf numFmtId="2" fontId="6" fillId="0" borderId="0" xfId="0" applyNumberFormat="1" applyFont="1"/>
    <xf numFmtId="164" fontId="6" fillId="0" borderId="0" xfId="0" applyNumberFormat="1" applyFont="1"/>
    <xf numFmtId="0" fontId="1" fillId="0" borderId="0" xfId="0" applyFont="1"/>
    <xf numFmtId="10" fontId="0" fillId="0" borderId="1" xfId="0" applyNumberFormat="1" applyBorder="1"/>
    <xf numFmtId="167" fontId="0" fillId="0" borderId="0" xfId="0" applyNumberFormat="1"/>
    <xf numFmtId="168" fontId="0" fillId="0" borderId="0" xfId="0" applyNumberFormat="1"/>
    <xf numFmtId="169" fontId="0" fillId="0" borderId="0" xfId="0" applyNumberFormat="1"/>
    <xf numFmtId="10" fontId="1" fillId="9" borderId="0" xfId="0" applyNumberFormat="1" applyFont="1" applyFill="1"/>
    <xf numFmtId="2" fontId="2" fillId="0" borderId="0" xfId="0" applyNumberFormat="1" applyFont="1"/>
    <xf numFmtId="14" fontId="2" fillId="0" borderId="0" xfId="0" applyNumberFormat="1" applyFont="1"/>
    <xf numFmtId="0" fontId="1" fillId="2" borderId="1" xfId="0" applyFont="1" applyFill="1" applyBorder="1" applyAlignment="1">
      <alignment horizontal="center" vertical="center"/>
    </xf>
    <xf numFmtId="8" fontId="0" fillId="12" borderId="1" xfId="0" applyNumberFormat="1" applyFill="1" applyBorder="1" applyAlignment="1">
      <alignment horizontal="right"/>
    </xf>
    <xf numFmtId="0" fontId="1" fillId="8" borderId="1" xfId="0" applyFont="1" applyFill="1" applyBorder="1"/>
    <xf numFmtId="0" fontId="1" fillId="2" borderId="17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3" fontId="1" fillId="2" borderId="1" xfId="0" applyNumberFormat="1" applyFont="1" applyFill="1" applyBorder="1"/>
    <xf numFmtId="164" fontId="3" fillId="0" borderId="0" xfId="0" applyNumberFormat="1" applyFont="1" applyAlignment="1">
      <alignment horizontal="left" vertical="top"/>
    </xf>
    <xf numFmtId="164" fontId="0" fillId="0" borderId="0" xfId="0" applyNumberFormat="1" applyAlignment="1">
      <alignment horizontal="center"/>
    </xf>
    <xf numFmtId="4" fontId="0" fillId="9" borderId="0" xfId="0" applyNumberFormat="1" applyFill="1"/>
    <xf numFmtId="0" fontId="1" fillId="6" borderId="1" xfId="0" applyFont="1" applyFill="1" applyBorder="1" applyAlignment="1">
      <alignment horizontal="center" vertical="center" textRotation="90"/>
    </xf>
    <xf numFmtId="0" fontId="0" fillId="0" borderId="1" xfId="0" applyBorder="1" applyAlignment="1">
      <alignment horizontal="center"/>
    </xf>
    <xf numFmtId="0" fontId="0" fillId="44" borderId="1" xfId="0" applyFill="1" applyBorder="1"/>
    <xf numFmtId="8" fontId="0" fillId="44" borderId="1" xfId="0" applyNumberFormat="1" applyFill="1" applyBorder="1" applyAlignment="1">
      <alignment horizontal="right"/>
    </xf>
    <xf numFmtId="0" fontId="0" fillId="44" borderId="1" xfId="0" applyFill="1" applyBorder="1" applyAlignment="1">
      <alignment horizontal="center"/>
    </xf>
    <xf numFmtId="0" fontId="0" fillId="45" borderId="1" xfId="0" applyFill="1" applyBorder="1"/>
    <xf numFmtId="8" fontId="0" fillId="45" borderId="1" xfId="0" applyNumberFormat="1" applyFill="1" applyBorder="1" applyAlignment="1">
      <alignment horizontal="right"/>
    </xf>
    <xf numFmtId="0" fontId="0" fillId="45" borderId="1" xfId="0" applyFill="1" applyBorder="1" applyAlignment="1">
      <alignment horizontal="center"/>
    </xf>
    <xf numFmtId="8" fontId="0" fillId="45" borderId="1" xfId="0" applyNumberFormat="1" applyFill="1" applyBorder="1" applyAlignment="1">
      <alignment horizontal="right" wrapText="1"/>
    </xf>
    <xf numFmtId="0" fontId="0" fillId="46" borderId="1" xfId="0" applyFill="1" applyBorder="1"/>
    <xf numFmtId="8" fontId="0" fillId="46" borderId="1" xfId="0" applyNumberFormat="1" applyFill="1" applyBorder="1" applyAlignment="1">
      <alignment horizontal="right"/>
    </xf>
    <xf numFmtId="0" fontId="0" fillId="46" borderId="1" xfId="0" applyFill="1" applyBorder="1" applyAlignment="1">
      <alignment horizontal="center"/>
    </xf>
    <xf numFmtId="0" fontId="0" fillId="47" borderId="1" xfId="0" applyFill="1" applyBorder="1"/>
    <xf numFmtId="8" fontId="0" fillId="47" borderId="1" xfId="0" applyNumberFormat="1" applyFill="1" applyBorder="1" applyAlignment="1">
      <alignment horizontal="right"/>
    </xf>
    <xf numFmtId="0" fontId="0" fillId="47" borderId="1" xfId="0" applyFill="1" applyBorder="1" applyAlignment="1">
      <alignment horizontal="center"/>
    </xf>
    <xf numFmtId="0" fontId="0" fillId="48" borderId="1" xfId="0" applyFill="1" applyBorder="1"/>
    <xf numFmtId="8" fontId="0" fillId="48" borderId="1" xfId="0" applyNumberFormat="1" applyFill="1" applyBorder="1" applyAlignment="1">
      <alignment horizontal="right"/>
    </xf>
    <xf numFmtId="0" fontId="0" fillId="48" borderId="1" xfId="0" applyFill="1" applyBorder="1" applyAlignment="1">
      <alignment horizontal="center"/>
    </xf>
    <xf numFmtId="0" fontId="0" fillId="49" borderId="1" xfId="0" applyFill="1" applyBorder="1"/>
    <xf numFmtId="8" fontId="0" fillId="49" borderId="1" xfId="0" applyNumberFormat="1" applyFill="1" applyBorder="1" applyAlignment="1">
      <alignment horizontal="right"/>
    </xf>
    <xf numFmtId="0" fontId="0" fillId="49" borderId="1" xfId="0" applyFill="1" applyBorder="1" applyAlignment="1">
      <alignment horizontal="center"/>
    </xf>
    <xf numFmtId="0" fontId="0" fillId="50" borderId="1" xfId="0" applyFill="1" applyBorder="1"/>
    <xf numFmtId="8" fontId="0" fillId="50" borderId="1" xfId="0" applyNumberFormat="1" applyFill="1" applyBorder="1" applyAlignment="1">
      <alignment horizontal="right"/>
    </xf>
    <xf numFmtId="0" fontId="0" fillId="50" borderId="1" xfId="0" applyFill="1" applyBorder="1" applyAlignment="1">
      <alignment horizontal="center"/>
    </xf>
    <xf numFmtId="0" fontId="0" fillId="51" borderId="1" xfId="0" applyFill="1" applyBorder="1"/>
    <xf numFmtId="8" fontId="0" fillId="51" borderId="1" xfId="0" applyNumberFormat="1" applyFill="1" applyBorder="1" applyAlignment="1">
      <alignment horizontal="right"/>
    </xf>
    <xf numFmtId="0" fontId="0" fillId="51" borderId="1" xfId="0" applyFill="1" applyBorder="1" applyAlignment="1">
      <alignment horizontal="center"/>
    </xf>
    <xf numFmtId="0" fontId="0" fillId="52" borderId="1" xfId="0" applyFill="1" applyBorder="1"/>
    <xf numFmtId="8" fontId="0" fillId="52" borderId="1" xfId="0" applyNumberFormat="1" applyFill="1" applyBorder="1" applyAlignment="1">
      <alignment horizontal="right"/>
    </xf>
    <xf numFmtId="0" fontId="0" fillId="52" borderId="1" xfId="0" applyFill="1" applyBorder="1" applyAlignment="1">
      <alignment horizontal="center"/>
    </xf>
    <xf numFmtId="0" fontId="0" fillId="51" borderId="1" xfId="0" applyFill="1" applyBorder="1" applyAlignment="1">
      <alignment horizontal="left"/>
    </xf>
    <xf numFmtId="8" fontId="0" fillId="9" borderId="0" xfId="0" applyNumberFormat="1" applyFill="1"/>
    <xf numFmtId="8" fontId="0" fillId="0" borderId="0" xfId="0" applyNumberFormat="1" applyAlignment="1">
      <alignment horizontal="center" vertical="center"/>
    </xf>
    <xf numFmtId="8" fontId="0" fillId="4" borderId="5" xfId="0" applyNumberFormat="1" applyFill="1" applyBorder="1" applyAlignment="1">
      <alignment horizontal="center"/>
    </xf>
    <xf numFmtId="4" fontId="0" fillId="0" borderId="1" xfId="0" applyNumberFormat="1" applyBorder="1"/>
    <xf numFmtId="164" fontId="0" fillId="0" borderId="1" xfId="0" applyNumberFormat="1" applyBorder="1" applyAlignment="1">
      <alignment horizontal="left" vertical="top"/>
    </xf>
    <xf numFmtId="0" fontId="1" fillId="9" borderId="1" xfId="0" applyFont="1" applyFill="1" applyBorder="1"/>
    <xf numFmtId="8" fontId="0" fillId="2" borderId="1" xfId="0" applyNumberFormat="1" applyFill="1" applyBorder="1"/>
    <xf numFmtId="8" fontId="0" fillId="0" borderId="1" xfId="0" applyNumberFormat="1" applyBorder="1"/>
    <xf numFmtId="8" fontId="0" fillId="6" borderId="0" xfId="0" applyNumberFormat="1" applyFill="1"/>
    <xf numFmtId="0" fontId="0" fillId="53" borderId="1" xfId="0" applyFill="1" applyBorder="1"/>
    <xf numFmtId="17" fontId="0" fillId="53" borderId="1" xfId="0" applyNumberFormat="1" applyFill="1" applyBorder="1"/>
    <xf numFmtId="164" fontId="5" fillId="0" borderId="0" xfId="0" applyNumberFormat="1" applyFont="1"/>
    <xf numFmtId="164" fontId="1" fillId="2" borderId="1" xfId="0" applyNumberFormat="1" applyFont="1" applyFill="1" applyBorder="1"/>
    <xf numFmtId="0" fontId="0" fillId="9" borderId="1" xfId="0" applyFill="1" applyBorder="1" applyAlignment="1">
      <alignment horizontal="center" vertical="center"/>
    </xf>
    <xf numFmtId="164" fontId="0" fillId="9" borderId="1" xfId="0" applyNumberFormat="1" applyFill="1" applyBorder="1" applyAlignment="1">
      <alignment horizontal="center" vertical="center"/>
    </xf>
    <xf numFmtId="164" fontId="0" fillId="0" borderId="4" xfId="0" applyNumberFormat="1" applyBorder="1"/>
    <xf numFmtId="164" fontId="0" fillId="3" borderId="1" xfId="0" applyNumberFormat="1" applyFill="1" applyBorder="1"/>
    <xf numFmtId="164" fontId="0" fillId="10" borderId="1" xfId="0" applyNumberFormat="1" applyFill="1" applyBorder="1"/>
    <xf numFmtId="164" fontId="0" fillId="0" borderId="1" xfId="0" applyNumberFormat="1" applyBorder="1" applyAlignment="1">
      <alignment vertical="center" wrapText="1"/>
    </xf>
    <xf numFmtId="164" fontId="0" fillId="0" borderId="4" xfId="0" applyNumberFormat="1" applyBorder="1" applyAlignment="1">
      <alignment vertical="center" wrapText="1"/>
    </xf>
    <xf numFmtId="4" fontId="2" fillId="0" borderId="1" xfId="0" applyNumberFormat="1" applyFont="1" applyBorder="1" applyAlignment="1">
      <alignment vertical="center" wrapText="1"/>
    </xf>
    <xf numFmtId="14" fontId="0" fillId="2" borderId="0" xfId="0" applyNumberFormat="1" applyFill="1"/>
    <xf numFmtId="0" fontId="0" fillId="2" borderId="0" xfId="0" applyFill="1"/>
    <xf numFmtId="164" fontId="0" fillId="2" borderId="0" xfId="0" applyNumberFormat="1" applyFill="1" applyAlignment="1">
      <alignment horizontal="center"/>
    </xf>
    <xf numFmtId="4" fontId="3" fillId="2" borderId="0" xfId="0" applyNumberFormat="1" applyFont="1" applyFill="1" applyAlignment="1">
      <alignment horizontal="center" vertical="top"/>
    </xf>
    <xf numFmtId="4" fontId="0" fillId="2" borderId="0" xfId="0" applyNumberFormat="1" applyFill="1" applyAlignment="1">
      <alignment horizontal="center"/>
    </xf>
    <xf numFmtId="14" fontId="0" fillId="6" borderId="0" xfId="0" applyNumberFormat="1" applyFill="1"/>
    <xf numFmtId="0" fontId="0" fillId="6" borderId="0" xfId="0" applyFill="1"/>
    <xf numFmtId="164" fontId="0" fillId="6" borderId="0" xfId="0" applyNumberFormat="1" applyFill="1" applyAlignment="1">
      <alignment horizontal="center"/>
    </xf>
    <xf numFmtId="4" fontId="0" fillId="6" borderId="0" xfId="0" applyNumberFormat="1" applyFill="1" applyAlignment="1">
      <alignment horizontal="center"/>
    </xf>
    <xf numFmtId="14" fontId="0" fillId="54" borderId="0" xfId="0" applyNumberFormat="1" applyFill="1"/>
    <xf numFmtId="0" fontId="0" fillId="54" borderId="0" xfId="0" applyFill="1"/>
    <xf numFmtId="164" fontId="0" fillId="54" borderId="0" xfId="0" applyNumberFormat="1" applyFill="1" applyAlignment="1">
      <alignment horizontal="center"/>
    </xf>
    <xf numFmtId="4" fontId="0" fillId="54" borderId="0" xfId="0" applyNumberFormat="1" applyFill="1" applyAlignment="1">
      <alignment horizontal="center"/>
    </xf>
    <xf numFmtId="14" fontId="0" fillId="55" borderId="0" xfId="0" applyNumberFormat="1" applyFill="1"/>
    <xf numFmtId="0" fontId="0" fillId="55" borderId="0" xfId="0" applyFill="1"/>
    <xf numFmtId="164" fontId="0" fillId="55" borderId="0" xfId="0" applyNumberFormat="1" applyFill="1" applyAlignment="1">
      <alignment horizontal="center"/>
    </xf>
    <xf numFmtId="4" fontId="0" fillId="55" borderId="0" xfId="0" applyNumberFormat="1" applyFill="1" applyAlignment="1">
      <alignment horizontal="center"/>
    </xf>
    <xf numFmtId="14" fontId="0" fillId="3" borderId="0" xfId="0" applyNumberFormat="1" applyFill="1"/>
    <xf numFmtId="0" fontId="0" fillId="3" borderId="0" xfId="0" applyFill="1"/>
    <xf numFmtId="164" fontId="0" fillId="3" borderId="0" xfId="0" applyNumberFormat="1" applyFill="1" applyAlignment="1">
      <alignment horizontal="center"/>
    </xf>
    <xf numFmtId="4" fontId="0" fillId="3" borderId="0" xfId="0" applyNumberFormat="1" applyFill="1" applyAlignment="1">
      <alignment horizontal="center"/>
    </xf>
    <xf numFmtId="14" fontId="0" fillId="46" borderId="0" xfId="0" applyNumberFormat="1" applyFill="1"/>
    <xf numFmtId="0" fontId="0" fillId="46" borderId="0" xfId="0" applyFill="1"/>
    <xf numFmtId="164" fontId="0" fillId="46" borderId="0" xfId="0" applyNumberFormat="1" applyFill="1" applyAlignment="1">
      <alignment horizontal="center"/>
    </xf>
    <xf numFmtId="4" fontId="0" fillId="46" borderId="0" xfId="0" applyNumberFormat="1" applyFill="1" applyAlignment="1">
      <alignment horizontal="center"/>
    </xf>
    <xf numFmtId="164" fontId="0" fillId="2" borderId="0" xfId="0" quotePrefix="1" applyNumberFormat="1" applyFill="1" applyAlignment="1">
      <alignment horizontal="center"/>
    </xf>
    <xf numFmtId="14" fontId="0" fillId="56" borderId="0" xfId="0" applyNumberFormat="1" applyFill="1"/>
    <xf numFmtId="0" fontId="0" fillId="56" borderId="0" xfId="0" applyFill="1"/>
    <xf numFmtId="164" fontId="0" fillId="56" borderId="0" xfId="0" applyNumberFormat="1" applyFill="1" applyAlignment="1">
      <alignment horizontal="center"/>
    </xf>
    <xf numFmtId="4" fontId="0" fillId="56" borderId="0" xfId="0" applyNumberFormat="1" applyFill="1" applyAlignment="1">
      <alignment horizontal="center"/>
    </xf>
    <xf numFmtId="164" fontId="1" fillId="9" borderId="0" xfId="0" applyNumberFormat="1" applyFont="1" applyFill="1" applyAlignment="1">
      <alignment horizontal="center"/>
    </xf>
    <xf numFmtId="0" fontId="0" fillId="57" borderId="0" xfId="0" applyFill="1"/>
    <xf numFmtId="164" fontId="0" fillId="57" borderId="0" xfId="0" applyNumberFormat="1" applyFill="1"/>
    <xf numFmtId="10" fontId="0" fillId="57" borderId="0" xfId="0" applyNumberFormat="1" applyFill="1"/>
    <xf numFmtId="0" fontId="0" fillId="0" borderId="0" xfId="0" applyAlignment="1">
      <alignment horizontal="center" vertical="center" wrapText="1"/>
    </xf>
    <xf numFmtId="0" fontId="0" fillId="51" borderId="0" xfId="0" applyFill="1"/>
    <xf numFmtId="164" fontId="0" fillId="51" borderId="0" xfId="0" applyNumberFormat="1" applyFill="1"/>
    <xf numFmtId="10" fontId="0" fillId="51" borderId="0" xfId="0" applyNumberFormat="1" applyFill="1"/>
    <xf numFmtId="4" fontId="0" fillId="4" borderId="5" xfId="0" applyNumberFormat="1" applyFill="1" applyBorder="1" applyAlignment="1">
      <alignment horizontal="center"/>
    </xf>
    <xf numFmtId="14" fontId="0" fillId="58" borderId="0" xfId="0" applyNumberFormat="1" applyFill="1"/>
    <xf numFmtId="0" fontId="0" fillId="58" borderId="0" xfId="0" applyFill="1"/>
    <xf numFmtId="164" fontId="0" fillId="58" borderId="0" xfId="0" applyNumberFormat="1" applyFill="1" applyAlignment="1">
      <alignment horizontal="center"/>
    </xf>
    <xf numFmtId="0" fontId="3" fillId="58" borderId="0" xfId="0" applyFont="1" applyFill="1" applyAlignment="1">
      <alignment horizontal="left" vertical="top" wrapText="1"/>
    </xf>
    <xf numFmtId="0" fontId="1" fillId="2" borderId="16" xfId="0" applyFont="1" applyFill="1" applyBorder="1" applyAlignment="1">
      <alignment horizontal="center" vertical="center"/>
    </xf>
    <xf numFmtId="171" fontId="0" fillId="0" borderId="0" xfId="0" applyNumberFormat="1"/>
    <xf numFmtId="8" fontId="0" fillId="2" borderId="1" xfId="0" applyNumberFormat="1" applyFill="1" applyBorder="1" applyAlignment="1">
      <alignment horizontal="right"/>
    </xf>
    <xf numFmtId="164" fontId="0" fillId="59" borderId="1" xfId="0" applyNumberFormat="1" applyFill="1" applyBorder="1"/>
    <xf numFmtId="10" fontId="0" fillId="59" borderId="1" xfId="0" applyNumberFormat="1" applyFill="1" applyBorder="1"/>
    <xf numFmtId="0" fontId="26" fillId="0" borderId="0" xfId="0" applyFont="1"/>
    <xf numFmtId="8" fontId="0" fillId="49" borderId="1" xfId="0" applyNumberFormat="1" applyFill="1" applyBorder="1" applyAlignment="1">
      <alignment horizontal="center"/>
    </xf>
    <xf numFmtId="164" fontId="0" fillId="45" borderId="1" xfId="0" applyNumberFormat="1" applyFill="1" applyBorder="1"/>
    <xf numFmtId="164" fontId="0" fillId="50" borderId="1" xfId="0" applyNumberFormat="1" applyFill="1" applyBorder="1"/>
    <xf numFmtId="14" fontId="27" fillId="12" borderId="0" xfId="0" applyNumberFormat="1" applyFont="1" applyFill="1" applyAlignment="1">
      <alignment horizontal="left" vertical="center"/>
    </xf>
    <xf numFmtId="0" fontId="27" fillId="12" borderId="0" xfId="0" applyFont="1" applyFill="1" applyAlignment="1">
      <alignment horizontal="left" vertical="center"/>
    </xf>
    <xf numFmtId="0" fontId="0" fillId="12" borderId="0" xfId="0" applyFill="1" applyAlignment="1">
      <alignment vertical="center"/>
    </xf>
    <xf numFmtId="164" fontId="27" fillId="12" borderId="0" xfId="0" applyNumberFormat="1" applyFont="1" applyFill="1" applyAlignment="1">
      <alignment horizontal="right" vertical="center"/>
    </xf>
    <xf numFmtId="14" fontId="22" fillId="58" borderId="0" xfId="0" applyNumberFormat="1" applyFont="1" applyFill="1"/>
    <xf numFmtId="0" fontId="22" fillId="58" borderId="0" xfId="0" applyFont="1" applyFill="1"/>
    <xf numFmtId="164" fontId="22" fillId="58" borderId="0" xfId="0" applyNumberFormat="1" applyFont="1" applyFill="1" applyAlignment="1">
      <alignment horizontal="center"/>
    </xf>
    <xf numFmtId="164" fontId="1" fillId="58" borderId="0" xfId="0" applyNumberFormat="1" applyFont="1" applyFill="1" applyAlignment="1">
      <alignment horizontal="center"/>
    </xf>
    <xf numFmtId="4" fontId="22" fillId="0" borderId="1" xfId="0" applyNumberFormat="1" applyFont="1" applyBorder="1" applyAlignment="1">
      <alignment vertical="center" wrapText="1"/>
    </xf>
    <xf numFmtId="0" fontId="3" fillId="58" borderId="0" xfId="0" applyFont="1" applyFill="1" applyAlignment="1">
      <alignment horizontal="left" vertical="top" wrapText="1"/>
    </xf>
    <xf numFmtId="0" fontId="3" fillId="6" borderId="0" xfId="0" applyFont="1" applyFill="1" applyAlignment="1">
      <alignment horizontal="left" vertical="top" wrapText="1"/>
    </xf>
    <xf numFmtId="0" fontId="3" fillId="56" borderId="0" xfId="0" applyFont="1" applyFill="1" applyAlignment="1">
      <alignment horizontal="left" vertical="top" wrapText="1"/>
    </xf>
    <xf numFmtId="0" fontId="3" fillId="46" borderId="0" xfId="0" applyFont="1" applyFill="1" applyAlignment="1">
      <alignment horizontal="left" vertical="top" wrapText="1"/>
    </xf>
    <xf numFmtId="0" fontId="3" fillId="3" borderId="0" xfId="0" applyFont="1" applyFill="1" applyAlignment="1">
      <alignment horizontal="left" vertical="top" wrapText="1"/>
    </xf>
    <xf numFmtId="0" fontId="3" fillId="55" borderId="0" xfId="0" applyFont="1" applyFill="1" applyAlignment="1">
      <alignment horizontal="left" vertical="top" wrapText="1"/>
    </xf>
    <xf numFmtId="0" fontId="3" fillId="54" borderId="0" xfId="0" applyFont="1" applyFill="1" applyAlignment="1">
      <alignment horizontal="left" vertical="top" wrapText="1"/>
    </xf>
    <xf numFmtId="0" fontId="3" fillId="2" borderId="0" xfId="0" applyFont="1" applyFill="1" applyAlignment="1">
      <alignment horizontal="left" vertical="top" wrapText="1"/>
    </xf>
    <xf numFmtId="1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28" fillId="58" borderId="0" xfId="0" applyFont="1" applyFill="1" applyAlignment="1">
      <alignment horizontal="left" vertical="top" wrapText="1"/>
    </xf>
    <xf numFmtId="0" fontId="25" fillId="51" borderId="0" xfId="0" applyFont="1" applyFill="1" applyAlignment="1">
      <alignment horizontal="center"/>
    </xf>
    <xf numFmtId="0" fontId="1" fillId="5" borderId="3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 textRotation="90"/>
    </xf>
    <xf numFmtId="0" fontId="1" fillId="2" borderId="1" xfId="0" applyFont="1" applyFill="1" applyBorder="1" applyAlignment="1">
      <alignment horizontal="center" vertical="center"/>
    </xf>
    <xf numFmtId="8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8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13">
    <dxf>
      <numFmt numFmtId="14" formatCode="0.00%"/>
      <fill>
        <patternFill patternType="solid">
          <fgColor indexed="64"/>
          <bgColor theme="8" tint="0.79998168889431442"/>
        </patternFill>
      </fill>
    </dxf>
    <dxf>
      <numFmt numFmtId="14" formatCode="0.00%"/>
      <fill>
        <patternFill patternType="solid">
          <fgColor indexed="64"/>
          <bgColor theme="8" tint="0.79998168889431442"/>
        </patternFill>
      </fill>
    </dxf>
    <dxf>
      <numFmt numFmtId="164" formatCode="&quot;R$&quot;\ #,##0.00"/>
      <fill>
        <patternFill patternType="solid">
          <fgColor indexed="64"/>
          <bgColor theme="8" tint="0.79998168889431442"/>
        </patternFill>
      </fill>
    </dxf>
    <dxf>
      <numFmt numFmtId="164" formatCode="&quot;R$&quot;\ #,##0.00"/>
      <fill>
        <patternFill patternType="solid">
          <fgColor indexed="64"/>
          <bgColor theme="8" tint="0.79998168889431442"/>
        </patternFill>
      </fill>
    </dxf>
    <dxf>
      <numFmt numFmtId="164" formatCode="&quot;R$&quot;\ #,##0.00"/>
      <fill>
        <patternFill patternType="solid">
          <fgColor indexed="64"/>
          <bgColor theme="8" tint="0.79998168889431442"/>
        </patternFill>
      </fill>
    </dxf>
    <dxf>
      <numFmt numFmtId="164" formatCode="&quot;R$&quot;\ #,##0.00"/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numFmt numFmtId="164" formatCode="&quot;R$&quot;\ #,##0.00"/>
      <fill>
        <patternFill patternType="solid">
          <fgColor indexed="64"/>
          <bgColor theme="8" tint="0.79998168889431442"/>
        </patternFill>
      </fill>
    </dxf>
    <dxf>
      <numFmt numFmtId="0" formatCode="General"/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numFmt numFmtId="0" formatCode="General"/>
      <fill>
        <patternFill patternType="solid">
          <fgColor indexed="64"/>
          <bgColor theme="8" tint="0.79998168889431442"/>
        </patternFill>
      </fill>
    </dxf>
    <dxf>
      <font>
        <color rgb="FFEC0E2C"/>
      </font>
    </dxf>
    <dxf>
      <font>
        <color rgb="FF0B893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microsoft.com/office/2017/10/relationships/person" Target="persons/perso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powerPivotData" Target="model/item.data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Renda</a:t>
            </a:r>
            <a:r>
              <a:rPr lang="pt-BR" baseline="0"/>
              <a:t> 2023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'Evolução Dividendos'!$B$1</c:f>
              <c:strCache>
                <c:ptCount val="1"/>
                <c:pt idx="0">
                  <c:v>BTC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'Evolução Dividendos'!$A$2:$A$13</c:f>
              <c:numCache>
                <c:formatCode>mmm\-yy</c:formatCode>
                <c:ptCount val="12"/>
                <c:pt idx="0">
                  <c:v>44927</c:v>
                </c:pt>
                <c:pt idx="1">
                  <c:v>44958</c:v>
                </c:pt>
                <c:pt idx="2">
                  <c:v>44986</c:v>
                </c:pt>
                <c:pt idx="3">
                  <c:v>45017</c:v>
                </c:pt>
                <c:pt idx="4">
                  <c:v>45047</c:v>
                </c:pt>
                <c:pt idx="5">
                  <c:v>45078</c:v>
                </c:pt>
                <c:pt idx="6">
                  <c:v>45108</c:v>
                </c:pt>
                <c:pt idx="7">
                  <c:v>45139</c:v>
                </c:pt>
                <c:pt idx="8">
                  <c:v>45170</c:v>
                </c:pt>
                <c:pt idx="9">
                  <c:v>45200</c:v>
                </c:pt>
                <c:pt idx="10">
                  <c:v>45231</c:v>
                </c:pt>
                <c:pt idx="11">
                  <c:v>45261</c:v>
                </c:pt>
              </c:numCache>
            </c:numRef>
          </c:cat>
          <c:val>
            <c:numRef>
              <c:f>'Evolução Dividendos'!$B$2:$B$13</c:f>
              <c:numCache>
                <c:formatCode>"R$"\ #,##0.00</c:formatCode>
                <c:ptCount val="12"/>
                <c:pt idx="0">
                  <c:v>84.21</c:v>
                </c:pt>
                <c:pt idx="2">
                  <c:v>252.27</c:v>
                </c:pt>
                <c:pt idx="3">
                  <c:v>115.59</c:v>
                </c:pt>
                <c:pt idx="4">
                  <c:v>210.46</c:v>
                </c:pt>
                <c:pt idx="5">
                  <c:v>87.3</c:v>
                </c:pt>
                <c:pt idx="6">
                  <c:v>31.07</c:v>
                </c:pt>
                <c:pt idx="7">
                  <c:v>36.24</c:v>
                </c:pt>
                <c:pt idx="8">
                  <c:v>21.01</c:v>
                </c:pt>
                <c:pt idx="9">
                  <c:v>46.51</c:v>
                </c:pt>
                <c:pt idx="10">
                  <c:v>31.66</c:v>
                </c:pt>
                <c:pt idx="11">
                  <c:v>27.91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27-4AF4-BEFA-2E2C2C63C6E3}"/>
            </c:ext>
          </c:extLst>
        </c:ser>
        <c:ser>
          <c:idx val="1"/>
          <c:order val="1"/>
          <c:tx>
            <c:strRef>
              <c:f>'Evolução Dividendos'!$C$1</c:f>
              <c:strCache>
                <c:ptCount val="1"/>
                <c:pt idx="0">
                  <c:v>Ações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'Evolução Dividendos'!$A$2:$A$13</c:f>
              <c:numCache>
                <c:formatCode>mmm\-yy</c:formatCode>
                <c:ptCount val="12"/>
                <c:pt idx="0">
                  <c:v>44927</c:v>
                </c:pt>
                <c:pt idx="1">
                  <c:v>44958</c:v>
                </c:pt>
                <c:pt idx="2">
                  <c:v>44986</c:v>
                </c:pt>
                <c:pt idx="3">
                  <c:v>45017</c:v>
                </c:pt>
                <c:pt idx="4">
                  <c:v>45047</c:v>
                </c:pt>
                <c:pt idx="5">
                  <c:v>45078</c:v>
                </c:pt>
                <c:pt idx="6">
                  <c:v>45108</c:v>
                </c:pt>
                <c:pt idx="7">
                  <c:v>45139</c:v>
                </c:pt>
                <c:pt idx="8">
                  <c:v>45170</c:v>
                </c:pt>
                <c:pt idx="9">
                  <c:v>45200</c:v>
                </c:pt>
                <c:pt idx="10">
                  <c:v>45231</c:v>
                </c:pt>
                <c:pt idx="11">
                  <c:v>45261</c:v>
                </c:pt>
              </c:numCache>
            </c:numRef>
          </c:cat>
          <c:val>
            <c:numRef>
              <c:f>'Evolução Dividendos'!$C$2:$C$13</c:f>
              <c:numCache>
                <c:formatCode>"R$"\ #,##0.00</c:formatCode>
                <c:ptCount val="12"/>
                <c:pt idx="0">
                  <c:v>3202.18</c:v>
                </c:pt>
                <c:pt idx="1">
                  <c:v>24.41</c:v>
                </c:pt>
                <c:pt idx="2">
                  <c:v>1990.5</c:v>
                </c:pt>
                <c:pt idx="3">
                  <c:v>705.83</c:v>
                </c:pt>
                <c:pt idx="4">
                  <c:v>3737.34</c:v>
                </c:pt>
                <c:pt idx="5">
                  <c:v>6026</c:v>
                </c:pt>
                <c:pt idx="6">
                  <c:v>278.41000000000003</c:v>
                </c:pt>
                <c:pt idx="7">
                  <c:v>3518.68</c:v>
                </c:pt>
                <c:pt idx="8">
                  <c:v>3466.6899999999996</c:v>
                </c:pt>
                <c:pt idx="9">
                  <c:v>721.81</c:v>
                </c:pt>
                <c:pt idx="10">
                  <c:v>1916.35</c:v>
                </c:pt>
                <c:pt idx="11">
                  <c:v>4639.96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27-4AF4-BEFA-2E2C2C63C6E3}"/>
            </c:ext>
          </c:extLst>
        </c:ser>
        <c:ser>
          <c:idx val="2"/>
          <c:order val="2"/>
          <c:tx>
            <c:strRef>
              <c:f>'Evolução Dividendos'!$D$1</c:f>
              <c:strCache>
                <c:ptCount val="1"/>
                <c:pt idx="0">
                  <c:v>FII's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'Evolução Dividendos'!$A$2:$A$13</c:f>
              <c:numCache>
                <c:formatCode>mmm\-yy</c:formatCode>
                <c:ptCount val="12"/>
                <c:pt idx="0">
                  <c:v>44927</c:v>
                </c:pt>
                <c:pt idx="1">
                  <c:v>44958</c:v>
                </c:pt>
                <c:pt idx="2">
                  <c:v>44986</c:v>
                </c:pt>
                <c:pt idx="3">
                  <c:v>45017</c:v>
                </c:pt>
                <c:pt idx="4">
                  <c:v>45047</c:v>
                </c:pt>
                <c:pt idx="5">
                  <c:v>45078</c:v>
                </c:pt>
                <c:pt idx="6">
                  <c:v>45108</c:v>
                </c:pt>
                <c:pt idx="7">
                  <c:v>45139</c:v>
                </c:pt>
                <c:pt idx="8">
                  <c:v>45170</c:v>
                </c:pt>
                <c:pt idx="9">
                  <c:v>45200</c:v>
                </c:pt>
                <c:pt idx="10">
                  <c:v>45231</c:v>
                </c:pt>
                <c:pt idx="11">
                  <c:v>45261</c:v>
                </c:pt>
              </c:numCache>
            </c:numRef>
          </c:cat>
          <c:val>
            <c:numRef>
              <c:f>'Evolução Dividendos'!$D$2:$D$13</c:f>
              <c:numCache>
                <c:formatCode>"R$"\ #,##0.00</c:formatCode>
                <c:ptCount val="12"/>
                <c:pt idx="0">
                  <c:v>0</c:v>
                </c:pt>
                <c:pt idx="1">
                  <c:v>168.75</c:v>
                </c:pt>
                <c:pt idx="2">
                  <c:v>392.82</c:v>
                </c:pt>
                <c:pt idx="3">
                  <c:v>483.12</c:v>
                </c:pt>
                <c:pt idx="4">
                  <c:v>577.62</c:v>
                </c:pt>
                <c:pt idx="5">
                  <c:v>848.25</c:v>
                </c:pt>
                <c:pt idx="6">
                  <c:v>1048.45</c:v>
                </c:pt>
                <c:pt idx="7">
                  <c:v>1068.82</c:v>
                </c:pt>
                <c:pt idx="8">
                  <c:v>1168.22</c:v>
                </c:pt>
                <c:pt idx="9">
                  <c:v>1226.0999999999999</c:v>
                </c:pt>
                <c:pt idx="10">
                  <c:v>1258.0899999999999</c:v>
                </c:pt>
                <c:pt idx="11">
                  <c:v>1272.83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027-4AF4-BEFA-2E2C2C63C6E3}"/>
            </c:ext>
          </c:extLst>
        </c:ser>
        <c:ser>
          <c:idx val="3"/>
          <c:order val="3"/>
          <c:tx>
            <c:strRef>
              <c:f>'Evolução Dividendos'!$E$1</c:f>
              <c:strCache>
                <c:ptCount val="1"/>
                <c:pt idx="0">
                  <c:v>RF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'Evolução Dividendos'!$A$2:$A$13</c:f>
              <c:numCache>
                <c:formatCode>mmm\-yy</c:formatCode>
                <c:ptCount val="12"/>
                <c:pt idx="0">
                  <c:v>44927</c:v>
                </c:pt>
                <c:pt idx="1">
                  <c:v>44958</c:v>
                </c:pt>
                <c:pt idx="2">
                  <c:v>44986</c:v>
                </c:pt>
                <c:pt idx="3">
                  <c:v>45017</c:v>
                </c:pt>
                <c:pt idx="4">
                  <c:v>45047</c:v>
                </c:pt>
                <c:pt idx="5">
                  <c:v>45078</c:v>
                </c:pt>
                <c:pt idx="6">
                  <c:v>45108</c:v>
                </c:pt>
                <c:pt idx="7">
                  <c:v>45139</c:v>
                </c:pt>
                <c:pt idx="8">
                  <c:v>45170</c:v>
                </c:pt>
                <c:pt idx="9">
                  <c:v>45200</c:v>
                </c:pt>
                <c:pt idx="10">
                  <c:v>45231</c:v>
                </c:pt>
                <c:pt idx="11">
                  <c:v>45261</c:v>
                </c:pt>
              </c:numCache>
            </c:numRef>
          </c:cat>
          <c:val>
            <c:numRef>
              <c:f>'Evolução Dividendos'!$E$2:$E$13</c:f>
              <c:numCache>
                <c:formatCode>"R$"\ #,##0.00</c:formatCode>
                <c:ptCount val="12"/>
                <c:pt idx="0">
                  <c:v>0</c:v>
                </c:pt>
                <c:pt idx="1">
                  <c:v>671.9</c:v>
                </c:pt>
                <c:pt idx="2">
                  <c:v>0</c:v>
                </c:pt>
                <c:pt idx="3">
                  <c:v>632.05999999999995</c:v>
                </c:pt>
                <c:pt idx="4">
                  <c:v>0</c:v>
                </c:pt>
                <c:pt idx="5">
                  <c:v>1383.97</c:v>
                </c:pt>
                <c:pt idx="6">
                  <c:v>1214.5999999999999</c:v>
                </c:pt>
                <c:pt idx="7">
                  <c:v>661.07</c:v>
                </c:pt>
                <c:pt idx="8">
                  <c:v>0</c:v>
                </c:pt>
                <c:pt idx="9">
                  <c:v>640.57000000000005</c:v>
                </c:pt>
                <c:pt idx="10">
                  <c:v>0</c:v>
                </c:pt>
                <c:pt idx="11">
                  <c:v>1449.26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027-4AF4-BEFA-2E2C2C63C6E3}"/>
            </c:ext>
          </c:extLst>
        </c:ser>
        <c:ser>
          <c:idx val="5"/>
          <c:order val="4"/>
          <c:tx>
            <c:strRef>
              <c:f>'Evolução Dividendos'!$F$1</c:f>
              <c:strCache>
                <c:ptCount val="1"/>
                <c:pt idx="0">
                  <c:v>Exterior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'Evolução Dividendos'!$F$2:$F$14</c:f>
              <c:numCache>
                <c:formatCode>"R$"\ #,##0.00</c:formatCode>
                <c:ptCount val="13"/>
                <c:pt idx="2">
                  <c:v>78.13</c:v>
                </c:pt>
                <c:pt idx="3">
                  <c:v>63.22</c:v>
                </c:pt>
                <c:pt idx="4">
                  <c:v>63.22</c:v>
                </c:pt>
                <c:pt idx="5">
                  <c:v>63.22</c:v>
                </c:pt>
                <c:pt idx="6">
                  <c:v>154.62</c:v>
                </c:pt>
                <c:pt idx="7">
                  <c:v>63.22</c:v>
                </c:pt>
                <c:pt idx="8">
                  <c:v>63.22</c:v>
                </c:pt>
                <c:pt idx="9">
                  <c:v>141.74</c:v>
                </c:pt>
                <c:pt idx="10">
                  <c:v>64.11</c:v>
                </c:pt>
                <c:pt idx="11">
                  <c:v>169.82</c:v>
                </c:pt>
                <c:pt idx="12">
                  <c:v>924.52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FD2-4919-BC6B-35D2C1A12432}"/>
            </c:ext>
          </c:extLst>
        </c:ser>
        <c:ser>
          <c:idx val="4"/>
          <c:order val="5"/>
          <c:tx>
            <c:strRef>
              <c:f>'Evolução Dividendos'!$H$1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'Evolução Dividendos'!$H$2:$H$14</c:f>
              <c:numCache>
                <c:formatCode>"R$"\ #,##0.00</c:formatCode>
                <c:ptCount val="13"/>
                <c:pt idx="0">
                  <c:v>3653.73</c:v>
                </c:pt>
                <c:pt idx="1">
                  <c:v>1354.9099999999999</c:v>
                </c:pt>
                <c:pt idx="2">
                  <c:v>3082.1800000000003</c:v>
                </c:pt>
                <c:pt idx="3">
                  <c:v>2393.17</c:v>
                </c:pt>
                <c:pt idx="4">
                  <c:v>5099.1500000000005</c:v>
                </c:pt>
                <c:pt idx="5">
                  <c:v>8806.7099999999991</c:v>
                </c:pt>
                <c:pt idx="6">
                  <c:v>3146.45</c:v>
                </c:pt>
                <c:pt idx="7">
                  <c:v>6002.46</c:v>
                </c:pt>
                <c:pt idx="8">
                  <c:v>5120.42</c:v>
                </c:pt>
                <c:pt idx="9">
                  <c:v>3513.5599999999995</c:v>
                </c:pt>
                <c:pt idx="10">
                  <c:v>3989.92</c:v>
                </c:pt>
                <c:pt idx="11">
                  <c:v>8710.19</c:v>
                </c:pt>
                <c:pt idx="12">
                  <c:v>54872.85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FD2-4919-BC6B-35D2C1A124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8922847"/>
        <c:axId val="1974158991"/>
      </c:barChart>
      <c:dateAx>
        <c:axId val="1178922847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74158991"/>
        <c:crosses val="autoZero"/>
        <c:auto val="1"/>
        <c:lblOffset val="100"/>
        <c:baseTimeUnit val="months"/>
      </c:dateAx>
      <c:valAx>
        <c:axId val="197415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78922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7482539209206074E-4"/>
          <c:y val="0.84290825715751039"/>
          <c:w val="0.95045757051158519"/>
          <c:h val="0.157091742842489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Alocação</a:t>
            </a:r>
            <a:r>
              <a:rPr lang="en-US" baseline="0"/>
              <a:t> de ativos ATUAL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'Alocação por ativos'!$B$1</c:f>
              <c:strCache>
                <c:ptCount val="1"/>
                <c:pt idx="0">
                  <c:v>Valor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1845-4E46-BA6A-EA9B87BED69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1845-4E46-BA6A-EA9B87BED69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1845-4E46-BA6A-EA9B87BED69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1E20-45B8-A9C0-ABDBCA234F9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0-66EB-4F45-B185-249BFBB9BDC9}"/>
              </c:ext>
            </c:extLst>
          </c:dPt>
          <c:dLbls>
            <c:dLbl>
              <c:idx val="0"/>
              <c:layout>
                <c:manualLayout>
                  <c:x val="-0.15555379403982594"/>
                  <c:y val="4.9841444240829778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AD4E9CA3-E294-4EBA-AD95-3432E71FE7F8}" type="CELLRANGE">
                      <a:rPr lang="en-US" baseline="0">
                        <a:solidFill>
                          <a:schemeClr val="tx1"/>
                        </a:solidFill>
                      </a:rPr>
                      <a:pPr>
                        <a:defRPr/>
                      </a:pPr>
                      <a:t>[INTERVALODACÉLULA]</a:t>
                    </a:fld>
                    <a:r>
                      <a:rPr lang="en-US" baseline="0">
                        <a:solidFill>
                          <a:schemeClr val="tx1"/>
                        </a:solidFill>
                      </a:rPr>
                      <a:t>; </a:t>
                    </a:r>
                    <a:fld id="{4A51F49F-70D7-4406-8678-9C2DD71DA698}" type="CATEGORYNAME">
                      <a:rPr lang="en-US" baseline="0">
                        <a:solidFill>
                          <a:schemeClr val="tx1"/>
                        </a:solidFill>
                      </a:rPr>
                      <a:pPr>
                        <a:defRPr/>
                      </a:pPr>
                      <a:t>[NOME DA CATEGORIA]</a:t>
                    </a:fld>
                    <a:endParaRPr lang="en-US" baseline="0">
                      <a:solidFill>
                        <a:schemeClr val="tx1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3469833684200758"/>
                      <c:h val="7.400483887607133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1845-4E46-BA6A-EA9B87BED698}"/>
                </c:ext>
              </c:extLst>
            </c:dLbl>
            <c:dLbl>
              <c:idx val="1"/>
              <c:layout>
                <c:manualLayout>
                  <c:x val="1.619639166479471E-2"/>
                  <c:y val="-6.4005199768591509E-2"/>
                </c:manualLayout>
              </c:layout>
              <c:tx>
                <c:rich>
                  <a:bodyPr/>
                  <a:lstStyle/>
                  <a:p>
                    <a:fld id="{593E1551-2AE8-404B-843B-98BAF8982EC8}" type="CELLRANGE">
                      <a:rPr lang="en-US" baseline="0">
                        <a:solidFill>
                          <a:schemeClr val="tx1"/>
                        </a:solidFill>
                      </a:rPr>
                      <a:pPr/>
                      <a:t>[INTERVALODACÉLULA]</a:t>
                    </a:fld>
                    <a:r>
                      <a:rPr lang="en-US" baseline="0">
                        <a:solidFill>
                          <a:schemeClr val="tx1"/>
                        </a:solidFill>
                      </a:rPr>
                      <a:t>; </a:t>
                    </a:r>
                    <a:fld id="{2445E342-F7F6-44D2-8BDB-D26321623BEA}" type="CATEGORYNAME">
                      <a:rPr lang="en-US" baseline="0">
                        <a:solidFill>
                          <a:schemeClr val="tx1"/>
                        </a:solidFill>
                      </a:rPr>
                      <a:pPr/>
                      <a:t>[NOME DA CATEGORIA]</a:t>
                    </a:fld>
                    <a:endParaRPr lang="en-US" baseline="0">
                      <a:solidFill>
                        <a:schemeClr val="tx1"/>
                      </a:solidFill>
                    </a:endParaRPr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1845-4E46-BA6A-EA9B87BED698}"/>
                </c:ext>
              </c:extLst>
            </c:dLbl>
            <c:dLbl>
              <c:idx val="2"/>
              <c:layout>
                <c:manualLayout>
                  <c:x val="0.1707331174454996"/>
                  <c:y val="-4.3709187703845125E-2"/>
                </c:manualLayout>
              </c:layout>
              <c:tx>
                <c:rich>
                  <a:bodyPr/>
                  <a:lstStyle/>
                  <a:p>
                    <a:fld id="{B77808B4-2DD2-4294-BEB0-6D774F22B707}" type="CELLRANGE">
                      <a:rPr lang="en-US" baseline="0">
                        <a:solidFill>
                          <a:schemeClr val="tx1"/>
                        </a:solidFill>
                      </a:rPr>
                      <a:pPr/>
                      <a:t>[INTERVALODACÉLULA]</a:t>
                    </a:fld>
                    <a:r>
                      <a:rPr lang="en-US" baseline="0">
                        <a:solidFill>
                          <a:schemeClr val="tx1"/>
                        </a:solidFill>
                      </a:rPr>
                      <a:t>; </a:t>
                    </a:r>
                    <a:fld id="{2D8DD8D3-8E2C-4D16-9336-826C69F2540D}" type="CATEGORYNAME">
                      <a:rPr lang="en-US" baseline="0">
                        <a:solidFill>
                          <a:schemeClr val="tx1"/>
                        </a:solidFill>
                      </a:rPr>
                      <a:pPr/>
                      <a:t>[NOME DA CATEGORIA]</a:t>
                    </a:fld>
                    <a:endParaRPr lang="en-US" baseline="0">
                      <a:solidFill>
                        <a:schemeClr val="tx1"/>
                      </a:solidFill>
                    </a:endParaRPr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1845-4E46-BA6A-EA9B87BED698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A96B77F7-4EC2-4452-9902-32BAB07A5A16}" type="CELLRANGE">
                      <a:rPr lang="en-US"/>
                      <a:pPr/>
                      <a:t>[INTERVALODACÉLULA]</a:t>
                    </a:fld>
                    <a:r>
                      <a:rPr lang="en-US" baseline="0"/>
                      <a:t>; </a:t>
                    </a:r>
                    <a:fld id="{066AE39E-3DB1-40BE-BA27-0992D52A41CC}" type="CATEGORYNAME">
                      <a:rPr lang="en-US" baseline="0"/>
                      <a:pPr/>
                      <a:t>[NOME DA CATEGORIA]</a:t>
                    </a:fld>
                    <a:endParaRPr lang="en-US" baseline="0"/>
                  </a:p>
                </c:rich>
              </c:tx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1E20-45B8-A9C0-ABDBCA234F97}"/>
                </c:ext>
              </c:extLst>
            </c:dLbl>
            <c:dLbl>
              <c:idx val="4"/>
              <c:layout>
                <c:manualLayout>
                  <c:x val="1.2769553321578114E-2"/>
                  <c:y val="7.1481872077089559E-2"/>
                </c:manualLayout>
              </c:layout>
              <c:tx>
                <c:rich>
                  <a:bodyPr/>
                  <a:lstStyle/>
                  <a:p>
                    <a:fld id="{38CE0953-04F3-4840-BB8E-9AD27B2D2589}" type="CELLRANGE">
                      <a:rPr lang="en-US" baseline="0">
                        <a:solidFill>
                          <a:schemeClr val="tx1"/>
                        </a:solidFill>
                      </a:rPr>
                      <a:pPr/>
                      <a:t>[INTERVALODACÉLULA]</a:t>
                    </a:fld>
                    <a:r>
                      <a:rPr lang="en-US" baseline="0">
                        <a:solidFill>
                          <a:schemeClr val="tx1"/>
                        </a:solidFill>
                      </a:rPr>
                      <a:t>; </a:t>
                    </a:r>
                    <a:fld id="{526BD9F2-F149-4416-B6BC-5416AD4A108B}" type="CATEGORYNAME">
                      <a:rPr lang="en-US" baseline="0">
                        <a:solidFill>
                          <a:schemeClr val="tx1"/>
                        </a:solidFill>
                      </a:rPr>
                      <a:pPr/>
                      <a:t>[NOME DA CATEGORIA]</a:t>
                    </a:fld>
                    <a:endParaRPr lang="en-US" baseline="0">
                      <a:solidFill>
                        <a:schemeClr val="tx1"/>
                      </a:solidFill>
                    </a:endParaRPr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66EB-4F45-B185-249BFBB9BDC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howDataLabelsRange val="1"/>
              </c:ext>
            </c:extLst>
          </c:dLbls>
          <c:cat>
            <c:strRef>
              <c:f>'Alocação por ativos'!$A$2:$A$6</c:f>
              <c:strCache>
                <c:ptCount val="5"/>
                <c:pt idx="0">
                  <c:v>Ações Brasil</c:v>
                </c:pt>
                <c:pt idx="1">
                  <c:v>FIIs</c:v>
                </c:pt>
                <c:pt idx="2">
                  <c:v>Renda fixa </c:v>
                </c:pt>
                <c:pt idx="3">
                  <c:v>Ações USA </c:v>
                </c:pt>
                <c:pt idx="4">
                  <c:v>Criptos</c:v>
                </c:pt>
              </c:strCache>
            </c:strRef>
          </c:cat>
          <c:val>
            <c:numRef>
              <c:f>'Alocação por ativos'!$B$2:$B$6</c:f>
              <c:numCache>
                <c:formatCode>"R$"\ #,##0.00</c:formatCode>
                <c:ptCount val="5"/>
                <c:pt idx="0">
                  <c:v>433055.62</c:v>
                </c:pt>
                <c:pt idx="1">
                  <c:v>422975.76</c:v>
                </c:pt>
                <c:pt idx="2">
                  <c:v>244539.45</c:v>
                </c:pt>
                <c:pt idx="3">
                  <c:v>291145.67</c:v>
                </c:pt>
                <c:pt idx="4">
                  <c:v>132750.65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'Alocação por ativos'!$C$2:$C$6</c15:f>
                <c15:dlblRangeCache>
                  <c:ptCount val="5"/>
                  <c:pt idx="0">
                    <c:v>28,41%</c:v>
                  </c:pt>
                  <c:pt idx="1">
                    <c:v>27,75%</c:v>
                  </c:pt>
                  <c:pt idx="2">
                    <c:v>16,04%</c:v>
                  </c:pt>
                  <c:pt idx="3">
                    <c:v>19,10%</c:v>
                  </c:pt>
                  <c:pt idx="4">
                    <c:v>8,71%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1C8A-4D43-9CC1-BD9832033894}"/>
            </c:ext>
          </c:extLst>
        </c:ser>
        <c:ser>
          <c:idx val="1"/>
          <c:order val="1"/>
          <c:tx>
            <c:strRef>
              <c:f>'Alocação por ativos'!$C$1</c:f>
              <c:strCache>
                <c:ptCount val="1"/>
                <c:pt idx="0">
                  <c:v>%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1845-4E46-BA6A-EA9B87BED69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1845-4E46-BA6A-EA9B87BED69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1845-4E46-BA6A-EA9B87BED69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1E20-45B8-A9C0-ABDBCA234F9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5-9B05-4FD6-95F3-088DBADA58F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'Alocação por ativos'!$A$2:$A$6</c:f>
              <c:strCache>
                <c:ptCount val="5"/>
                <c:pt idx="0">
                  <c:v>Ações Brasil</c:v>
                </c:pt>
                <c:pt idx="1">
                  <c:v>FIIs</c:v>
                </c:pt>
                <c:pt idx="2">
                  <c:v>Renda fixa </c:v>
                </c:pt>
                <c:pt idx="3">
                  <c:v>Ações USA </c:v>
                </c:pt>
                <c:pt idx="4">
                  <c:v>Criptos</c:v>
                </c:pt>
              </c:strCache>
            </c:strRef>
          </c:cat>
          <c:val>
            <c:numRef>
              <c:f>'Alocação por ativos'!$C$2:$C$6</c:f>
              <c:numCache>
                <c:formatCode>0.00%</c:formatCode>
                <c:ptCount val="5"/>
                <c:pt idx="0">
                  <c:v>0.28407015526703872</c:v>
                </c:pt>
                <c:pt idx="1">
                  <c:v>0.27745810068783711</c:v>
                </c:pt>
                <c:pt idx="2">
                  <c:v>0.1604097864621091</c:v>
                </c:pt>
                <c:pt idx="3">
                  <c:v>0.19098192440552098</c:v>
                </c:pt>
                <c:pt idx="4">
                  <c:v>8.7080033177494187E-2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8A-4D43-9CC1-BD9832033894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ALOCAÇÃO</a:t>
            </a:r>
            <a:r>
              <a:rPr lang="en-US" baseline="0"/>
              <a:t> DE ATIVOS IDEAL</a:t>
            </a:r>
            <a:endParaRPr lang="en-US"/>
          </a:p>
        </c:rich>
      </c:tx>
      <c:layout>
        <c:manualLayout>
          <c:xMode val="edge"/>
          <c:yMode val="edge"/>
          <c:x val="0.30498133729595228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'Alocação por ativos'!$I$1</c:f>
              <c:strCache>
                <c:ptCount val="1"/>
                <c:pt idx="0">
                  <c:v>% Projeto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2DB2-44C9-A3C0-BDD9C8D24B7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DB2-44C9-A3C0-BDD9C8D24B7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2DB2-44C9-A3C0-BDD9C8D24B7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DB2-44C9-A3C0-BDD9C8D24B7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2DB2-44C9-A3C0-BDD9C8D24B75}"/>
              </c:ext>
            </c:extLst>
          </c:dPt>
          <c:dLbls>
            <c:dLbl>
              <c:idx val="0"/>
              <c:layout>
                <c:manualLayout>
                  <c:x val="-7.9275577652701018E-2"/>
                  <c:y val="0.18821595217264508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DB2-44C9-A3C0-BDD9C8D24B75}"/>
                </c:ext>
              </c:extLst>
            </c:dLbl>
            <c:dLbl>
              <c:idx val="1"/>
              <c:layout>
                <c:manualLayout>
                  <c:x val="-7.7567286455139009E-2"/>
                  <c:y val="-8.189632545931759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DB2-44C9-A3C0-BDD9C8D24B75}"/>
                </c:ext>
              </c:extLst>
            </c:dLbl>
            <c:dLbl>
              <c:idx val="2"/>
              <c:layout>
                <c:manualLayout>
                  <c:x val="8.8349828110991541E-2"/>
                  <c:y val="-0.1465343394575678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DB2-44C9-A3C0-BDD9C8D24B75}"/>
                </c:ext>
              </c:extLst>
            </c:dLbl>
            <c:dLbl>
              <c:idx val="3"/>
              <c:layout>
                <c:manualLayout>
                  <c:x val="0.10335749582679954"/>
                  <c:y val="0.12294546515018948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DB2-44C9-A3C0-BDD9C8D24B75}"/>
                </c:ext>
              </c:extLst>
            </c:dLbl>
            <c:dLbl>
              <c:idx val="4"/>
              <c:layout>
                <c:manualLayout>
                  <c:x val="2.7747708012954429E-2"/>
                  <c:y val="8.580198308544764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DB2-44C9-A3C0-BDD9C8D24B75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'Alocação por ativos'!$H$2:$H$6</c:f>
              <c:strCache>
                <c:ptCount val="5"/>
                <c:pt idx="0">
                  <c:v>Ações Brasil</c:v>
                </c:pt>
                <c:pt idx="1">
                  <c:v>FIIs</c:v>
                </c:pt>
                <c:pt idx="2">
                  <c:v>Renda fixa </c:v>
                </c:pt>
                <c:pt idx="3">
                  <c:v>Ações USA </c:v>
                </c:pt>
                <c:pt idx="4">
                  <c:v>Criptos</c:v>
                </c:pt>
              </c:strCache>
            </c:strRef>
          </c:cat>
          <c:val>
            <c:numRef>
              <c:f>'Alocação por ativos'!$I$2:$I$6</c:f>
              <c:numCache>
                <c:formatCode>0.00%</c:formatCode>
                <c:ptCount val="5"/>
                <c:pt idx="0">
                  <c:v>0.25</c:v>
                </c:pt>
                <c:pt idx="1">
                  <c:v>0.25</c:v>
                </c:pt>
                <c:pt idx="2">
                  <c:v>0.2</c:v>
                </c:pt>
                <c:pt idx="3">
                  <c:v>0.25</c:v>
                </c:pt>
                <c:pt idx="4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B2-44C9-A3C0-BDD9C8D24B75}"/>
            </c:ext>
          </c:extLst>
        </c:ser>
        <c:ser>
          <c:idx val="1"/>
          <c:order val="1"/>
          <c:tx>
            <c:strRef>
              <c:f>'Alocação por ativos'!$J$1</c:f>
              <c:strCache>
                <c:ptCount val="1"/>
                <c:pt idx="0">
                  <c:v>Valor Ideal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44C7-4138-9428-367932EFFF1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44C7-4138-9428-367932EFFF1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44C7-4138-9428-367932EFFF1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44C7-4138-9428-367932EFFF1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44C7-4138-9428-367932EFFF1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'Alocação por ativos'!$H$2:$H$6</c:f>
              <c:strCache>
                <c:ptCount val="5"/>
                <c:pt idx="0">
                  <c:v>Ações Brasil</c:v>
                </c:pt>
                <c:pt idx="1">
                  <c:v>FIIs</c:v>
                </c:pt>
                <c:pt idx="2">
                  <c:v>Renda fixa </c:v>
                </c:pt>
                <c:pt idx="3">
                  <c:v>Ações USA </c:v>
                </c:pt>
                <c:pt idx="4">
                  <c:v>Criptos</c:v>
                </c:pt>
              </c:strCache>
            </c:strRef>
          </c:cat>
          <c:val>
            <c:numRef>
              <c:f>'Alocação por ativos'!$J$2:$J$6</c:f>
              <c:numCache>
                <c:formatCode>"R$"\ #,##0.00</c:formatCode>
                <c:ptCount val="5"/>
                <c:pt idx="0">
                  <c:v>381116.78749999998</c:v>
                </c:pt>
                <c:pt idx="1">
                  <c:v>381116.78749999998</c:v>
                </c:pt>
                <c:pt idx="2">
                  <c:v>304893.43</c:v>
                </c:pt>
                <c:pt idx="3">
                  <c:v>381116.78749999998</c:v>
                </c:pt>
                <c:pt idx="4">
                  <c:v>76223.357499999998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B2-44C9-A3C0-BDD9C8D24B7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404104329424936"/>
          <c:y val="9.3170749489647139E-2"/>
          <c:w val="0.6416423679017963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33866</xdr:colOff>
      <xdr:row>0</xdr:row>
      <xdr:rowOff>5292</xdr:rowOff>
    </xdr:from>
    <xdr:to>
      <xdr:col>18</xdr:col>
      <xdr:colOff>157690</xdr:colOff>
      <xdr:row>13</xdr:row>
      <xdr:rowOff>14817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0CF025E-A31D-BF32-0FE1-97046BAAB1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11906</xdr:rowOff>
    </xdr:from>
    <xdr:to>
      <xdr:col>5</xdr:col>
      <xdr:colOff>1250155</xdr:colOff>
      <xdr:row>21</xdr:row>
      <xdr:rowOff>88105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FBCCA625-5750-4A2B-B7AC-45FB142577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601264</xdr:colOff>
      <xdr:row>7</xdr:row>
      <xdr:rowOff>9525</xdr:rowOff>
    </xdr:from>
    <xdr:to>
      <xdr:col>14</xdr:col>
      <xdr:colOff>107155</xdr:colOff>
      <xdr:row>21</xdr:row>
      <xdr:rowOff>85725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29B5C066-CB8C-30A6-0A9E-FE523DB57A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Victória Marinho" id="{C8756570-4679-4E8F-AEAE-0EE1FEC94961}" userId="d4b232927442e449" providerId="Windows Live"/>
</personList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2" backgroundRefresh="0" connectionId="9" xr16:uid="{39ED4D0F-A3A1-430A-96E1-0D837AAB58E8}" autoFormatId="16" applyNumberFormats="0" applyBorderFormats="0" applyFontFormats="0" applyPatternFormats="0" applyAlignmentFormats="0" applyWidthHeightFormats="0">
  <queryTableRefresh nextId="12" unboundColumnsRight="7">
    <queryTableFields count="11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  <queryTableField id="9" dataBound="0" tableColumnId="9"/>
      <queryTableField id="10" dataBound="0" tableColumnId="10"/>
      <queryTableField id="11" dataBound="0" tableColumnId="11"/>
    </queryTableFields>
  </queryTableRefresh>
  <extLst>
    <ext xmlns:x15="http://schemas.microsoft.com/office/spreadsheetml/2010/11/main" uri="{883FBD77-0823-4a55-B5E3-86C4891E6966}">
      <x15:queryTable sourceDataName="Consulta - Table 0 (5)"/>
    </ext>
  </extLst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5D04B8E-066C-49A5-A745-6460AAFB002B}" name="Table_0__5" displayName="Table_0__5" ref="A2:K33" tableType="queryTable" totalsRowShown="0">
  <autoFilter ref="A2:K33" xr:uid="{55D04B8E-066C-49A5-A745-6460AAFB002B}"/>
  <sortState xmlns:xlrd2="http://schemas.microsoft.com/office/spreadsheetml/2017/richdata2" ref="A3:K33">
    <sortCondition ref="B2:B33"/>
  </sortState>
  <tableColumns count="11">
    <tableColumn id="1" xr3:uid="{B8F7EA53-5205-4A0C-830D-5F65D632A35D}" uniqueName="1" name="Column1" queryTableFieldId="1" dataDxfId="10"/>
    <tableColumn id="2" xr3:uid="{58808B75-A4A7-490F-BAEF-C8D393B6CD5D}" uniqueName="2" name="Column2" queryTableFieldId="2" dataDxfId="9"/>
    <tableColumn id="3" xr3:uid="{D6F5CD87-EB8E-485D-AF44-CB5A4BC35569}" uniqueName="3" name="Column3" queryTableFieldId="3" dataDxfId="8"/>
    <tableColumn id="4" xr3:uid="{6A9E7677-2DEE-46DD-88A2-75AE1D200877}" uniqueName="4" name="Column4" queryTableFieldId="4" dataDxfId="7"/>
    <tableColumn id="5" xr3:uid="{7A1F2002-375C-4706-AB6E-96026C746014}" uniqueName="5" name="Quantidade" queryTableFieldId="5" dataDxfId="6"/>
    <tableColumn id="6" xr3:uid="{AD14F415-1083-4694-B3D6-7C9001A8D05F}" uniqueName="6" name="Valor Atual" queryTableFieldId="6" dataDxfId="5">
      <calculatedColumnFormula>Table_0__5[[#This Row],[Quantidade]]*Table_0__5[[#This Row],[Column4]]</calculatedColumnFormula>
    </tableColumn>
    <tableColumn id="7" xr3:uid="{7031F0DD-223D-401D-BE9A-26977EFF1958}" uniqueName="7" name="Preço Médio" queryTableFieldId="7" dataDxfId="4"/>
    <tableColumn id="8" xr3:uid="{B982688E-6870-4B94-BF3F-5394FFA909C7}" uniqueName="8" name="Valor de compra" queryTableFieldId="8" dataDxfId="3">
      <calculatedColumnFormula>Table_0__5[[#This Row],[Preço Médio]]*Table_0__5[[#This Row],[Quantidade]]</calculatedColumnFormula>
    </tableColumn>
    <tableColumn id="9" xr3:uid="{8AC5CC2D-10C7-4CD4-895C-DDA4AA83FAF6}" uniqueName="9" name="Div 2024" queryTableFieldId="9" dataDxfId="2"/>
    <tableColumn id="10" xr3:uid="{67DA9FE5-2BA1-426A-AB34-FD257DCEB50E}" uniqueName="10" name="DY 2024" queryTableFieldId="10" dataDxfId="1">
      <calculatedColumnFormula>Table_0__5[[#This Row],[Div 2024]]/Table_0__5[[#This Row],[Valor Atual]]</calculatedColumnFormula>
    </tableColumn>
    <tableColumn id="11" xr3:uid="{32CD7868-51B9-4C55-A4C6-DCD849815F5B}" uniqueName="11" name="DY ON COST 2024" queryTableFieldId="11" dataDxfId="0">
      <calculatedColumnFormula>Table_0__5[[#This Row],[Div 2024]]/Table_0__5[[#This Row],[Valor de compra]]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85" dT="2023-07-25T18:28:02.22" personId="{C8756570-4679-4E8F-AEAE-0EE1FEC94961}" id="{17795A1D-64BD-48E9-B168-39BCF766B0C4}">
    <text>100 açoes de bonificação</text>
  </threadedComment>
  <threadedComment ref="G131" dT="2023-07-25T18:28:02.22" personId="{C8756570-4679-4E8F-AEAE-0EE1FEC94961}" id="{B6C156C7-FD3C-4BB1-8512-F0DE77DE3D3D}">
    <text>100 açoes de bonificação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I107" dT="2023-07-25T18:54:44.41" personId="{C8756570-4679-4E8F-AEAE-0EE1FEC94961}" id="{248A5F33-1E2E-4FC6-8926-79E08D62ED43}">
    <text>Valor somente de ações, sem BTC e RF</text>
  </threadedComment>
  <threadedComment ref="I152" dT="2023-07-25T18:54:44.41" personId="{C8756570-4679-4E8F-AEAE-0EE1FEC94961}" id="{34E75F3B-C284-4D7C-9BC1-E168C5C1DF2C}">
    <text>Valor somente de ações, sem BTC e RF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I107" dT="2023-07-25T18:54:44.41" personId="{C8756570-4679-4E8F-AEAE-0EE1FEC94961}" id="{2D85F38E-912A-4744-935B-19ED90241840}">
    <text>Valor somente de ações, sem BTC e RF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C7" dT="2023-08-30T12:08:48.72" personId="{C8756570-4679-4E8F-AEAE-0EE1FEC94961}" id="{C4B4DF70-474B-4AA3-BFE6-1128FAF27677}">
    <text>Tem 1600 Fleury aumento capital</text>
  </threadedComment>
  <threadedComment ref="C23" dT="2023-08-30T12:08:48.72" personId="{C8756570-4679-4E8F-AEAE-0EE1FEC94961}" id="{85EF3F72-8FF4-4088-9CB5-FD32421E1463}">
    <text>Tem 1600 Fleury aumento capital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Relationship Id="rId4" Type="http://schemas.microsoft.com/office/2017/10/relationships/threadedComment" Target="../threadedComments/threadedComment1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9.bin"/><Relationship Id="rId4" Type="http://schemas.microsoft.com/office/2017/10/relationships/threadedComment" Target="../threadedComments/threadedComment2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0.bin"/><Relationship Id="rId4" Type="http://schemas.microsoft.com/office/2017/10/relationships/threadedComment" Target="../threadedComments/threadedComment3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4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02"/>
  <sheetViews>
    <sheetView view="pageBreakPreview" zoomScale="70" zoomScaleNormal="100" zoomScaleSheetLayoutView="70" workbookViewId="0">
      <selection activeCell="M8" sqref="M8"/>
    </sheetView>
  </sheetViews>
  <sheetFormatPr defaultRowHeight="15" x14ac:dyDescent="0.25"/>
  <cols>
    <col min="1" max="1" width="8" bestFit="1" customWidth="1"/>
    <col min="2" max="2" width="18.140625" bestFit="1" customWidth="1"/>
    <col min="3" max="3" width="12.5703125" bestFit="1" customWidth="1"/>
    <col min="4" max="4" width="8.42578125" bestFit="1" customWidth="1"/>
    <col min="5" max="5" width="14" bestFit="1" customWidth="1"/>
    <col min="6" max="6" width="11.28515625" customWidth="1"/>
    <col min="7" max="7" width="18.140625" bestFit="1" customWidth="1"/>
    <col min="8" max="9" width="18.140625" customWidth="1"/>
    <col min="10" max="10" width="18" bestFit="1" customWidth="1"/>
    <col min="11" max="11" width="10.7109375" customWidth="1"/>
    <col min="12" max="13" width="16" bestFit="1" customWidth="1"/>
    <col min="14" max="14" width="12.5703125" customWidth="1"/>
    <col min="15" max="15" width="18.5703125" bestFit="1" customWidth="1"/>
    <col min="16" max="16" width="16.42578125" bestFit="1" customWidth="1"/>
    <col min="17" max="17" width="9.28515625" style="11" bestFit="1" customWidth="1"/>
    <col min="18" max="18" width="11.85546875" style="11" customWidth="1"/>
    <col min="19" max="19" width="10.5703125" style="11" customWidth="1"/>
    <col min="20" max="20" width="15.5703125" style="11" bestFit="1" customWidth="1"/>
    <col min="21" max="21" width="23.140625" style="8" customWidth="1"/>
    <col min="22" max="22" width="18" style="8" bestFit="1" customWidth="1"/>
    <col min="23" max="23" width="13" bestFit="1" customWidth="1"/>
  </cols>
  <sheetData>
    <row r="1" spans="1:23" ht="45" x14ac:dyDescent="0.25">
      <c r="A1" s="1" t="s">
        <v>0</v>
      </c>
      <c r="B1" s="1" t="s">
        <v>20</v>
      </c>
      <c r="C1" s="1" t="s">
        <v>1</v>
      </c>
      <c r="D1" s="1" t="s">
        <v>2</v>
      </c>
      <c r="E1" s="1" t="s">
        <v>3</v>
      </c>
      <c r="F1" s="1" t="s">
        <v>91</v>
      </c>
      <c r="G1" s="1" t="s">
        <v>4</v>
      </c>
      <c r="H1" s="1" t="s">
        <v>154</v>
      </c>
      <c r="I1" s="1" t="s">
        <v>155</v>
      </c>
      <c r="J1" s="1" t="s">
        <v>21</v>
      </c>
      <c r="K1" s="6"/>
      <c r="L1" s="1" t="s">
        <v>10</v>
      </c>
      <c r="M1" s="1" t="s">
        <v>12</v>
      </c>
      <c r="N1" s="1" t="s">
        <v>13</v>
      </c>
      <c r="O1" s="1" t="s">
        <v>15</v>
      </c>
      <c r="P1" s="1" t="s">
        <v>11</v>
      </c>
      <c r="Q1" s="9" t="s">
        <v>14</v>
      </c>
      <c r="R1" s="9" t="s">
        <v>19</v>
      </c>
      <c r="S1" s="9" t="s">
        <v>18</v>
      </c>
      <c r="T1" s="9" t="s">
        <v>44</v>
      </c>
      <c r="U1" s="14" t="s">
        <v>98</v>
      </c>
      <c r="V1" s="7" t="s">
        <v>71</v>
      </c>
      <c r="W1" s="13" t="s">
        <v>19</v>
      </c>
    </row>
    <row r="2" spans="1:23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20" t="s">
        <v>160</v>
      </c>
      <c r="L2" s="21">
        <v>1100</v>
      </c>
      <c r="M2" s="145">
        <v>28.67</v>
      </c>
      <c r="N2" s="27">
        <v>47.64</v>
      </c>
      <c r="O2" s="142">
        <f t="shared" ref="O2:O13" si="0">L2*M2</f>
        <v>31537.000000000004</v>
      </c>
      <c r="P2" s="142">
        <f t="shared" ref="P2:P13" si="1">L2*N2</f>
        <v>52404</v>
      </c>
      <c r="Q2" s="10">
        <f>(((P2*100)/O2)-100)</f>
        <v>66.166724799441909</v>
      </c>
      <c r="R2" s="143">
        <f>P2-O2</f>
        <v>20866.999999999996</v>
      </c>
      <c r="S2" s="9"/>
      <c r="T2" s="9"/>
      <c r="U2" s="14"/>
      <c r="V2" s="14"/>
      <c r="W2" s="13"/>
    </row>
    <row r="3" spans="1:23" x14ac:dyDescent="0.25">
      <c r="A3" s="35">
        <v>42948</v>
      </c>
      <c r="B3" s="28">
        <v>79582.13</v>
      </c>
      <c r="C3" s="28">
        <v>79582.13</v>
      </c>
      <c r="D3" s="29">
        <v>0.01</v>
      </c>
      <c r="E3" s="29">
        <f>(C3*D3)</f>
        <v>795.82130000000006</v>
      </c>
      <c r="F3" s="30"/>
      <c r="G3" s="28">
        <f>(C3+E3+F3)</f>
        <v>80377.951300000001</v>
      </c>
      <c r="H3" s="28"/>
      <c r="I3" s="28"/>
      <c r="J3" s="30"/>
      <c r="K3" s="20" t="s">
        <v>173</v>
      </c>
      <c r="L3" s="21">
        <v>1200</v>
      </c>
      <c r="M3" s="145">
        <v>20.51</v>
      </c>
      <c r="N3" s="27">
        <v>29.19</v>
      </c>
      <c r="O3" s="142">
        <f t="shared" si="0"/>
        <v>24612.000000000004</v>
      </c>
      <c r="P3" s="142">
        <f t="shared" si="1"/>
        <v>35028</v>
      </c>
      <c r="Q3" s="10">
        <f t="shared" ref="Q3:Q13" si="2">(((P3*100)/O3)-100)</f>
        <v>42.320819112627959</v>
      </c>
      <c r="R3" s="143">
        <f t="shared" ref="R3:R14" si="3">P3-O3</f>
        <v>10415.999999999996</v>
      </c>
      <c r="S3" s="15"/>
      <c r="T3" s="15"/>
      <c r="U3" s="8">
        <v>459389</v>
      </c>
      <c r="V3" s="8">
        <f>V9</f>
        <v>538005.67999999993</v>
      </c>
      <c r="W3" s="10">
        <f>(V3-U3)</f>
        <v>78616.679999999935</v>
      </c>
    </row>
    <row r="4" spans="1:23" x14ac:dyDescent="0.25">
      <c r="A4" s="35">
        <v>42979</v>
      </c>
      <c r="B4" s="28">
        <f>(G3)</f>
        <v>80377.951300000001</v>
      </c>
      <c r="C4" s="28">
        <v>16562</v>
      </c>
      <c r="D4" s="29">
        <v>0.01</v>
      </c>
      <c r="E4" s="29">
        <f>(B4*D4)</f>
        <v>803.77951300000007</v>
      </c>
      <c r="F4" s="30"/>
      <c r="G4" s="28">
        <f>(G3+C4+E4+F4)</f>
        <v>97743.730813000002</v>
      </c>
      <c r="H4" s="28"/>
      <c r="I4" s="28"/>
      <c r="J4" s="30"/>
      <c r="K4" s="1" t="s">
        <v>6</v>
      </c>
      <c r="L4" s="4">
        <v>3503</v>
      </c>
      <c r="M4" s="145">
        <v>8.4499999999999993</v>
      </c>
      <c r="N4" s="27">
        <v>10.06</v>
      </c>
      <c r="O4" s="142">
        <f t="shared" si="0"/>
        <v>29600.35</v>
      </c>
      <c r="P4" s="142">
        <f t="shared" si="1"/>
        <v>35240.18</v>
      </c>
      <c r="Q4" s="10">
        <f t="shared" si="2"/>
        <v>19.053254437869825</v>
      </c>
      <c r="R4" s="143">
        <f t="shared" si="3"/>
        <v>5639.8300000000017</v>
      </c>
      <c r="S4" s="15"/>
      <c r="T4" s="15">
        <f>(P4/V6)*100</f>
        <v>11.995399290899883</v>
      </c>
      <c r="U4" s="37" t="s">
        <v>120</v>
      </c>
      <c r="V4" s="43">
        <v>16579</v>
      </c>
      <c r="W4" s="8"/>
    </row>
    <row r="5" spans="1:23" x14ac:dyDescent="0.25">
      <c r="A5" s="35">
        <v>43009</v>
      </c>
      <c r="B5" s="28">
        <f t="shared" ref="B5:B68" si="4">(G4)</f>
        <v>97743.730813000002</v>
      </c>
      <c r="C5" s="28">
        <v>1250</v>
      </c>
      <c r="D5" s="29">
        <v>0.01</v>
      </c>
      <c r="E5" s="29">
        <f t="shared" ref="E5:E68" si="5">(B5*D5)</f>
        <v>977.43730813000002</v>
      </c>
      <c r="F5" s="30"/>
      <c r="G5" s="28">
        <f>(G4+C5+E5+F5)</f>
        <v>99971.168121130002</v>
      </c>
      <c r="H5" s="28"/>
      <c r="I5" s="28"/>
      <c r="J5" s="30"/>
      <c r="K5" s="1" t="s">
        <v>174</v>
      </c>
      <c r="L5" s="4">
        <v>1500</v>
      </c>
      <c r="M5" s="145">
        <v>18.97</v>
      </c>
      <c r="N5" s="27">
        <v>20.97</v>
      </c>
      <c r="O5" s="142">
        <f t="shared" si="0"/>
        <v>28455</v>
      </c>
      <c r="P5" s="142">
        <f t="shared" si="1"/>
        <v>31455</v>
      </c>
      <c r="Q5" s="10">
        <f t="shared" si="2"/>
        <v>10.542962572482864</v>
      </c>
      <c r="R5" s="143">
        <f t="shared" si="3"/>
        <v>3000</v>
      </c>
      <c r="S5" s="15"/>
      <c r="T5" s="15">
        <f>(P5/V6)*100</f>
        <v>10.706962469977617</v>
      </c>
      <c r="U5" s="37" t="s">
        <v>97</v>
      </c>
      <c r="V5" s="43"/>
      <c r="W5" s="57"/>
    </row>
    <row r="6" spans="1:23" x14ac:dyDescent="0.25">
      <c r="A6" s="35">
        <v>43040</v>
      </c>
      <c r="B6" s="28">
        <f t="shared" si="4"/>
        <v>99971.168121130002</v>
      </c>
      <c r="C6" s="28">
        <v>4450</v>
      </c>
      <c r="D6" s="29">
        <v>0.01</v>
      </c>
      <c r="E6" s="29">
        <f t="shared" si="5"/>
        <v>999.71168121130006</v>
      </c>
      <c r="F6" s="30"/>
      <c r="G6" s="28">
        <f t="shared" ref="G6:G69" si="6">(G5+C6+E6+F6)</f>
        <v>105420.8798023413</v>
      </c>
      <c r="H6" s="28"/>
      <c r="I6" s="28"/>
      <c r="J6" s="30"/>
      <c r="K6" s="1" t="s">
        <v>9</v>
      </c>
      <c r="L6" s="4">
        <v>900</v>
      </c>
      <c r="M6" s="145">
        <v>14.1</v>
      </c>
      <c r="N6" s="27">
        <v>49.77</v>
      </c>
      <c r="O6" s="142">
        <f t="shared" si="0"/>
        <v>12690</v>
      </c>
      <c r="P6" s="142">
        <f t="shared" si="1"/>
        <v>44793</v>
      </c>
      <c r="Q6" s="10">
        <f t="shared" si="2"/>
        <v>252.97872340425533</v>
      </c>
      <c r="R6" s="143">
        <f t="shared" si="3"/>
        <v>32103</v>
      </c>
      <c r="S6" s="15"/>
      <c r="T6" s="15">
        <f>(P8/V6)*100</f>
        <v>15.348177961255468</v>
      </c>
      <c r="U6" s="37" t="s">
        <v>80</v>
      </c>
      <c r="V6" s="43">
        <v>293780.8</v>
      </c>
      <c r="W6" s="58"/>
    </row>
    <row r="7" spans="1:23" x14ac:dyDescent="0.25">
      <c r="A7" s="35">
        <v>43070</v>
      </c>
      <c r="B7" s="28">
        <f>(G6)</f>
        <v>105420.8798023413</v>
      </c>
      <c r="C7" s="28">
        <v>0</v>
      </c>
      <c r="D7" s="29">
        <v>0.01</v>
      </c>
      <c r="E7" s="29">
        <f t="shared" si="5"/>
        <v>1054.208798023413</v>
      </c>
      <c r="F7" s="30"/>
      <c r="G7" s="28">
        <f>(G6+C7+E7+F7)</f>
        <v>106475.0886003647</v>
      </c>
      <c r="H7" s="28"/>
      <c r="I7" s="28"/>
      <c r="J7" s="30"/>
      <c r="K7" s="1" t="s">
        <v>76</v>
      </c>
      <c r="L7" s="4">
        <v>1900</v>
      </c>
      <c r="M7" s="145">
        <v>7.83</v>
      </c>
      <c r="N7" s="27">
        <v>7.6</v>
      </c>
      <c r="O7" s="142">
        <f t="shared" si="0"/>
        <v>14877</v>
      </c>
      <c r="P7" s="142">
        <f t="shared" si="1"/>
        <v>14440</v>
      </c>
      <c r="Q7" s="40">
        <f t="shared" si="2"/>
        <v>-2.9374201787994849</v>
      </c>
      <c r="R7" s="144">
        <f t="shared" si="3"/>
        <v>-437</v>
      </c>
      <c r="S7" s="15"/>
      <c r="T7" s="15">
        <f>(P7/V6)*100</f>
        <v>4.9152293138285419</v>
      </c>
      <c r="U7" s="37" t="s">
        <v>161</v>
      </c>
      <c r="V7" s="43">
        <v>227645.88</v>
      </c>
      <c r="W7" s="58"/>
    </row>
    <row r="8" spans="1:23" x14ac:dyDescent="0.25">
      <c r="A8" s="35">
        <v>43101</v>
      </c>
      <c r="B8" s="28">
        <f t="shared" si="4"/>
        <v>106475.0886003647</v>
      </c>
      <c r="C8" s="28">
        <v>0</v>
      </c>
      <c r="D8" s="29">
        <v>0.01</v>
      </c>
      <c r="E8" s="29">
        <f t="shared" si="5"/>
        <v>1064.7508860036471</v>
      </c>
      <c r="F8" s="30"/>
      <c r="G8" s="28">
        <f t="shared" si="6"/>
        <v>107539.83948636835</v>
      </c>
      <c r="H8" s="28"/>
      <c r="I8" s="28"/>
      <c r="J8" s="30"/>
      <c r="K8" s="1" t="s">
        <v>123</v>
      </c>
      <c r="L8" s="4">
        <v>1000</v>
      </c>
      <c r="M8" s="145">
        <v>40.31</v>
      </c>
      <c r="N8" s="27">
        <v>45.09</v>
      </c>
      <c r="O8" s="142">
        <f t="shared" si="0"/>
        <v>40310</v>
      </c>
      <c r="P8" s="142">
        <f t="shared" si="1"/>
        <v>45090</v>
      </c>
      <c r="Q8" s="10">
        <f t="shared" si="2"/>
        <v>11.858099727114862</v>
      </c>
      <c r="R8" s="143">
        <f t="shared" si="3"/>
        <v>4780</v>
      </c>
      <c r="S8" s="34"/>
      <c r="T8" s="15">
        <f>(P8/V6)*100</f>
        <v>15.348177961255468</v>
      </c>
      <c r="U8" s="37"/>
      <c r="V8" s="43"/>
    </row>
    <row r="9" spans="1:23" x14ac:dyDescent="0.25">
      <c r="A9" s="35">
        <v>43132</v>
      </c>
      <c r="B9" s="28">
        <f t="shared" si="4"/>
        <v>107539.83948636835</v>
      </c>
      <c r="C9" s="28">
        <v>28050</v>
      </c>
      <c r="D9" s="29">
        <v>0.01</v>
      </c>
      <c r="E9" s="29">
        <f t="shared" si="5"/>
        <v>1075.3983948636835</v>
      </c>
      <c r="F9" s="30"/>
      <c r="G9" s="28">
        <f t="shared" si="6"/>
        <v>136665.23788123202</v>
      </c>
      <c r="H9" s="28"/>
      <c r="I9" s="28"/>
      <c r="J9" s="31"/>
      <c r="K9" s="20" t="s">
        <v>7</v>
      </c>
      <c r="L9" s="21">
        <v>1100</v>
      </c>
      <c r="M9" s="146">
        <v>27.09</v>
      </c>
      <c r="N9" s="27">
        <v>36.229999999999997</v>
      </c>
      <c r="O9" s="142">
        <f t="shared" si="0"/>
        <v>29799</v>
      </c>
      <c r="P9" s="142">
        <f t="shared" si="1"/>
        <v>39853</v>
      </c>
      <c r="Q9" s="10">
        <f t="shared" si="2"/>
        <v>33.739387227759323</v>
      </c>
      <c r="R9" s="143">
        <f t="shared" si="3"/>
        <v>10054</v>
      </c>
      <c r="S9" s="15"/>
      <c r="T9" s="15"/>
      <c r="V9" s="8">
        <f>SUM(V4:V8)</f>
        <v>538005.67999999993</v>
      </c>
    </row>
    <row r="10" spans="1:23" x14ac:dyDescent="0.25">
      <c r="A10" s="35">
        <v>43160</v>
      </c>
      <c r="B10" s="28">
        <f>(G9)</f>
        <v>136665.23788123202</v>
      </c>
      <c r="C10" s="28">
        <v>46200</v>
      </c>
      <c r="D10" s="29">
        <v>0.01</v>
      </c>
      <c r="E10" s="29">
        <f t="shared" si="5"/>
        <v>1366.6523788123202</v>
      </c>
      <c r="F10" s="30"/>
      <c r="G10" s="28">
        <f>(G9+C10+E10+F10)</f>
        <v>184231.89026004434</v>
      </c>
      <c r="H10" s="28"/>
      <c r="I10" s="28"/>
      <c r="J10" s="31"/>
      <c r="K10" s="1" t="s">
        <v>94</v>
      </c>
      <c r="L10" s="4">
        <v>1400</v>
      </c>
      <c r="M10" s="145">
        <v>9.1999999999999993</v>
      </c>
      <c r="N10" s="27">
        <v>40.67</v>
      </c>
      <c r="O10" s="142">
        <f t="shared" si="0"/>
        <v>12879.999999999998</v>
      </c>
      <c r="P10" s="142">
        <f t="shared" si="1"/>
        <v>56938</v>
      </c>
      <c r="Q10" s="10">
        <f t="shared" si="2"/>
        <v>342.06521739130443</v>
      </c>
      <c r="R10" s="143">
        <f t="shared" si="3"/>
        <v>44058</v>
      </c>
      <c r="S10" s="25"/>
      <c r="T10" s="15">
        <f>(P10/V6)*100</f>
        <v>19.381116805454951</v>
      </c>
    </row>
    <row r="11" spans="1:23" x14ac:dyDescent="0.25">
      <c r="A11" s="35">
        <v>43191</v>
      </c>
      <c r="B11" s="28">
        <f t="shared" si="4"/>
        <v>184231.89026004434</v>
      </c>
      <c r="C11" s="28">
        <v>-10814</v>
      </c>
      <c r="D11" s="29">
        <v>0.01</v>
      </c>
      <c r="E11" s="29">
        <f t="shared" si="5"/>
        <v>1842.3189026004434</v>
      </c>
      <c r="F11" s="30"/>
      <c r="G11" s="28">
        <f t="shared" si="6"/>
        <v>175260.20916264478</v>
      </c>
      <c r="H11" s="28"/>
      <c r="I11" s="28"/>
      <c r="J11" s="31"/>
      <c r="K11" s="1" t="s">
        <v>158</v>
      </c>
      <c r="L11" s="4">
        <v>1000</v>
      </c>
      <c r="M11" s="145">
        <v>11.44</v>
      </c>
      <c r="N11" s="27">
        <v>30.87</v>
      </c>
      <c r="O11" s="142">
        <f t="shared" si="0"/>
        <v>11440</v>
      </c>
      <c r="P11" s="142">
        <f t="shared" si="1"/>
        <v>30870</v>
      </c>
      <c r="Q11" s="10">
        <f t="shared" si="2"/>
        <v>169.84265734265733</v>
      </c>
      <c r="R11" s="143">
        <f t="shared" si="3"/>
        <v>19430</v>
      </c>
      <c r="S11" s="25"/>
      <c r="T11" s="15">
        <f>(P11/V6)*100</f>
        <v>10.507834412596058</v>
      </c>
    </row>
    <row r="12" spans="1:23" x14ac:dyDescent="0.25">
      <c r="A12" s="35">
        <v>43221</v>
      </c>
      <c r="B12" s="28">
        <f t="shared" si="4"/>
        <v>175260.20916264478</v>
      </c>
      <c r="C12" s="28">
        <v>14077.91</v>
      </c>
      <c r="D12" s="29">
        <v>0.01</v>
      </c>
      <c r="E12" s="29">
        <f t="shared" si="5"/>
        <v>1752.6020916264479</v>
      </c>
      <c r="F12" s="30"/>
      <c r="G12" s="28">
        <f t="shared" si="6"/>
        <v>191090.72125427122</v>
      </c>
      <c r="H12" s="38"/>
      <c r="I12" s="38"/>
      <c r="J12" s="31"/>
      <c r="K12" s="20" t="s">
        <v>124</v>
      </c>
      <c r="L12" s="21">
        <v>2100</v>
      </c>
      <c r="M12" s="145">
        <v>17.350000000000001</v>
      </c>
      <c r="N12" s="27">
        <v>15.9</v>
      </c>
      <c r="O12" s="142">
        <f t="shared" si="0"/>
        <v>36435</v>
      </c>
      <c r="P12" s="142">
        <f t="shared" si="1"/>
        <v>33390</v>
      </c>
      <c r="Q12" s="40">
        <f t="shared" si="2"/>
        <v>-8.3573487031700324</v>
      </c>
      <c r="R12" s="144">
        <f t="shared" si="3"/>
        <v>-3045</v>
      </c>
      <c r="T12" s="15">
        <f>(P12/V6)*100</f>
        <v>11.365616813624307</v>
      </c>
    </row>
    <row r="13" spans="1:23" x14ac:dyDescent="0.25">
      <c r="A13" s="35">
        <v>43252</v>
      </c>
      <c r="B13" s="28">
        <f t="shared" si="4"/>
        <v>191090.72125427122</v>
      </c>
      <c r="C13" s="28">
        <v>2170</v>
      </c>
      <c r="D13" s="29">
        <v>0.01</v>
      </c>
      <c r="E13" s="29">
        <f t="shared" si="5"/>
        <v>1910.9072125427122</v>
      </c>
      <c r="F13" s="30"/>
      <c r="G13" s="28">
        <f t="shared" si="6"/>
        <v>195171.62846681394</v>
      </c>
      <c r="H13" s="38"/>
      <c r="I13" s="38"/>
      <c r="J13" s="27"/>
      <c r="K13" s="1" t="s">
        <v>75</v>
      </c>
      <c r="L13" s="4">
        <v>2500</v>
      </c>
      <c r="M13" s="3">
        <v>13.02</v>
      </c>
      <c r="N13" s="4">
        <v>13.02</v>
      </c>
      <c r="O13" s="142">
        <f t="shared" si="0"/>
        <v>32550</v>
      </c>
      <c r="P13" s="142">
        <f t="shared" si="1"/>
        <v>32550</v>
      </c>
      <c r="Q13" s="10">
        <f t="shared" si="2"/>
        <v>0</v>
      </c>
      <c r="R13" s="10">
        <f t="shared" si="3"/>
        <v>0</v>
      </c>
      <c r="S13" s="25"/>
      <c r="T13" s="41"/>
    </row>
    <row r="14" spans="1:23" x14ac:dyDescent="0.25">
      <c r="A14" s="35">
        <v>43282</v>
      </c>
      <c r="B14" s="28">
        <f t="shared" si="4"/>
        <v>195171.62846681394</v>
      </c>
      <c r="C14" s="28">
        <v>-6003.6</v>
      </c>
      <c r="D14" s="29">
        <v>0.01</v>
      </c>
      <c r="E14" s="29">
        <f t="shared" si="5"/>
        <v>1951.7162846681395</v>
      </c>
      <c r="F14" s="30"/>
      <c r="G14" s="28">
        <f t="shared" si="6"/>
        <v>191119.74475148207</v>
      </c>
      <c r="H14" s="38"/>
      <c r="I14" s="38"/>
      <c r="J14" s="27"/>
      <c r="R14" s="10">
        <f t="shared" si="3"/>
        <v>0</v>
      </c>
    </row>
    <row r="15" spans="1:23" x14ac:dyDescent="0.25">
      <c r="A15" s="35">
        <v>43313</v>
      </c>
      <c r="B15" s="28">
        <f t="shared" si="4"/>
        <v>191119.74475148207</v>
      </c>
      <c r="C15" s="28">
        <v>780</v>
      </c>
      <c r="D15" s="29">
        <v>0.01</v>
      </c>
      <c r="E15" s="29">
        <f t="shared" si="5"/>
        <v>1911.1974475148206</v>
      </c>
      <c r="F15" s="30"/>
      <c r="G15" s="28">
        <f t="shared" si="6"/>
        <v>193810.9421989969</v>
      </c>
      <c r="H15" s="38"/>
      <c r="I15" s="38"/>
      <c r="J15" s="31"/>
      <c r="O15" s="71">
        <f>SUM(O2:O13)</f>
        <v>305185.34999999998</v>
      </c>
      <c r="P15" s="71">
        <f>SUM(P2:P13)</f>
        <v>452051.18</v>
      </c>
      <c r="Q15" s="4"/>
      <c r="R15" s="4"/>
      <c r="S15" s="15"/>
      <c r="T15" s="15"/>
    </row>
    <row r="16" spans="1:23" x14ac:dyDescent="0.25">
      <c r="A16" s="35">
        <v>43344</v>
      </c>
      <c r="B16" s="28">
        <f t="shared" si="4"/>
        <v>193810.9421989969</v>
      </c>
      <c r="C16" s="28">
        <v>3000</v>
      </c>
      <c r="D16" s="29">
        <v>0.01</v>
      </c>
      <c r="E16" s="29">
        <f t="shared" si="5"/>
        <v>1938.109421989969</v>
      </c>
      <c r="F16" s="30"/>
      <c r="G16" s="28">
        <f t="shared" si="6"/>
        <v>198749.05162098687</v>
      </c>
      <c r="H16" s="38"/>
      <c r="I16" s="38"/>
      <c r="J16" s="31"/>
      <c r="K16" s="1" t="s">
        <v>16</v>
      </c>
      <c r="L16" s="4"/>
      <c r="M16" s="4"/>
      <c r="N16" s="4"/>
      <c r="O16" s="4"/>
      <c r="P16" s="4"/>
      <c r="R16" s="4"/>
      <c r="S16" s="33"/>
      <c r="T16" s="15"/>
    </row>
    <row r="17" spans="1:22" x14ac:dyDescent="0.25">
      <c r="A17" s="35">
        <v>43374</v>
      </c>
      <c r="B17" s="28">
        <f t="shared" si="4"/>
        <v>198749.05162098687</v>
      </c>
      <c r="C17" s="28">
        <v>3150</v>
      </c>
      <c r="D17" s="29">
        <v>0.01</v>
      </c>
      <c r="E17" s="29">
        <f t="shared" si="5"/>
        <v>1987.4905162098687</v>
      </c>
      <c r="F17" s="30"/>
      <c r="G17" s="28">
        <f t="shared" si="6"/>
        <v>203886.54213719672</v>
      </c>
      <c r="H17" s="38"/>
      <c r="I17" s="38"/>
      <c r="J17" s="31"/>
      <c r="K17" s="1" t="s">
        <v>16</v>
      </c>
      <c r="L17" s="4"/>
      <c r="M17" s="4"/>
      <c r="N17" s="32"/>
      <c r="O17" s="32"/>
      <c r="P17" s="32"/>
    </row>
    <row r="18" spans="1:22" x14ac:dyDescent="0.25">
      <c r="A18" s="35">
        <v>43405</v>
      </c>
      <c r="B18" s="28">
        <f t="shared" si="4"/>
        <v>203886.54213719672</v>
      </c>
      <c r="C18" s="28">
        <v>22000</v>
      </c>
      <c r="D18" s="29">
        <v>0.01</v>
      </c>
      <c r="E18" s="29">
        <f t="shared" si="5"/>
        <v>2038.8654213719674</v>
      </c>
      <c r="F18" s="30"/>
      <c r="G18" s="28">
        <f>(G17+C18+E18+F18)</f>
        <v>227925.4075585687</v>
      </c>
      <c r="H18" s="38"/>
      <c r="I18" s="38"/>
      <c r="J18" s="50"/>
    </row>
    <row r="19" spans="1:22" x14ac:dyDescent="0.25">
      <c r="A19" s="35">
        <v>43435</v>
      </c>
      <c r="B19" s="28">
        <f t="shared" si="4"/>
        <v>227925.4075585687</v>
      </c>
      <c r="C19" s="28">
        <v>3500</v>
      </c>
      <c r="D19" s="29">
        <v>0.01</v>
      </c>
      <c r="E19" s="29">
        <f t="shared" si="5"/>
        <v>2279.2540755856871</v>
      </c>
      <c r="F19" s="30"/>
      <c r="G19" s="28">
        <f t="shared" si="6"/>
        <v>233704.66163415438</v>
      </c>
      <c r="H19" s="51"/>
      <c r="I19" s="51"/>
      <c r="J19" s="27"/>
      <c r="K19" s="16" t="s">
        <v>17</v>
      </c>
      <c r="L19" s="17">
        <f>SUM(L3:L17)</f>
        <v>18103</v>
      </c>
      <c r="M19" s="17"/>
      <c r="N19" s="17"/>
      <c r="O19" s="17">
        <f>SUM(O3:O17)</f>
        <v>578833.69999999995</v>
      </c>
      <c r="P19" s="10">
        <f>SUM(P3:P17)</f>
        <v>851698.36</v>
      </c>
      <c r="Q19" s="10">
        <f>(((P19*100)/O19)-100)</f>
        <v>47.14042392486823</v>
      </c>
      <c r="R19" s="12">
        <f>(P19-O19)</f>
        <v>272864.66000000003</v>
      </c>
      <c r="S19" s="12"/>
      <c r="T19" s="42">
        <f>SUM(T9:T16)</f>
        <v>41.254568031675319</v>
      </c>
    </row>
    <row r="20" spans="1:22" x14ac:dyDescent="0.25">
      <c r="A20" s="35">
        <v>43466</v>
      </c>
      <c r="B20" s="28">
        <f t="shared" si="4"/>
        <v>233704.66163415438</v>
      </c>
      <c r="C20" s="28">
        <v>3000</v>
      </c>
      <c r="D20" s="29">
        <v>0.01</v>
      </c>
      <c r="E20" s="29">
        <f t="shared" si="5"/>
        <v>2337.046616341544</v>
      </c>
      <c r="F20" s="30"/>
      <c r="G20" s="28">
        <f t="shared" si="6"/>
        <v>239041.70825049593</v>
      </c>
      <c r="H20" s="51"/>
      <c r="I20" s="51"/>
      <c r="J20" s="27"/>
      <c r="T20" s="36" t="s">
        <v>79</v>
      </c>
      <c r="U20" s="37"/>
    </row>
    <row r="21" spans="1:22" x14ac:dyDescent="0.25">
      <c r="A21" s="35">
        <v>43497</v>
      </c>
      <c r="B21" s="28">
        <f t="shared" si="4"/>
        <v>239041.70825049593</v>
      </c>
      <c r="C21" s="28">
        <v>55520</v>
      </c>
      <c r="D21" s="29">
        <v>0.01</v>
      </c>
      <c r="E21" s="29">
        <f t="shared" si="5"/>
        <v>2390.4170825049591</v>
      </c>
      <c r="F21" s="30"/>
      <c r="G21" s="28">
        <f t="shared" si="6"/>
        <v>296952.12533300091</v>
      </c>
      <c r="H21" s="38"/>
      <c r="I21" s="38"/>
      <c r="J21" s="27"/>
    </row>
    <row r="22" spans="1:22" x14ac:dyDescent="0.25">
      <c r="A22" s="35">
        <v>43525</v>
      </c>
      <c r="B22" s="28">
        <f t="shared" si="4"/>
        <v>296952.12533300091</v>
      </c>
      <c r="C22" s="28">
        <v>0</v>
      </c>
      <c r="D22" s="29">
        <v>0.01</v>
      </c>
      <c r="E22" s="29">
        <f t="shared" si="5"/>
        <v>2969.5212533300091</v>
      </c>
      <c r="F22" s="30"/>
      <c r="G22" s="28">
        <f t="shared" si="6"/>
        <v>299921.6465863309</v>
      </c>
      <c r="H22" s="38"/>
      <c r="I22" s="38"/>
      <c r="J22" s="61"/>
    </row>
    <row r="23" spans="1:22" x14ac:dyDescent="0.25">
      <c r="A23" s="35">
        <v>43556</v>
      </c>
      <c r="B23" s="28">
        <f t="shared" si="4"/>
        <v>299921.6465863309</v>
      </c>
      <c r="C23" s="28">
        <v>1000</v>
      </c>
      <c r="D23" s="29">
        <v>0.01</v>
      </c>
      <c r="E23" s="29">
        <f t="shared" si="5"/>
        <v>2999.2164658633092</v>
      </c>
      <c r="F23" s="30"/>
      <c r="G23" s="28">
        <f t="shared" si="6"/>
        <v>303920.86305219418</v>
      </c>
      <c r="H23" s="38"/>
      <c r="I23" s="38"/>
      <c r="J23" s="39"/>
    </row>
    <row r="24" spans="1:22" x14ac:dyDescent="0.25">
      <c r="A24" s="35">
        <v>43586</v>
      </c>
      <c r="B24" s="28">
        <f t="shared" si="4"/>
        <v>303920.86305219418</v>
      </c>
      <c r="C24" s="28">
        <v>10000</v>
      </c>
      <c r="D24" s="29">
        <v>0.01</v>
      </c>
      <c r="E24" s="29">
        <f t="shared" si="5"/>
        <v>3039.2086305219418</v>
      </c>
      <c r="F24" s="30"/>
      <c r="G24" s="28">
        <f t="shared" si="6"/>
        <v>316960.07168271614</v>
      </c>
      <c r="H24" s="38"/>
      <c r="I24" s="38"/>
      <c r="J24" s="39"/>
      <c r="K24" s="26" t="s">
        <v>83</v>
      </c>
      <c r="L24" s="26" t="s">
        <v>84</v>
      </c>
      <c r="M24" s="26" t="s">
        <v>85</v>
      </c>
      <c r="N24" s="26" t="s">
        <v>86</v>
      </c>
      <c r="O24" s="26" t="s">
        <v>87</v>
      </c>
      <c r="P24" s="56" t="s">
        <v>103</v>
      </c>
      <c r="Q24" s="46" t="s">
        <v>89</v>
      </c>
      <c r="R24" s="46"/>
      <c r="S24" s="46"/>
      <c r="T24" s="46"/>
      <c r="U24" s="47" t="s">
        <v>90</v>
      </c>
      <c r="V24" s="8" t="s">
        <v>125</v>
      </c>
    </row>
    <row r="25" spans="1:22" x14ac:dyDescent="0.25">
      <c r="A25" s="35">
        <v>43617</v>
      </c>
      <c r="B25" s="28">
        <f t="shared" si="4"/>
        <v>316960.07168271614</v>
      </c>
      <c r="C25" s="28">
        <v>1500</v>
      </c>
      <c r="D25" s="29">
        <v>0.01</v>
      </c>
      <c r="E25" s="29">
        <f t="shared" si="5"/>
        <v>3169.6007168271612</v>
      </c>
      <c r="F25" s="30"/>
      <c r="G25" s="28">
        <f t="shared" si="6"/>
        <v>321629.67239954328</v>
      </c>
      <c r="H25" s="38"/>
      <c r="I25" s="38"/>
      <c r="J25" s="39"/>
      <c r="K25" s="22" t="s">
        <v>43</v>
      </c>
      <c r="L25">
        <v>500</v>
      </c>
      <c r="M25">
        <v>20.09</v>
      </c>
      <c r="N25">
        <f t="shared" ref="N25:N31" si="7">(L25*M25)</f>
        <v>10045</v>
      </c>
      <c r="O25" s="23">
        <v>43137</v>
      </c>
      <c r="P25" s="23">
        <v>43405</v>
      </c>
      <c r="Q25" s="11" t="s">
        <v>7</v>
      </c>
      <c r="R25" s="11">
        <v>2000</v>
      </c>
      <c r="S25" s="11">
        <v>22.34</v>
      </c>
      <c r="T25" s="11">
        <f>R25*S25</f>
        <v>44680</v>
      </c>
      <c r="U25" s="8">
        <f>T25-41820</f>
        <v>2860</v>
      </c>
    </row>
    <row r="26" spans="1:22" x14ac:dyDescent="0.25">
      <c r="A26" s="35">
        <v>43647</v>
      </c>
      <c r="B26" s="28">
        <f t="shared" si="4"/>
        <v>321629.67239954328</v>
      </c>
      <c r="C26" s="28">
        <v>0</v>
      </c>
      <c r="D26" s="29">
        <v>0.01</v>
      </c>
      <c r="E26" s="29">
        <f t="shared" si="5"/>
        <v>3216.2967239954328</v>
      </c>
      <c r="F26" s="30"/>
      <c r="G26" s="28">
        <f t="shared" si="6"/>
        <v>324845.9691235387</v>
      </c>
      <c r="H26" s="38"/>
      <c r="I26" s="38"/>
      <c r="J26" s="39"/>
      <c r="K26" s="22" t="s">
        <v>8</v>
      </c>
      <c r="L26">
        <v>700</v>
      </c>
      <c r="M26">
        <v>12.16</v>
      </c>
      <c r="N26">
        <f t="shared" si="7"/>
        <v>8512</v>
      </c>
      <c r="O26" s="23">
        <v>43137</v>
      </c>
      <c r="P26" s="23">
        <v>43405</v>
      </c>
      <c r="Q26" s="11" t="s">
        <v>5</v>
      </c>
      <c r="R26" s="11">
        <v>600</v>
      </c>
      <c r="S26" s="11">
        <v>26.99</v>
      </c>
      <c r="T26" s="11">
        <f t="shared" ref="T26:T38" si="8">R26*S26</f>
        <v>16193.999999999998</v>
      </c>
      <c r="U26" s="8">
        <f>T26-15534</f>
        <v>659.99999999999818</v>
      </c>
    </row>
    <row r="27" spans="1:22" x14ac:dyDescent="0.25">
      <c r="A27" s="35">
        <v>43678</v>
      </c>
      <c r="B27" s="28">
        <f t="shared" si="4"/>
        <v>324845.9691235387</v>
      </c>
      <c r="C27" s="28">
        <v>3000</v>
      </c>
      <c r="D27" s="29">
        <v>0.01</v>
      </c>
      <c r="E27" s="29">
        <f t="shared" si="5"/>
        <v>3248.4596912353873</v>
      </c>
      <c r="F27" s="30"/>
      <c r="G27" s="28">
        <f t="shared" si="6"/>
        <v>331094.42881477409</v>
      </c>
      <c r="H27" s="38"/>
      <c r="I27" s="38"/>
      <c r="J27" s="61"/>
      <c r="K27" s="22" t="s">
        <v>39</v>
      </c>
      <c r="L27">
        <v>300</v>
      </c>
      <c r="M27">
        <v>34.26</v>
      </c>
      <c r="N27">
        <f t="shared" si="7"/>
        <v>10278</v>
      </c>
      <c r="O27" s="23">
        <v>43137</v>
      </c>
      <c r="P27" s="23">
        <v>43349</v>
      </c>
      <c r="Q27" s="11" t="s">
        <v>39</v>
      </c>
      <c r="R27" s="11">
        <v>1400</v>
      </c>
      <c r="S27" s="11">
        <v>25</v>
      </c>
      <c r="T27" s="11">
        <f t="shared" si="8"/>
        <v>35000</v>
      </c>
      <c r="U27" s="59">
        <f>T27-42601</f>
        <v>-7601</v>
      </c>
    </row>
    <row r="28" spans="1:22" x14ac:dyDescent="0.25">
      <c r="A28" s="35">
        <v>43709</v>
      </c>
      <c r="B28" s="28">
        <f t="shared" si="4"/>
        <v>331094.42881477409</v>
      </c>
      <c r="C28" s="28">
        <v>2000</v>
      </c>
      <c r="D28" s="29">
        <v>0.01</v>
      </c>
      <c r="E28" s="29">
        <f t="shared" si="5"/>
        <v>3310.9442881477407</v>
      </c>
      <c r="F28" s="30"/>
      <c r="G28" s="28">
        <f t="shared" si="6"/>
        <v>336405.37310292182</v>
      </c>
      <c r="H28" s="38"/>
      <c r="I28" s="38"/>
      <c r="J28" s="4"/>
      <c r="K28" s="22" t="s">
        <v>39</v>
      </c>
      <c r="L28">
        <v>200</v>
      </c>
      <c r="M28">
        <v>32.700000000000003</v>
      </c>
      <c r="N28">
        <f t="shared" si="7"/>
        <v>6540.0000000000009</v>
      </c>
      <c r="O28" s="23">
        <v>43166</v>
      </c>
      <c r="P28" s="23">
        <v>43489</v>
      </c>
      <c r="Q28" s="11" t="s">
        <v>74</v>
      </c>
      <c r="R28" s="11">
        <v>1800</v>
      </c>
      <c r="S28" s="11">
        <v>11.32</v>
      </c>
      <c r="T28" s="11">
        <f t="shared" si="8"/>
        <v>20376</v>
      </c>
      <c r="U28" s="8">
        <f>T28-20286</f>
        <v>90</v>
      </c>
    </row>
    <row r="29" spans="1:22" x14ac:dyDescent="0.25">
      <c r="A29" s="35">
        <v>43739</v>
      </c>
      <c r="B29" s="28">
        <f t="shared" si="4"/>
        <v>336405.37310292182</v>
      </c>
      <c r="C29" s="28">
        <v>3000</v>
      </c>
      <c r="D29" s="29">
        <v>0.01</v>
      </c>
      <c r="E29" s="29">
        <f t="shared" si="5"/>
        <v>3364.0537310292184</v>
      </c>
      <c r="F29" s="30"/>
      <c r="G29" s="28">
        <f t="shared" si="6"/>
        <v>342769.42683395103</v>
      </c>
      <c r="H29" s="38"/>
      <c r="I29" s="38"/>
      <c r="J29" s="61"/>
      <c r="K29" s="22" t="s">
        <v>72</v>
      </c>
      <c r="L29">
        <v>300</v>
      </c>
      <c r="M29">
        <v>13.17</v>
      </c>
      <c r="N29">
        <f t="shared" si="7"/>
        <v>3951</v>
      </c>
      <c r="O29" s="23">
        <v>43187</v>
      </c>
      <c r="P29" t="s">
        <v>122</v>
      </c>
      <c r="Q29" s="11" t="s">
        <v>8</v>
      </c>
      <c r="R29" s="11">
        <v>1800</v>
      </c>
      <c r="S29" s="11">
        <v>10.9</v>
      </c>
      <c r="T29" s="11">
        <f t="shared" si="8"/>
        <v>19620</v>
      </c>
      <c r="U29" s="59">
        <f>T29-24282</f>
        <v>-4662</v>
      </c>
    </row>
    <row r="30" spans="1:22" x14ac:dyDescent="0.25">
      <c r="A30" s="35">
        <v>43770</v>
      </c>
      <c r="B30" s="28">
        <f t="shared" si="4"/>
        <v>342769.42683395103</v>
      </c>
      <c r="C30" s="28">
        <v>3850</v>
      </c>
      <c r="D30" s="29">
        <v>0.01</v>
      </c>
      <c r="E30" s="29">
        <f t="shared" si="5"/>
        <v>3427.6942683395105</v>
      </c>
      <c r="F30" s="30"/>
      <c r="G30" s="28">
        <f t="shared" si="6"/>
        <v>350047.12110229052</v>
      </c>
      <c r="H30" s="70"/>
      <c r="I30" s="70"/>
      <c r="J30" s="31"/>
      <c r="K30" s="22" t="s">
        <v>76</v>
      </c>
      <c r="L30">
        <v>100</v>
      </c>
      <c r="M30">
        <v>26.95</v>
      </c>
      <c r="N30">
        <f t="shared" si="7"/>
        <v>2695</v>
      </c>
      <c r="O30" s="23">
        <v>43194</v>
      </c>
      <c r="P30" s="23">
        <v>43749</v>
      </c>
      <c r="Q30" s="11" t="s">
        <v>76</v>
      </c>
      <c r="R30" s="11">
        <v>1500</v>
      </c>
      <c r="S30" s="11">
        <v>8.64</v>
      </c>
      <c r="T30" s="11">
        <f t="shared" si="8"/>
        <v>12960</v>
      </c>
      <c r="U30" s="8">
        <v>960</v>
      </c>
    </row>
    <row r="31" spans="1:22" x14ac:dyDescent="0.25">
      <c r="A31" s="35">
        <v>43800</v>
      </c>
      <c r="B31" s="28">
        <f t="shared" si="4"/>
        <v>350047.12110229052</v>
      </c>
      <c r="C31" s="28">
        <v>3000</v>
      </c>
      <c r="D31" s="29">
        <v>0.01</v>
      </c>
      <c r="E31" s="29">
        <f t="shared" si="5"/>
        <v>3500.4712110229052</v>
      </c>
      <c r="F31" s="30"/>
      <c r="G31" s="28">
        <f t="shared" si="6"/>
        <v>356547.59231331345</v>
      </c>
      <c r="H31" s="70"/>
      <c r="I31" s="70"/>
      <c r="J31" s="31"/>
      <c r="K31" s="20" t="s">
        <v>74</v>
      </c>
      <c r="L31">
        <v>400</v>
      </c>
      <c r="M31">
        <v>13.07</v>
      </c>
      <c r="N31">
        <f t="shared" si="7"/>
        <v>5228</v>
      </c>
      <c r="O31" s="23">
        <v>43194</v>
      </c>
      <c r="P31" s="23">
        <v>44110</v>
      </c>
      <c r="Q31" s="11" t="s">
        <v>8</v>
      </c>
      <c r="R31" s="11">
        <v>200</v>
      </c>
      <c r="S31" s="11">
        <v>14.6</v>
      </c>
      <c r="T31" s="11">
        <f t="shared" si="8"/>
        <v>2920</v>
      </c>
      <c r="U31" s="8">
        <v>222</v>
      </c>
    </row>
    <row r="32" spans="1:22" x14ac:dyDescent="0.25">
      <c r="A32" s="35">
        <v>43831</v>
      </c>
      <c r="B32" s="28">
        <f t="shared" si="4"/>
        <v>356547.59231331345</v>
      </c>
      <c r="C32" s="28">
        <v>14058</v>
      </c>
      <c r="D32" s="29">
        <v>0.01</v>
      </c>
      <c r="E32" s="29">
        <f t="shared" si="5"/>
        <v>3565.4759231331345</v>
      </c>
      <c r="F32" s="30"/>
      <c r="G32" s="28">
        <f t="shared" si="6"/>
        <v>374171.06823644659</v>
      </c>
      <c r="H32" s="70"/>
      <c r="I32" s="70"/>
      <c r="J32" s="31"/>
      <c r="K32" s="22" t="s">
        <v>75</v>
      </c>
      <c r="L32">
        <v>100</v>
      </c>
      <c r="M32">
        <v>36.18</v>
      </c>
      <c r="N32">
        <f t="shared" ref="N32:N56" si="9">(L32*M32)</f>
        <v>3618</v>
      </c>
      <c r="O32" s="23">
        <v>43194</v>
      </c>
      <c r="P32" s="23">
        <v>44050</v>
      </c>
      <c r="Q32" s="11" t="s">
        <v>156</v>
      </c>
      <c r="R32" s="11">
        <v>200</v>
      </c>
      <c r="S32" s="11">
        <v>24.08</v>
      </c>
      <c r="T32" s="11">
        <f t="shared" si="8"/>
        <v>4816</v>
      </c>
      <c r="U32" s="8">
        <v>88</v>
      </c>
    </row>
    <row r="33" spans="1:22" x14ac:dyDescent="0.25">
      <c r="A33" s="35">
        <v>43862</v>
      </c>
      <c r="B33" s="28">
        <f t="shared" si="4"/>
        <v>374171.06823644659</v>
      </c>
      <c r="C33" s="28">
        <v>0</v>
      </c>
      <c r="D33" s="29">
        <v>0.01</v>
      </c>
      <c r="E33" s="29">
        <f t="shared" si="5"/>
        <v>3741.7106823644658</v>
      </c>
      <c r="F33" s="30"/>
      <c r="G33" s="28">
        <f t="shared" si="6"/>
        <v>377912.77891881106</v>
      </c>
      <c r="H33" s="69"/>
      <c r="I33" s="69"/>
      <c r="J33" s="27"/>
      <c r="K33" s="20" t="s">
        <v>74</v>
      </c>
      <c r="L33">
        <v>600</v>
      </c>
      <c r="M33">
        <v>12.15</v>
      </c>
      <c r="N33">
        <f t="shared" si="9"/>
        <v>7290</v>
      </c>
      <c r="O33" s="23">
        <v>43231</v>
      </c>
      <c r="P33" s="23">
        <v>44050</v>
      </c>
      <c r="Q33" s="11" t="s">
        <v>94</v>
      </c>
      <c r="R33" s="11">
        <v>200</v>
      </c>
      <c r="S33" s="11">
        <v>69</v>
      </c>
      <c r="T33" s="11">
        <f t="shared" si="8"/>
        <v>13800</v>
      </c>
      <c r="U33" s="8">
        <v>10040</v>
      </c>
    </row>
    <row r="34" spans="1:22" x14ac:dyDescent="0.25">
      <c r="A34" s="35">
        <v>43891</v>
      </c>
      <c r="B34" s="28">
        <f t="shared" si="4"/>
        <v>377912.77891881106</v>
      </c>
      <c r="C34" s="28">
        <v>40000</v>
      </c>
      <c r="D34" s="29">
        <v>0.01</v>
      </c>
      <c r="E34" s="29">
        <f t="shared" si="5"/>
        <v>3779.1277891881109</v>
      </c>
      <c r="F34" s="30"/>
      <c r="G34" s="28">
        <f t="shared" si="6"/>
        <v>421691.90670799918</v>
      </c>
      <c r="H34" s="70"/>
      <c r="I34" s="70"/>
      <c r="J34" s="31"/>
      <c r="K34" s="22" t="s">
        <v>78</v>
      </c>
      <c r="L34">
        <v>500</v>
      </c>
      <c r="M34">
        <v>18.8</v>
      </c>
      <c r="N34">
        <f t="shared" si="9"/>
        <v>9400</v>
      </c>
      <c r="O34" s="23">
        <v>43237</v>
      </c>
      <c r="P34" s="86">
        <v>44040</v>
      </c>
      <c r="Q34" s="11" t="s">
        <v>126</v>
      </c>
      <c r="R34" s="11">
        <v>3100</v>
      </c>
      <c r="S34" s="11">
        <v>1.92</v>
      </c>
      <c r="T34" s="11">
        <f t="shared" si="8"/>
        <v>5952</v>
      </c>
      <c r="U34" s="8">
        <v>3937</v>
      </c>
    </row>
    <row r="35" spans="1:22" s="75" customFormat="1" x14ac:dyDescent="0.25">
      <c r="A35" s="35">
        <v>43922</v>
      </c>
      <c r="B35" s="28">
        <f t="shared" si="4"/>
        <v>421691.90670799918</v>
      </c>
      <c r="C35" s="28">
        <v>0</v>
      </c>
      <c r="D35" s="29">
        <v>0.01</v>
      </c>
      <c r="E35" s="29">
        <f t="shared" si="5"/>
        <v>4216.9190670799917</v>
      </c>
      <c r="F35" s="30"/>
      <c r="G35" s="28">
        <f t="shared" si="6"/>
        <v>425908.8257750792</v>
      </c>
      <c r="H35" s="72"/>
      <c r="I35" s="72"/>
      <c r="J35" s="73"/>
      <c r="K35" s="74" t="s">
        <v>76</v>
      </c>
      <c r="L35" s="75">
        <v>400</v>
      </c>
      <c r="M35" s="75">
        <v>23.86</v>
      </c>
      <c r="N35" s="75">
        <f t="shared" si="9"/>
        <v>9544</v>
      </c>
      <c r="O35" s="76">
        <v>43245</v>
      </c>
      <c r="P35" s="86">
        <v>44407</v>
      </c>
      <c r="Q35" s="11" t="s">
        <v>159</v>
      </c>
      <c r="R35" s="11">
        <v>400</v>
      </c>
      <c r="S35" s="11">
        <v>20.95</v>
      </c>
      <c r="T35" s="11">
        <f t="shared" si="8"/>
        <v>8380</v>
      </c>
      <c r="U35" s="8"/>
      <c r="V35" s="78"/>
    </row>
    <row r="36" spans="1:22" s="75" customFormat="1" x14ac:dyDescent="0.25">
      <c r="A36" s="35">
        <v>43952</v>
      </c>
      <c r="B36" s="28">
        <f t="shared" si="4"/>
        <v>425908.8257750792</v>
      </c>
      <c r="C36" s="28">
        <v>0</v>
      </c>
      <c r="D36" s="29">
        <v>0.01</v>
      </c>
      <c r="E36" s="29">
        <f t="shared" si="5"/>
        <v>4259.0882577507919</v>
      </c>
      <c r="F36" s="30"/>
      <c r="G36" s="28">
        <f t="shared" si="6"/>
        <v>430167.91403282998</v>
      </c>
      <c r="H36" s="72"/>
      <c r="I36" s="72"/>
      <c r="J36" s="73"/>
      <c r="K36" s="74" t="s">
        <v>6</v>
      </c>
      <c r="L36" s="75">
        <v>100</v>
      </c>
      <c r="M36" s="75">
        <v>11.81</v>
      </c>
      <c r="N36" s="75">
        <f t="shared" si="9"/>
        <v>1181</v>
      </c>
      <c r="O36" s="76">
        <v>43246</v>
      </c>
      <c r="P36" s="86">
        <v>44330</v>
      </c>
      <c r="Q36" s="11" t="s">
        <v>88</v>
      </c>
      <c r="R36" s="11">
        <v>1000</v>
      </c>
      <c r="S36" s="11">
        <v>17.23</v>
      </c>
      <c r="T36" s="11">
        <f t="shared" si="8"/>
        <v>17230</v>
      </c>
      <c r="U36" s="78"/>
      <c r="V36" s="78"/>
    </row>
    <row r="37" spans="1:22" s="75" customFormat="1" x14ac:dyDescent="0.25">
      <c r="A37" s="35">
        <v>43983</v>
      </c>
      <c r="B37" s="28">
        <f t="shared" si="4"/>
        <v>430167.91403282998</v>
      </c>
      <c r="C37" s="28">
        <v>0</v>
      </c>
      <c r="D37" s="29">
        <v>0.01</v>
      </c>
      <c r="E37" s="29">
        <f t="shared" si="5"/>
        <v>4301.6791403282996</v>
      </c>
      <c r="F37" s="30"/>
      <c r="G37" s="28">
        <f t="shared" si="6"/>
        <v>434469.5931731583</v>
      </c>
      <c r="H37" s="72"/>
      <c r="I37" s="72"/>
      <c r="J37" s="73"/>
      <c r="K37" s="74" t="s">
        <v>7</v>
      </c>
      <c r="L37" s="75">
        <v>500</v>
      </c>
      <c r="M37" s="75">
        <v>18</v>
      </c>
      <c r="N37" s="75">
        <f t="shared" si="9"/>
        <v>9000</v>
      </c>
      <c r="O37" s="76">
        <v>43248</v>
      </c>
      <c r="P37" s="86">
        <v>44407</v>
      </c>
      <c r="Q37" s="11" t="s">
        <v>126</v>
      </c>
      <c r="R37" s="11">
        <v>5900</v>
      </c>
      <c r="S37" s="11">
        <v>1.19</v>
      </c>
      <c r="T37" s="11">
        <f t="shared" si="8"/>
        <v>7021</v>
      </c>
      <c r="U37" s="11">
        <v>7021</v>
      </c>
      <c r="V37" s="78"/>
    </row>
    <row r="38" spans="1:22" s="75" customFormat="1" x14ac:dyDescent="0.25">
      <c r="A38" s="35">
        <v>44013</v>
      </c>
      <c r="B38" s="28">
        <f t="shared" si="4"/>
        <v>434469.5931731583</v>
      </c>
      <c r="C38" s="28">
        <v>0</v>
      </c>
      <c r="D38" s="29">
        <v>0.01</v>
      </c>
      <c r="E38" s="29">
        <f t="shared" si="5"/>
        <v>4344.6959317315832</v>
      </c>
      <c r="F38" s="30"/>
      <c r="G38" s="28">
        <f t="shared" si="6"/>
        <v>438814.2891048899</v>
      </c>
      <c r="H38" s="72"/>
      <c r="I38" s="72"/>
      <c r="J38" s="73"/>
      <c r="K38" s="74" t="s">
        <v>76</v>
      </c>
      <c r="L38" s="75">
        <v>500</v>
      </c>
      <c r="M38" s="75">
        <v>23.5</v>
      </c>
      <c r="N38" s="75">
        <f t="shared" si="9"/>
        <v>11750</v>
      </c>
      <c r="O38" s="76">
        <v>43248</v>
      </c>
      <c r="P38" s="86">
        <v>44349</v>
      </c>
      <c r="Q38" s="85" t="s">
        <v>159</v>
      </c>
      <c r="R38" s="85">
        <v>800</v>
      </c>
      <c r="S38" s="85">
        <v>23.85</v>
      </c>
      <c r="T38" s="85">
        <f t="shared" si="8"/>
        <v>19080</v>
      </c>
      <c r="U38" s="78"/>
      <c r="V38" s="78"/>
    </row>
    <row r="39" spans="1:22" s="75" customFormat="1" x14ac:dyDescent="0.25">
      <c r="A39" s="35">
        <v>44044</v>
      </c>
      <c r="B39" s="28">
        <f t="shared" si="4"/>
        <v>438814.2891048899</v>
      </c>
      <c r="C39" s="28">
        <v>0</v>
      </c>
      <c r="D39" s="29">
        <v>0.01</v>
      </c>
      <c r="E39" s="29">
        <f t="shared" si="5"/>
        <v>4388.1428910488994</v>
      </c>
      <c r="F39" s="30"/>
      <c r="G39" s="28">
        <f t="shared" si="6"/>
        <v>443202.43199593882</v>
      </c>
      <c r="H39" s="72"/>
      <c r="I39" s="72"/>
      <c r="J39" s="73"/>
      <c r="K39" s="74" t="s">
        <v>5</v>
      </c>
      <c r="L39" s="75">
        <v>300</v>
      </c>
      <c r="M39" s="75">
        <v>25.89</v>
      </c>
      <c r="N39" s="75">
        <f t="shared" si="9"/>
        <v>7767</v>
      </c>
      <c r="O39" s="76">
        <v>43250</v>
      </c>
      <c r="Q39" s="77"/>
      <c r="R39" s="77"/>
      <c r="S39" s="77"/>
      <c r="T39" s="77"/>
      <c r="U39" s="78"/>
      <c r="V39" s="78"/>
    </row>
    <row r="40" spans="1:22" s="75" customFormat="1" x14ac:dyDescent="0.25">
      <c r="A40" s="35">
        <v>44075</v>
      </c>
      <c r="B40" s="28">
        <f t="shared" si="4"/>
        <v>443202.43199593882</v>
      </c>
      <c r="C40" s="28">
        <v>0</v>
      </c>
      <c r="D40" s="29">
        <v>0.01</v>
      </c>
      <c r="E40" s="29">
        <f t="shared" si="5"/>
        <v>4432.0243199593888</v>
      </c>
      <c r="F40" s="30"/>
      <c r="G40" s="28">
        <f t="shared" si="6"/>
        <v>447634.45631589822</v>
      </c>
      <c r="H40" s="72"/>
      <c r="I40" s="72"/>
      <c r="J40" s="73"/>
      <c r="K40" s="74" t="s">
        <v>39</v>
      </c>
      <c r="L40" s="75">
        <v>400</v>
      </c>
      <c r="M40" s="75">
        <v>25.85</v>
      </c>
      <c r="N40" s="75">
        <f t="shared" si="9"/>
        <v>10340</v>
      </c>
      <c r="O40" s="76">
        <v>43250</v>
      </c>
      <c r="Q40" s="77"/>
      <c r="R40" s="77"/>
      <c r="S40" s="77"/>
      <c r="T40" s="77"/>
      <c r="U40" s="78"/>
      <c r="V40" s="78"/>
    </row>
    <row r="41" spans="1:22" s="75" customFormat="1" x14ac:dyDescent="0.25">
      <c r="A41" s="35">
        <v>44105</v>
      </c>
      <c r="B41" s="28">
        <f t="shared" si="4"/>
        <v>447634.45631589822</v>
      </c>
      <c r="C41" s="28">
        <v>0</v>
      </c>
      <c r="D41" s="29">
        <v>0.01</v>
      </c>
      <c r="E41" s="29">
        <f t="shared" si="5"/>
        <v>4476.3445631589821</v>
      </c>
      <c r="F41" s="30"/>
      <c r="G41" s="28">
        <f t="shared" si="6"/>
        <v>452110.80087905721</v>
      </c>
      <c r="H41" s="72"/>
      <c r="I41" s="72"/>
      <c r="J41" s="73"/>
      <c r="K41" s="74" t="s">
        <v>6</v>
      </c>
      <c r="L41" s="75">
        <v>300</v>
      </c>
      <c r="M41" s="75">
        <v>9.4</v>
      </c>
      <c r="N41" s="75">
        <f t="shared" si="9"/>
        <v>2820</v>
      </c>
      <c r="O41" s="76">
        <v>43333</v>
      </c>
      <c r="Q41" s="77"/>
      <c r="R41" s="77"/>
      <c r="S41" s="77"/>
      <c r="T41" s="77"/>
      <c r="U41" s="78"/>
      <c r="V41" s="78"/>
    </row>
    <row r="42" spans="1:22" s="75" customFormat="1" x14ac:dyDescent="0.25">
      <c r="A42" s="35">
        <v>44136</v>
      </c>
      <c r="B42" s="28">
        <f t="shared" si="4"/>
        <v>452110.80087905721</v>
      </c>
      <c r="C42" s="28">
        <v>0</v>
      </c>
      <c r="D42" s="29">
        <v>0.01</v>
      </c>
      <c r="E42" s="29">
        <f t="shared" si="5"/>
        <v>4521.1080087905721</v>
      </c>
      <c r="F42" s="30"/>
      <c r="G42" s="28">
        <f t="shared" si="6"/>
        <v>456631.90888784779</v>
      </c>
      <c r="H42" s="72"/>
      <c r="I42" s="72"/>
      <c r="J42" s="73"/>
      <c r="K42" s="74" t="s">
        <v>88</v>
      </c>
      <c r="L42" s="75">
        <v>200</v>
      </c>
      <c r="M42" s="75">
        <v>18.11</v>
      </c>
      <c r="N42" s="75">
        <f t="shared" si="9"/>
        <v>3622</v>
      </c>
      <c r="O42" s="76">
        <v>43373</v>
      </c>
      <c r="Q42" s="77"/>
      <c r="R42" s="77"/>
      <c r="S42" s="77"/>
      <c r="T42" s="77"/>
      <c r="U42" s="78"/>
      <c r="V42" s="78"/>
    </row>
    <row r="43" spans="1:22" s="75" customFormat="1" x14ac:dyDescent="0.25">
      <c r="A43" s="35">
        <v>44166</v>
      </c>
      <c r="B43" s="28">
        <f t="shared" si="4"/>
        <v>456631.90888784779</v>
      </c>
      <c r="C43" s="28">
        <v>0</v>
      </c>
      <c r="D43" s="29">
        <v>0.01</v>
      </c>
      <c r="E43" s="29">
        <f t="shared" si="5"/>
        <v>4566.3190888784784</v>
      </c>
      <c r="F43" s="30"/>
      <c r="G43" s="28">
        <f t="shared" si="6"/>
        <v>461198.22797672625</v>
      </c>
      <c r="H43" s="72"/>
      <c r="I43" s="72"/>
      <c r="J43" s="73"/>
      <c r="K43" s="74" t="s">
        <v>88</v>
      </c>
      <c r="L43" s="75">
        <v>200</v>
      </c>
      <c r="M43" s="75">
        <v>16.07</v>
      </c>
      <c r="N43" s="75">
        <f t="shared" si="9"/>
        <v>3214</v>
      </c>
      <c r="O43" s="76">
        <v>43404</v>
      </c>
      <c r="Q43" s="77"/>
      <c r="R43" s="77"/>
      <c r="S43" s="77"/>
      <c r="T43" s="77"/>
      <c r="U43" s="78"/>
      <c r="V43" s="78"/>
    </row>
    <row r="44" spans="1:22" s="75" customFormat="1" x14ac:dyDescent="0.25">
      <c r="A44" s="35">
        <v>44197</v>
      </c>
      <c r="B44" s="28">
        <f t="shared" si="4"/>
        <v>461198.22797672625</v>
      </c>
      <c r="C44" s="28">
        <v>0</v>
      </c>
      <c r="D44" s="29">
        <v>0.01</v>
      </c>
      <c r="E44" s="29">
        <f t="shared" si="5"/>
        <v>4611.9822797672623</v>
      </c>
      <c r="F44" s="30"/>
      <c r="G44" s="28">
        <f t="shared" si="6"/>
        <v>465810.21025649353</v>
      </c>
      <c r="H44" s="72"/>
      <c r="I44" s="72"/>
      <c r="J44" s="73"/>
      <c r="K44" s="74" t="s">
        <v>88</v>
      </c>
      <c r="L44" s="75">
        <v>600</v>
      </c>
      <c r="M44" s="75">
        <v>16.2</v>
      </c>
      <c r="N44" s="75">
        <f t="shared" si="9"/>
        <v>9720</v>
      </c>
      <c r="O44" s="76">
        <v>43412</v>
      </c>
      <c r="Q44" s="77"/>
      <c r="R44" s="77"/>
      <c r="S44" s="77"/>
      <c r="T44" s="77"/>
      <c r="U44" s="78"/>
      <c r="V44" s="78"/>
    </row>
    <row r="45" spans="1:22" s="75" customFormat="1" x14ac:dyDescent="0.25">
      <c r="A45" s="35">
        <v>44228</v>
      </c>
      <c r="B45" s="28">
        <f t="shared" si="4"/>
        <v>465810.21025649353</v>
      </c>
      <c r="C45" s="28">
        <v>0</v>
      </c>
      <c r="D45" s="29">
        <v>0.01</v>
      </c>
      <c r="E45" s="29">
        <f t="shared" si="5"/>
        <v>4658.1021025649352</v>
      </c>
      <c r="F45" s="30"/>
      <c r="G45" s="28">
        <f t="shared" si="6"/>
        <v>470468.31235905847</v>
      </c>
      <c r="H45" s="72"/>
      <c r="I45" s="72"/>
      <c r="J45" s="73"/>
      <c r="K45" s="74" t="s">
        <v>74</v>
      </c>
      <c r="L45" s="75">
        <v>400</v>
      </c>
      <c r="M45" s="75">
        <v>10.82</v>
      </c>
      <c r="N45" s="75">
        <f t="shared" si="9"/>
        <v>4328</v>
      </c>
      <c r="O45" s="76">
        <v>43412</v>
      </c>
      <c r="Q45" s="77"/>
      <c r="R45" s="77"/>
      <c r="S45" s="77"/>
      <c r="T45" s="77"/>
      <c r="U45" s="78"/>
      <c r="V45" s="78"/>
    </row>
    <row r="46" spans="1:22" s="75" customFormat="1" x14ac:dyDescent="0.25">
      <c r="A46" s="35">
        <v>44256</v>
      </c>
      <c r="B46" s="28">
        <f t="shared" si="4"/>
        <v>470468.31235905847</v>
      </c>
      <c r="C46" s="28">
        <v>60000</v>
      </c>
      <c r="D46" s="29">
        <v>0.01</v>
      </c>
      <c r="E46" s="29">
        <f t="shared" si="5"/>
        <v>4704.6831235905847</v>
      </c>
      <c r="F46" s="30"/>
      <c r="G46" s="28">
        <f t="shared" si="6"/>
        <v>535172.99548264907</v>
      </c>
      <c r="H46" s="72"/>
      <c r="I46" s="72"/>
      <c r="J46" s="73"/>
      <c r="K46" s="74" t="s">
        <v>95</v>
      </c>
      <c r="L46" s="75">
        <v>300</v>
      </c>
      <c r="M46" s="75">
        <v>18.79</v>
      </c>
      <c r="N46" s="75">
        <f t="shared" si="9"/>
        <v>5637</v>
      </c>
      <c r="O46" s="76">
        <v>43412</v>
      </c>
      <c r="Q46" s="77"/>
      <c r="R46" s="77"/>
      <c r="S46" s="77"/>
      <c r="T46" s="77"/>
      <c r="U46" s="78"/>
      <c r="V46" s="78"/>
    </row>
    <row r="47" spans="1:22" x14ac:dyDescent="0.25">
      <c r="A47" s="35">
        <v>44287</v>
      </c>
      <c r="B47" s="28">
        <f t="shared" si="4"/>
        <v>535172.99548264907</v>
      </c>
      <c r="C47" s="28">
        <v>0</v>
      </c>
      <c r="D47" s="29">
        <v>0.01</v>
      </c>
      <c r="E47" s="29">
        <f t="shared" si="5"/>
        <v>5351.7299548264909</v>
      </c>
      <c r="F47" s="30"/>
      <c r="G47" s="28">
        <f t="shared" si="6"/>
        <v>540524.7254374756</v>
      </c>
      <c r="H47" s="72"/>
      <c r="I47" s="72"/>
      <c r="J47" s="73"/>
      <c r="K47" s="22" t="s">
        <v>96</v>
      </c>
      <c r="L47">
        <v>200</v>
      </c>
      <c r="M47">
        <v>43.74</v>
      </c>
      <c r="N47">
        <f t="shared" si="9"/>
        <v>8748</v>
      </c>
      <c r="O47" s="23">
        <v>43412</v>
      </c>
    </row>
    <row r="48" spans="1:22" x14ac:dyDescent="0.25">
      <c r="A48" s="35">
        <v>44317</v>
      </c>
      <c r="B48" s="28">
        <f t="shared" si="4"/>
        <v>540524.7254374756</v>
      </c>
      <c r="C48" s="28">
        <v>0</v>
      </c>
      <c r="D48" s="29">
        <v>0.01</v>
      </c>
      <c r="E48" s="29">
        <f t="shared" si="5"/>
        <v>5405.2472543747563</v>
      </c>
      <c r="F48" s="30"/>
      <c r="G48" s="28">
        <f t="shared" si="6"/>
        <v>545929.97269185039</v>
      </c>
      <c r="H48" s="72"/>
      <c r="I48" s="72"/>
      <c r="J48" s="73"/>
      <c r="K48" s="22" t="s">
        <v>96</v>
      </c>
      <c r="L48">
        <v>200</v>
      </c>
      <c r="M48">
        <v>40</v>
      </c>
      <c r="N48">
        <f t="shared" si="9"/>
        <v>8000</v>
      </c>
      <c r="O48" s="23">
        <v>43420</v>
      </c>
    </row>
    <row r="49" spans="1:15" x14ac:dyDescent="0.25">
      <c r="A49" s="35">
        <v>44348</v>
      </c>
      <c r="B49" s="28">
        <f t="shared" si="4"/>
        <v>545929.97269185039</v>
      </c>
      <c r="C49" s="28">
        <v>0</v>
      </c>
      <c r="D49" s="29">
        <v>0.01</v>
      </c>
      <c r="E49" s="29">
        <f t="shared" si="5"/>
        <v>5459.2997269185043</v>
      </c>
      <c r="F49" s="30"/>
      <c r="G49" s="28">
        <f t="shared" si="6"/>
        <v>551389.27241876884</v>
      </c>
      <c r="H49" s="72"/>
      <c r="I49" s="72"/>
      <c r="J49" s="73"/>
      <c r="K49" s="22" t="s">
        <v>95</v>
      </c>
      <c r="L49">
        <v>200</v>
      </c>
      <c r="M49">
        <v>17.600000000000001</v>
      </c>
      <c r="N49">
        <f t="shared" si="9"/>
        <v>3520.0000000000005</v>
      </c>
      <c r="O49" s="23">
        <v>43444</v>
      </c>
    </row>
    <row r="50" spans="1:15" x14ac:dyDescent="0.25">
      <c r="A50" s="35">
        <v>44378</v>
      </c>
      <c r="B50" s="28">
        <f t="shared" si="4"/>
        <v>551389.27241876884</v>
      </c>
      <c r="C50" s="28">
        <v>0</v>
      </c>
      <c r="D50" s="29">
        <v>0.01</v>
      </c>
      <c r="E50" s="29">
        <f t="shared" si="5"/>
        <v>5513.8927241876881</v>
      </c>
      <c r="F50" s="30"/>
      <c r="G50" s="28">
        <f t="shared" si="6"/>
        <v>556903.16514295654</v>
      </c>
      <c r="H50" s="72"/>
      <c r="I50" s="72"/>
      <c r="J50" s="73"/>
      <c r="K50" s="22" t="s">
        <v>74</v>
      </c>
      <c r="L50">
        <v>400</v>
      </c>
      <c r="M50">
        <v>8.6199999999999992</v>
      </c>
      <c r="N50">
        <f t="shared" si="9"/>
        <v>3447.9999999999995</v>
      </c>
      <c r="O50" s="23">
        <v>43454</v>
      </c>
    </row>
    <row r="51" spans="1:15" x14ac:dyDescent="0.25">
      <c r="A51" s="35">
        <v>44409</v>
      </c>
      <c r="B51" s="28">
        <f t="shared" si="4"/>
        <v>556903.16514295654</v>
      </c>
      <c r="C51" s="28">
        <v>-82517.95</v>
      </c>
      <c r="D51" s="29">
        <v>0.01</v>
      </c>
      <c r="E51" s="29">
        <f t="shared" si="5"/>
        <v>5569.0316514295655</v>
      </c>
      <c r="F51" s="30"/>
      <c r="G51" s="28">
        <f t="shared" si="6"/>
        <v>479954.24679438607</v>
      </c>
      <c r="H51" s="72"/>
      <c r="I51" s="72"/>
      <c r="J51" s="73"/>
      <c r="K51" s="22" t="s">
        <v>123</v>
      </c>
      <c r="L51">
        <v>300</v>
      </c>
      <c r="M51">
        <v>42.75</v>
      </c>
      <c r="N51">
        <f t="shared" si="9"/>
        <v>12825</v>
      </c>
      <c r="O51" s="23">
        <v>43516</v>
      </c>
    </row>
    <row r="52" spans="1:15" x14ac:dyDescent="0.25">
      <c r="A52" s="35">
        <v>44440</v>
      </c>
      <c r="B52" s="28">
        <f t="shared" si="4"/>
        <v>479954.24679438607</v>
      </c>
      <c r="C52" s="28">
        <v>10000</v>
      </c>
      <c r="D52" s="29">
        <v>0.01</v>
      </c>
      <c r="E52" s="29">
        <f t="shared" si="5"/>
        <v>4799.5424679438611</v>
      </c>
      <c r="F52" s="30"/>
      <c r="G52" s="28">
        <f t="shared" si="6"/>
        <v>494753.78926232993</v>
      </c>
      <c r="H52" s="72"/>
      <c r="I52" s="72"/>
      <c r="J52" s="73"/>
      <c r="K52" s="22" t="s">
        <v>124</v>
      </c>
      <c r="L52">
        <v>300</v>
      </c>
      <c r="M52">
        <v>20.6</v>
      </c>
      <c r="N52">
        <f t="shared" si="9"/>
        <v>6180</v>
      </c>
      <c r="O52" s="23">
        <v>43516</v>
      </c>
    </row>
    <row r="53" spans="1:15" x14ac:dyDescent="0.25">
      <c r="A53" s="35">
        <v>44470</v>
      </c>
      <c r="B53" s="28">
        <f t="shared" si="4"/>
        <v>494753.78926232993</v>
      </c>
      <c r="C53" s="28">
        <v>0</v>
      </c>
      <c r="D53" s="29">
        <v>0.01</v>
      </c>
      <c r="E53" s="29">
        <f t="shared" si="5"/>
        <v>4947.5378926232997</v>
      </c>
      <c r="F53" s="30"/>
      <c r="G53" s="28">
        <f t="shared" si="6"/>
        <v>499701.32715495321</v>
      </c>
      <c r="H53" s="72"/>
      <c r="I53" s="72"/>
      <c r="J53" s="73"/>
      <c r="K53" s="22" t="s">
        <v>123</v>
      </c>
      <c r="L53">
        <v>100</v>
      </c>
      <c r="M53">
        <v>41.59</v>
      </c>
      <c r="N53">
        <f t="shared" si="9"/>
        <v>4159</v>
      </c>
      <c r="O53" s="23">
        <v>43522</v>
      </c>
    </row>
    <row r="54" spans="1:15" x14ac:dyDescent="0.25">
      <c r="A54" s="35">
        <v>44501</v>
      </c>
      <c r="B54" s="28">
        <f t="shared" si="4"/>
        <v>499701.32715495321</v>
      </c>
      <c r="C54" s="28">
        <v>0</v>
      </c>
      <c r="D54" s="29">
        <v>0.01</v>
      </c>
      <c r="E54" s="29">
        <f t="shared" si="5"/>
        <v>4997.013271549532</v>
      </c>
      <c r="F54" s="30"/>
      <c r="G54" s="28">
        <f t="shared" si="6"/>
        <v>504698.34042650275</v>
      </c>
      <c r="H54" s="72"/>
      <c r="I54" s="72"/>
      <c r="J54" s="73"/>
      <c r="K54" s="22" t="s">
        <v>94</v>
      </c>
      <c r="L54">
        <v>400</v>
      </c>
      <c r="M54">
        <v>18.350000000000001</v>
      </c>
      <c r="N54">
        <f t="shared" si="9"/>
        <v>7340.0000000000009</v>
      </c>
      <c r="O54" s="23">
        <v>43522</v>
      </c>
    </row>
    <row r="55" spans="1:15" x14ac:dyDescent="0.25">
      <c r="A55" s="35">
        <v>44531</v>
      </c>
      <c r="B55" s="28">
        <f t="shared" si="4"/>
        <v>504698.34042650275</v>
      </c>
      <c r="C55" s="28">
        <v>10000</v>
      </c>
      <c r="D55" s="29">
        <v>0.01</v>
      </c>
      <c r="E55" s="29">
        <f t="shared" si="5"/>
        <v>5046.9834042650273</v>
      </c>
      <c r="F55" s="30"/>
      <c r="G55" s="28">
        <f t="shared" si="6"/>
        <v>519745.32383076777</v>
      </c>
      <c r="H55" s="72"/>
      <c r="I55" s="72"/>
      <c r="J55" s="73"/>
      <c r="K55" s="22" t="s">
        <v>124</v>
      </c>
      <c r="L55">
        <v>500</v>
      </c>
      <c r="M55">
        <v>20.09</v>
      </c>
      <c r="N55">
        <f t="shared" si="9"/>
        <v>10045</v>
      </c>
      <c r="O55" s="23">
        <v>43524</v>
      </c>
    </row>
    <row r="56" spans="1:15" x14ac:dyDescent="0.25">
      <c r="A56" s="35">
        <v>44562</v>
      </c>
      <c r="B56" s="28">
        <f t="shared" si="4"/>
        <v>519745.32383076777</v>
      </c>
      <c r="C56" s="28">
        <v>100000</v>
      </c>
      <c r="D56" s="29">
        <v>0.01</v>
      </c>
      <c r="E56" s="29">
        <f t="shared" si="5"/>
        <v>5197.4532383076776</v>
      </c>
      <c r="F56" s="30"/>
      <c r="G56" s="28">
        <f t="shared" si="6"/>
        <v>624942.7770690755</v>
      </c>
      <c r="H56" s="69"/>
      <c r="I56" s="69"/>
      <c r="J56" s="27"/>
      <c r="K56" s="22" t="s">
        <v>96</v>
      </c>
      <c r="L56">
        <v>100</v>
      </c>
      <c r="M56">
        <v>38.659999999999997</v>
      </c>
      <c r="N56">
        <f t="shared" si="9"/>
        <v>3865.9999999999995</v>
      </c>
      <c r="O56" s="23">
        <v>43595</v>
      </c>
    </row>
    <row r="57" spans="1:15" x14ac:dyDescent="0.25">
      <c r="A57" s="35">
        <v>44593</v>
      </c>
      <c r="B57" s="28">
        <f t="shared" si="4"/>
        <v>624942.7770690755</v>
      </c>
      <c r="C57" s="28">
        <v>3000</v>
      </c>
      <c r="D57" s="29">
        <v>0.01</v>
      </c>
      <c r="E57" s="29">
        <f t="shared" si="5"/>
        <v>6249.4277706907551</v>
      </c>
      <c r="F57" s="30"/>
      <c r="G57" s="28">
        <f t="shared" si="6"/>
        <v>634192.20483976626</v>
      </c>
      <c r="H57" s="69"/>
      <c r="I57" s="69"/>
      <c r="J57" s="27"/>
      <c r="K57" s="22" t="s">
        <v>6</v>
      </c>
      <c r="L57">
        <v>400</v>
      </c>
      <c r="M57">
        <v>11.96</v>
      </c>
      <c r="N57">
        <f t="shared" ref="N57:N60" si="10">(L57*M57)</f>
        <v>4784</v>
      </c>
      <c r="O57" s="23">
        <v>43704</v>
      </c>
    </row>
    <row r="58" spans="1:15" x14ac:dyDescent="0.25">
      <c r="A58" s="35">
        <v>44621</v>
      </c>
      <c r="B58" s="28">
        <f t="shared" si="4"/>
        <v>634192.20483976626</v>
      </c>
      <c r="C58" s="28">
        <v>2000</v>
      </c>
      <c r="D58" s="29">
        <v>0.01</v>
      </c>
      <c r="E58" s="29">
        <f t="shared" si="5"/>
        <v>6341.9220483976624</v>
      </c>
      <c r="F58" s="30"/>
      <c r="G58" s="28">
        <f t="shared" si="6"/>
        <v>642534.12688816397</v>
      </c>
      <c r="H58" s="69"/>
      <c r="I58" s="69"/>
      <c r="J58" s="27"/>
      <c r="K58" s="22" t="s">
        <v>7</v>
      </c>
      <c r="L58">
        <v>500</v>
      </c>
      <c r="M58">
        <v>27.87</v>
      </c>
      <c r="N58">
        <f t="shared" si="10"/>
        <v>13935</v>
      </c>
      <c r="O58" s="23">
        <v>43752</v>
      </c>
    </row>
    <row r="59" spans="1:15" x14ac:dyDescent="0.25">
      <c r="A59" s="35">
        <v>44652</v>
      </c>
      <c r="B59" s="28">
        <f t="shared" si="4"/>
        <v>642534.12688816397</v>
      </c>
      <c r="C59" s="28">
        <v>2000</v>
      </c>
      <c r="D59" s="29">
        <v>0.01</v>
      </c>
      <c r="E59" s="29">
        <f t="shared" si="5"/>
        <v>6425.3412688816397</v>
      </c>
      <c r="F59" s="30"/>
      <c r="G59" s="28">
        <f t="shared" si="6"/>
        <v>650959.46815704566</v>
      </c>
      <c r="H59" s="69"/>
      <c r="I59" s="69"/>
      <c r="J59" s="27"/>
      <c r="K59" s="22" t="s">
        <v>7</v>
      </c>
      <c r="L59">
        <v>200</v>
      </c>
      <c r="M59">
        <v>27.86</v>
      </c>
      <c r="N59">
        <f t="shared" si="10"/>
        <v>5572</v>
      </c>
      <c r="O59" s="23">
        <v>43790</v>
      </c>
    </row>
    <row r="60" spans="1:15" x14ac:dyDescent="0.25">
      <c r="A60" s="35">
        <v>44682</v>
      </c>
      <c r="B60" s="28">
        <f>(G59)</f>
        <v>650959.46815704566</v>
      </c>
      <c r="C60" s="28">
        <v>15100</v>
      </c>
      <c r="D60" s="29">
        <v>0.01</v>
      </c>
      <c r="E60" s="29">
        <f t="shared" si="5"/>
        <v>6509.5946815704565</v>
      </c>
      <c r="F60" s="30"/>
      <c r="G60" s="28">
        <f>(G59+C60+E60+F60)</f>
        <v>672569.06283861608</v>
      </c>
      <c r="H60" s="69"/>
      <c r="I60" s="69"/>
      <c r="J60" s="27"/>
      <c r="K60" s="22" t="s">
        <v>160</v>
      </c>
      <c r="L60">
        <v>300</v>
      </c>
      <c r="M60">
        <v>28.62</v>
      </c>
      <c r="N60">
        <f t="shared" si="10"/>
        <v>8586</v>
      </c>
      <c r="O60" s="23">
        <v>44253</v>
      </c>
    </row>
    <row r="61" spans="1:15" x14ac:dyDescent="0.25">
      <c r="A61" s="35">
        <v>44713</v>
      </c>
      <c r="B61" s="28">
        <f t="shared" si="4"/>
        <v>672569.06283861608</v>
      </c>
      <c r="C61" s="28">
        <v>13000</v>
      </c>
      <c r="D61" s="29">
        <v>0.01</v>
      </c>
      <c r="E61" s="29">
        <f t="shared" si="5"/>
        <v>6725.6906283861608</v>
      </c>
      <c r="F61" s="30"/>
      <c r="G61" s="28">
        <f t="shared" si="6"/>
        <v>692294.75346700219</v>
      </c>
      <c r="H61" s="69"/>
      <c r="I61" s="69"/>
      <c r="J61" s="27"/>
      <c r="K61" s="22" t="s">
        <v>160</v>
      </c>
      <c r="L61">
        <v>200</v>
      </c>
      <c r="M61">
        <v>24.52</v>
      </c>
      <c r="N61">
        <f>(L61*M61)</f>
        <v>4904</v>
      </c>
      <c r="O61" s="23">
        <v>43945</v>
      </c>
    </row>
    <row r="62" spans="1:15" x14ac:dyDescent="0.25">
      <c r="A62" s="35">
        <v>44743</v>
      </c>
      <c r="B62" s="28">
        <f t="shared" si="4"/>
        <v>692294.75346700219</v>
      </c>
      <c r="C62" s="28">
        <v>0</v>
      </c>
      <c r="D62" s="29">
        <v>0.01</v>
      </c>
      <c r="E62" s="29">
        <f t="shared" si="5"/>
        <v>6922.9475346700219</v>
      </c>
      <c r="F62" s="30"/>
      <c r="G62" s="28">
        <f t="shared" si="6"/>
        <v>699217.70100167219</v>
      </c>
      <c r="H62" s="69"/>
      <c r="I62" s="69"/>
      <c r="J62" s="27"/>
      <c r="K62" s="22" t="s">
        <v>160</v>
      </c>
      <c r="L62">
        <v>300</v>
      </c>
      <c r="M62">
        <v>25.44</v>
      </c>
      <c r="N62">
        <f>(L62*M62)</f>
        <v>7632</v>
      </c>
      <c r="O62" s="23">
        <v>43908</v>
      </c>
    </row>
    <row r="63" spans="1:15" x14ac:dyDescent="0.25">
      <c r="A63" s="35">
        <v>44774</v>
      </c>
      <c r="B63" s="28">
        <f t="shared" si="4"/>
        <v>699217.70100167219</v>
      </c>
      <c r="C63" s="28">
        <v>12000</v>
      </c>
      <c r="D63" s="29">
        <v>0.01</v>
      </c>
      <c r="E63" s="29">
        <f t="shared" si="5"/>
        <v>6992.1770100167223</v>
      </c>
      <c r="F63" s="30"/>
      <c r="G63" s="28">
        <f t="shared" si="6"/>
        <v>718209.87801168894</v>
      </c>
      <c r="H63" s="69"/>
      <c r="I63" s="69"/>
      <c r="J63" s="27"/>
      <c r="K63" s="22" t="s">
        <v>123</v>
      </c>
      <c r="L63">
        <v>300</v>
      </c>
      <c r="M63">
        <v>38.869999999999997</v>
      </c>
      <c r="N63">
        <f>(L63*M63)</f>
        <v>11661</v>
      </c>
      <c r="O63" s="23">
        <v>44265</v>
      </c>
    </row>
    <row r="64" spans="1:15" x14ac:dyDescent="0.25">
      <c r="A64" s="35">
        <v>44805</v>
      </c>
      <c r="B64" s="28">
        <f t="shared" si="4"/>
        <v>718209.87801168894</v>
      </c>
      <c r="C64" s="28">
        <v>0</v>
      </c>
      <c r="D64" s="29">
        <v>0.01</v>
      </c>
      <c r="E64" s="29">
        <f t="shared" si="5"/>
        <v>7182.0987801168894</v>
      </c>
      <c r="F64" s="30"/>
      <c r="G64" s="28">
        <f t="shared" si="6"/>
        <v>725391.97679180582</v>
      </c>
      <c r="H64" s="69"/>
      <c r="I64" s="69"/>
      <c r="J64" s="27"/>
    </row>
    <row r="65" spans="1:11" x14ac:dyDescent="0.25">
      <c r="A65" s="35">
        <v>44835</v>
      </c>
      <c r="B65" s="28">
        <f t="shared" si="4"/>
        <v>725391.97679180582</v>
      </c>
      <c r="C65" s="28">
        <v>5500</v>
      </c>
      <c r="D65" s="29">
        <v>0.01</v>
      </c>
      <c r="E65" s="29">
        <f t="shared" si="5"/>
        <v>7253.9197679180579</v>
      </c>
      <c r="F65" s="30"/>
      <c r="G65" s="28">
        <f t="shared" si="6"/>
        <v>738145.89655972389</v>
      </c>
      <c r="H65" s="69"/>
      <c r="I65" s="69"/>
      <c r="J65" s="27"/>
    </row>
    <row r="66" spans="1:11" x14ac:dyDescent="0.25">
      <c r="A66" s="35">
        <v>44866</v>
      </c>
      <c r="B66" s="28">
        <f t="shared" si="4"/>
        <v>738145.89655972389</v>
      </c>
      <c r="C66" s="28">
        <v>4000</v>
      </c>
      <c r="D66" s="29">
        <v>0.01</v>
      </c>
      <c r="E66" s="29">
        <f t="shared" si="5"/>
        <v>7381.4589655972386</v>
      </c>
      <c r="F66" s="30"/>
      <c r="G66" s="28">
        <f t="shared" si="6"/>
        <v>749527.35552532109</v>
      </c>
      <c r="H66" s="69"/>
      <c r="I66" s="69"/>
      <c r="J66" s="27"/>
    </row>
    <row r="67" spans="1:11" x14ac:dyDescent="0.25">
      <c r="A67" s="35">
        <v>44896</v>
      </c>
      <c r="B67" s="28">
        <f t="shared" si="4"/>
        <v>749527.35552532109</v>
      </c>
      <c r="C67" s="28">
        <v>6000</v>
      </c>
      <c r="D67" s="29">
        <v>0.01</v>
      </c>
      <c r="E67" s="29">
        <f t="shared" si="5"/>
        <v>7495.2735552532113</v>
      </c>
      <c r="F67" s="30"/>
      <c r="G67" s="28">
        <f t="shared" si="6"/>
        <v>763022.62908057426</v>
      </c>
      <c r="H67" s="69"/>
      <c r="I67" s="69"/>
      <c r="J67" s="27"/>
    </row>
    <row r="68" spans="1:11" x14ac:dyDescent="0.25">
      <c r="A68" s="35">
        <v>44927</v>
      </c>
      <c r="B68" s="28">
        <f t="shared" si="4"/>
        <v>763022.62908057426</v>
      </c>
      <c r="C68" s="28">
        <v>0</v>
      </c>
      <c r="D68" s="29">
        <v>0.01</v>
      </c>
      <c r="E68" s="29">
        <f t="shared" si="5"/>
        <v>7630.2262908057428</v>
      </c>
      <c r="F68" s="30"/>
      <c r="G68" s="28">
        <f t="shared" si="6"/>
        <v>770652.85537137999</v>
      </c>
      <c r="H68" s="69"/>
      <c r="I68" s="69"/>
      <c r="J68" s="27"/>
    </row>
    <row r="69" spans="1:11" x14ac:dyDescent="0.25">
      <c r="A69" s="35">
        <v>44958</v>
      </c>
      <c r="B69" s="28">
        <f t="shared" ref="B69:B127" si="11">(G68)</f>
        <v>770652.85537137999</v>
      </c>
      <c r="C69" s="28">
        <v>32500</v>
      </c>
      <c r="D69" s="29">
        <v>0.01</v>
      </c>
      <c r="E69" s="29">
        <f t="shared" ref="E69:E127" si="12">(B69*D69)</f>
        <v>7706.5285537137997</v>
      </c>
      <c r="F69" s="30"/>
      <c r="G69" s="28">
        <f t="shared" si="6"/>
        <v>810859.3839250938</v>
      </c>
      <c r="H69" s="69"/>
      <c r="I69" s="69"/>
      <c r="J69" s="27"/>
    </row>
    <row r="70" spans="1:11" x14ac:dyDescent="0.25">
      <c r="A70" s="35">
        <v>44986</v>
      </c>
      <c r="B70" s="28">
        <f t="shared" si="11"/>
        <v>810859.3839250938</v>
      </c>
      <c r="C70" s="28">
        <v>29550</v>
      </c>
      <c r="D70" s="29">
        <v>0.01</v>
      </c>
      <c r="E70" s="29">
        <f t="shared" si="12"/>
        <v>8108.5938392509379</v>
      </c>
      <c r="F70" s="30"/>
      <c r="G70" s="28">
        <f t="shared" ref="G70:G127" si="13">(G69+C70+E70+F70)</f>
        <v>848517.97776434477</v>
      </c>
      <c r="H70" s="69"/>
      <c r="I70" s="69"/>
      <c r="J70" s="27"/>
    </row>
    <row r="71" spans="1:11" x14ac:dyDescent="0.25">
      <c r="A71" s="35">
        <v>45017</v>
      </c>
      <c r="B71" s="28">
        <f t="shared" si="11"/>
        <v>848517.97776434477</v>
      </c>
      <c r="C71" s="28">
        <v>0</v>
      </c>
      <c r="D71" s="29">
        <v>0.01</v>
      </c>
      <c r="E71" s="29">
        <f t="shared" si="12"/>
        <v>8485.1797776434487</v>
      </c>
      <c r="F71" s="30"/>
      <c r="G71" s="28">
        <f t="shared" si="13"/>
        <v>857003.15754198818</v>
      </c>
      <c r="H71" s="69"/>
      <c r="I71" s="69"/>
      <c r="J71" s="27"/>
    </row>
    <row r="72" spans="1:11" x14ac:dyDescent="0.25">
      <c r="A72" s="35">
        <v>45047</v>
      </c>
      <c r="B72" s="28">
        <f t="shared" si="11"/>
        <v>857003.15754198818</v>
      </c>
      <c r="C72" s="28">
        <v>27600</v>
      </c>
      <c r="D72" s="29">
        <v>0.01</v>
      </c>
      <c r="E72" s="29">
        <f t="shared" si="12"/>
        <v>8570.0315754198818</v>
      </c>
      <c r="F72" s="30"/>
      <c r="G72" s="28">
        <f t="shared" si="13"/>
        <v>893173.18911740812</v>
      </c>
      <c r="H72" s="69"/>
      <c r="I72" s="69"/>
      <c r="J72" s="27"/>
    </row>
    <row r="73" spans="1:11" x14ac:dyDescent="0.25">
      <c r="A73" s="35">
        <v>45078</v>
      </c>
      <c r="B73" s="28">
        <f t="shared" si="11"/>
        <v>893173.18911740812</v>
      </c>
      <c r="C73" s="28">
        <v>17000</v>
      </c>
      <c r="D73" s="29">
        <v>0.01</v>
      </c>
      <c r="E73" s="29">
        <f t="shared" si="12"/>
        <v>8931.7318911740822</v>
      </c>
      <c r="F73" s="30"/>
      <c r="G73" s="28">
        <f t="shared" si="13"/>
        <v>919104.92100858223</v>
      </c>
      <c r="H73" s="69"/>
      <c r="I73" s="69"/>
      <c r="J73" s="27"/>
    </row>
    <row r="74" spans="1:11" x14ac:dyDescent="0.25">
      <c r="A74" s="35">
        <v>45108</v>
      </c>
      <c r="B74" s="28">
        <f t="shared" si="11"/>
        <v>919104.92100858223</v>
      </c>
      <c r="C74" s="28">
        <v>4000</v>
      </c>
      <c r="D74" s="29">
        <v>0.01</v>
      </c>
      <c r="E74" s="29">
        <f t="shared" si="12"/>
        <v>9191.0492100858228</v>
      </c>
      <c r="F74" s="30"/>
      <c r="G74" s="28">
        <f t="shared" si="13"/>
        <v>932295.97021866799</v>
      </c>
      <c r="H74" s="69"/>
      <c r="I74" s="69"/>
      <c r="J74" s="27"/>
    </row>
    <row r="75" spans="1:11" x14ac:dyDescent="0.25">
      <c r="A75" s="35">
        <v>45139</v>
      </c>
      <c r="B75" s="28">
        <f t="shared" si="11"/>
        <v>932295.97021866799</v>
      </c>
      <c r="C75" s="28">
        <v>4000</v>
      </c>
      <c r="D75" s="29">
        <v>0.01</v>
      </c>
      <c r="E75" s="29">
        <f t="shared" si="12"/>
        <v>9322.9597021866794</v>
      </c>
      <c r="F75" s="30"/>
      <c r="G75" s="28">
        <f t="shared" si="13"/>
        <v>945618.92992085463</v>
      </c>
      <c r="H75" s="69"/>
      <c r="I75" s="69"/>
      <c r="J75" s="73">
        <f>746301.1+145634.23+17000+30876</f>
        <v>939811.33</v>
      </c>
    </row>
    <row r="76" spans="1:11" x14ac:dyDescent="0.25">
      <c r="A76" s="35">
        <v>45170</v>
      </c>
      <c r="B76" s="28">
        <f t="shared" si="11"/>
        <v>945618.92992085463</v>
      </c>
      <c r="C76" s="28">
        <v>4000</v>
      </c>
      <c r="D76" s="29">
        <v>0.01</v>
      </c>
      <c r="E76" s="29">
        <f t="shared" si="12"/>
        <v>9456.1892992085468</v>
      </c>
      <c r="F76" s="30"/>
      <c r="G76" s="28">
        <f t="shared" si="13"/>
        <v>959075.11922006321</v>
      </c>
      <c r="H76" s="69"/>
      <c r="I76" s="69"/>
      <c r="J76" s="73"/>
      <c r="K76" s="51"/>
    </row>
    <row r="77" spans="1:11" x14ac:dyDescent="0.25">
      <c r="A77" s="35">
        <v>45200</v>
      </c>
      <c r="B77" s="28">
        <f t="shared" si="11"/>
        <v>959075.11922006321</v>
      </c>
      <c r="C77" s="28">
        <v>4000</v>
      </c>
      <c r="D77" s="29">
        <v>0.01</v>
      </c>
      <c r="E77" s="29">
        <f t="shared" si="12"/>
        <v>9590.7511922006324</v>
      </c>
      <c r="F77" s="30"/>
      <c r="G77" s="28">
        <f t="shared" si="13"/>
        <v>972665.87041226379</v>
      </c>
      <c r="H77" s="69"/>
      <c r="I77" s="69"/>
      <c r="J77" s="27"/>
      <c r="K77" s="51"/>
    </row>
    <row r="78" spans="1:11" x14ac:dyDescent="0.25">
      <c r="A78" s="35">
        <v>45231</v>
      </c>
      <c r="B78" s="28">
        <f t="shared" si="11"/>
        <v>972665.87041226379</v>
      </c>
      <c r="C78" s="28">
        <v>4000</v>
      </c>
      <c r="D78" s="29">
        <v>0.01</v>
      </c>
      <c r="E78" s="29">
        <f t="shared" si="12"/>
        <v>9726.6587041226376</v>
      </c>
      <c r="F78" s="30"/>
      <c r="G78" s="28">
        <f t="shared" si="13"/>
        <v>986392.52911638643</v>
      </c>
      <c r="H78" s="69"/>
      <c r="I78" s="69"/>
      <c r="J78" s="27"/>
      <c r="K78" s="51"/>
    </row>
    <row r="79" spans="1:11" x14ac:dyDescent="0.25">
      <c r="A79" s="35">
        <v>45261</v>
      </c>
      <c r="B79" s="28">
        <f t="shared" si="11"/>
        <v>986392.52911638643</v>
      </c>
      <c r="C79" s="28">
        <v>31000</v>
      </c>
      <c r="D79" s="29">
        <v>0.01</v>
      </c>
      <c r="E79" s="29">
        <f t="shared" si="12"/>
        <v>9863.925291163865</v>
      </c>
      <c r="F79" s="30"/>
      <c r="G79" s="28">
        <f t="shared" si="13"/>
        <v>1027256.4544075503</v>
      </c>
      <c r="H79" s="69"/>
      <c r="I79" s="69"/>
      <c r="J79" s="27"/>
      <c r="K79" s="51"/>
    </row>
    <row r="80" spans="1:11" x14ac:dyDescent="0.25">
      <c r="A80" s="35">
        <v>45292</v>
      </c>
      <c r="B80" s="28">
        <f t="shared" si="11"/>
        <v>1027256.4544075503</v>
      </c>
      <c r="C80" s="28">
        <v>80000</v>
      </c>
      <c r="D80" s="29">
        <v>0.01</v>
      </c>
      <c r="E80" s="29">
        <f t="shared" si="12"/>
        <v>10272.564544075503</v>
      </c>
      <c r="F80" s="30"/>
      <c r="G80" s="28">
        <f t="shared" si="13"/>
        <v>1117529.0189516258</v>
      </c>
      <c r="H80" s="69"/>
      <c r="I80" s="69"/>
      <c r="J80" s="27"/>
      <c r="K80" s="51"/>
    </row>
    <row r="81" spans="1:11" x14ac:dyDescent="0.25">
      <c r="A81" s="35">
        <v>45323</v>
      </c>
      <c r="B81" s="28">
        <f t="shared" si="11"/>
        <v>1117529.0189516258</v>
      </c>
      <c r="C81" s="28">
        <v>30620</v>
      </c>
      <c r="D81" s="29">
        <v>0.01</v>
      </c>
      <c r="E81" s="29">
        <f t="shared" si="12"/>
        <v>11175.290189516258</v>
      </c>
      <c r="F81" s="30"/>
      <c r="G81" s="28">
        <f t="shared" si="13"/>
        <v>1159324.3091411421</v>
      </c>
      <c r="H81" s="69"/>
      <c r="I81" s="69"/>
      <c r="J81" s="27"/>
      <c r="K81" s="60"/>
    </row>
    <row r="82" spans="1:11" x14ac:dyDescent="0.25">
      <c r="A82" s="35">
        <v>45352</v>
      </c>
      <c r="B82" s="28">
        <f t="shared" si="11"/>
        <v>1159324.3091411421</v>
      </c>
      <c r="C82" s="28">
        <v>5495.44</v>
      </c>
      <c r="D82" s="29">
        <v>0.01</v>
      </c>
      <c r="E82" s="29">
        <f t="shared" si="12"/>
        <v>11593.243091411421</v>
      </c>
      <c r="F82" s="30"/>
      <c r="G82" s="28">
        <f t="shared" si="13"/>
        <v>1176412.9922325534</v>
      </c>
      <c r="H82" s="69"/>
      <c r="I82" s="69"/>
      <c r="J82" s="27"/>
    </row>
    <row r="83" spans="1:11" x14ac:dyDescent="0.25">
      <c r="A83" s="35">
        <v>45383</v>
      </c>
      <c r="B83" s="28">
        <f t="shared" si="11"/>
        <v>1176412.9922325534</v>
      </c>
      <c r="C83" s="28">
        <v>20142</v>
      </c>
      <c r="D83" s="29">
        <v>0.01</v>
      </c>
      <c r="E83" s="29">
        <f t="shared" si="12"/>
        <v>11764.129922325534</v>
      </c>
      <c r="F83" s="30"/>
      <c r="G83" s="28">
        <f t="shared" si="13"/>
        <v>1208319.1221548789</v>
      </c>
      <c r="H83" s="69"/>
      <c r="I83" s="69"/>
      <c r="J83" s="27"/>
    </row>
    <row r="84" spans="1:11" x14ac:dyDescent="0.25">
      <c r="A84" s="35">
        <v>45413</v>
      </c>
      <c r="B84" s="28">
        <f t="shared" si="11"/>
        <v>1208319.1221548789</v>
      </c>
      <c r="C84" s="28">
        <v>34000</v>
      </c>
      <c r="D84" s="29">
        <v>0.01</v>
      </c>
      <c r="E84" s="29">
        <f t="shared" si="12"/>
        <v>12083.19122154879</v>
      </c>
      <c r="F84" s="30"/>
      <c r="G84" s="28">
        <f t="shared" si="13"/>
        <v>1254402.3133764276</v>
      </c>
      <c r="H84" s="69"/>
      <c r="I84" s="69"/>
      <c r="J84" s="27"/>
    </row>
    <row r="85" spans="1:11" x14ac:dyDescent="0.25">
      <c r="A85" s="35">
        <v>45444</v>
      </c>
      <c r="B85" s="28">
        <f t="shared" si="11"/>
        <v>1254402.3133764276</v>
      </c>
      <c r="C85" s="28">
        <v>1000</v>
      </c>
      <c r="D85" s="29">
        <v>0.01</v>
      </c>
      <c r="E85" s="29">
        <f t="shared" si="12"/>
        <v>12544.023133764276</v>
      </c>
      <c r="F85" s="30"/>
      <c r="G85" s="28">
        <f t="shared" si="13"/>
        <v>1267946.3365101919</v>
      </c>
      <c r="H85" s="69"/>
      <c r="I85" s="69"/>
      <c r="J85" s="27"/>
    </row>
    <row r="86" spans="1:11" x14ac:dyDescent="0.25">
      <c r="A86" s="35">
        <v>45474</v>
      </c>
      <c r="B86" s="28">
        <f t="shared" si="11"/>
        <v>1267946.3365101919</v>
      </c>
      <c r="C86" s="28">
        <v>8700</v>
      </c>
      <c r="D86" s="29">
        <v>0.01</v>
      </c>
      <c r="E86" s="29">
        <f t="shared" si="12"/>
        <v>12679.463365101919</v>
      </c>
      <c r="F86" s="30"/>
      <c r="G86" s="28">
        <f t="shared" si="13"/>
        <v>1289325.7998752939</v>
      </c>
      <c r="H86" s="69"/>
      <c r="I86" s="69"/>
      <c r="J86" s="27"/>
    </row>
    <row r="87" spans="1:11" x14ac:dyDescent="0.25">
      <c r="A87" s="35">
        <v>45505</v>
      </c>
      <c r="B87" s="28">
        <f t="shared" si="11"/>
        <v>1289325.7998752939</v>
      </c>
      <c r="C87" s="28">
        <v>19000</v>
      </c>
      <c r="D87" s="29">
        <v>0.01</v>
      </c>
      <c r="E87" s="29">
        <f t="shared" si="12"/>
        <v>12893.257998752939</v>
      </c>
      <c r="F87" s="30"/>
      <c r="G87" s="28">
        <f t="shared" si="13"/>
        <v>1321219.0578740467</v>
      </c>
      <c r="H87" s="69"/>
      <c r="I87" s="69"/>
      <c r="J87" s="27"/>
    </row>
    <row r="88" spans="1:11" x14ac:dyDescent="0.25">
      <c r="A88" s="35">
        <v>45536</v>
      </c>
      <c r="B88" s="28">
        <f t="shared" si="11"/>
        <v>1321219.0578740467</v>
      </c>
      <c r="C88" s="28">
        <v>4200</v>
      </c>
      <c r="D88" s="29">
        <v>0.01</v>
      </c>
      <c r="E88" s="29">
        <f t="shared" si="12"/>
        <v>13212.190578740468</v>
      </c>
      <c r="F88" s="30"/>
      <c r="G88" s="28">
        <f t="shared" si="13"/>
        <v>1338631.2484527873</v>
      </c>
      <c r="H88" s="69"/>
      <c r="I88" s="69"/>
      <c r="J88" s="27"/>
    </row>
    <row r="89" spans="1:11" x14ac:dyDescent="0.25">
      <c r="A89" s="35">
        <v>45566</v>
      </c>
      <c r="B89" s="28">
        <f t="shared" si="11"/>
        <v>1338631.2484527873</v>
      </c>
      <c r="C89" s="208">
        <v>-20000</v>
      </c>
      <c r="D89" s="29">
        <v>0.01</v>
      </c>
      <c r="E89" s="29">
        <f>(B89*D89)</f>
        <v>13386.312484527873</v>
      </c>
      <c r="F89" s="30"/>
      <c r="G89" s="28">
        <f>(G88+C89+E89+F89)</f>
        <v>1332017.5609373152</v>
      </c>
      <c r="H89" s="69"/>
      <c r="I89" s="69"/>
      <c r="J89" s="27"/>
    </row>
    <row r="90" spans="1:11" x14ac:dyDescent="0.25">
      <c r="A90" s="35">
        <v>45597</v>
      </c>
      <c r="B90" s="28">
        <f t="shared" si="11"/>
        <v>1332017.5609373152</v>
      </c>
      <c r="C90" s="28">
        <v>0</v>
      </c>
      <c r="D90" s="29">
        <v>0.01</v>
      </c>
      <c r="E90" s="29">
        <f t="shared" si="12"/>
        <v>13320.175609373153</v>
      </c>
      <c r="F90" s="30"/>
      <c r="G90" s="28">
        <f t="shared" si="13"/>
        <v>1345337.7365466885</v>
      </c>
      <c r="H90" s="69"/>
      <c r="I90" s="69"/>
      <c r="J90" s="27"/>
    </row>
    <row r="91" spans="1:11" x14ac:dyDescent="0.25">
      <c r="A91" s="35">
        <v>45627</v>
      </c>
      <c r="B91" s="28">
        <f t="shared" si="11"/>
        <v>1345337.7365466885</v>
      </c>
      <c r="C91" s="28">
        <v>13612.2</v>
      </c>
      <c r="D91" s="29">
        <v>0.01</v>
      </c>
      <c r="E91" s="29">
        <f t="shared" si="12"/>
        <v>13453.377365466886</v>
      </c>
      <c r="F91" s="30"/>
      <c r="G91" s="28">
        <f t="shared" si="13"/>
        <v>1372403.3139121553</v>
      </c>
      <c r="H91" s="69"/>
      <c r="I91" s="69"/>
      <c r="J91" s="27"/>
    </row>
    <row r="92" spans="1:11" x14ac:dyDescent="0.25">
      <c r="A92" s="5">
        <v>45658</v>
      </c>
      <c r="B92" s="3">
        <f t="shared" si="11"/>
        <v>1372403.3139121553</v>
      </c>
      <c r="C92" s="147">
        <v>5000</v>
      </c>
      <c r="D92" s="29">
        <v>0.01</v>
      </c>
      <c r="E92" s="2">
        <f t="shared" si="12"/>
        <v>13724.033139121553</v>
      </c>
      <c r="F92" s="4"/>
      <c r="G92" s="3">
        <f t="shared" si="13"/>
        <v>1391127.3470512768</v>
      </c>
      <c r="H92" s="69"/>
      <c r="I92" s="69"/>
      <c r="J92" s="27"/>
    </row>
    <row r="93" spans="1:11" x14ac:dyDescent="0.25">
      <c r="A93" s="5">
        <v>45689</v>
      </c>
      <c r="B93" s="3">
        <f t="shared" si="11"/>
        <v>1391127.3470512768</v>
      </c>
      <c r="C93" s="147">
        <v>5000</v>
      </c>
      <c r="D93" s="29">
        <v>0.01</v>
      </c>
      <c r="E93" s="2">
        <f t="shared" si="12"/>
        <v>13911.273470512768</v>
      </c>
      <c r="F93" s="4"/>
      <c r="G93" s="3">
        <f t="shared" si="13"/>
        <v>1410038.6205217896</v>
      </c>
      <c r="H93" s="69"/>
      <c r="I93" s="69"/>
      <c r="J93" s="27"/>
    </row>
    <row r="94" spans="1:11" x14ac:dyDescent="0.25">
      <c r="A94" s="5">
        <v>45717</v>
      </c>
      <c r="B94" s="3">
        <f t="shared" si="11"/>
        <v>1410038.6205217896</v>
      </c>
      <c r="C94" s="147">
        <v>5000</v>
      </c>
      <c r="D94" s="29">
        <v>0.01</v>
      </c>
      <c r="E94" s="2">
        <f t="shared" si="12"/>
        <v>14100.386205217897</v>
      </c>
      <c r="F94" s="4"/>
      <c r="G94" s="3">
        <f t="shared" si="13"/>
        <v>1429139.0067270075</v>
      </c>
      <c r="H94" s="69"/>
      <c r="I94" s="69"/>
      <c r="J94" s="27"/>
    </row>
    <row r="95" spans="1:11" x14ac:dyDescent="0.25">
      <c r="A95" s="5">
        <v>45748</v>
      </c>
      <c r="B95" s="3">
        <f t="shared" si="11"/>
        <v>1429139.0067270075</v>
      </c>
      <c r="C95" s="147">
        <v>5000</v>
      </c>
      <c r="D95" s="29">
        <v>0.01</v>
      </c>
      <c r="E95" s="2">
        <f t="shared" si="12"/>
        <v>14291.390067270075</v>
      </c>
      <c r="F95" s="4"/>
      <c r="G95" s="3">
        <f t="shared" si="13"/>
        <v>1448430.3967942775</v>
      </c>
      <c r="H95" s="69"/>
      <c r="I95" s="69"/>
      <c r="J95" s="27"/>
    </row>
    <row r="96" spans="1:11" x14ac:dyDescent="0.25">
      <c r="A96" s="5">
        <v>45778</v>
      </c>
      <c r="B96" s="3">
        <f t="shared" si="11"/>
        <v>1448430.3967942775</v>
      </c>
      <c r="C96" s="147">
        <v>5000</v>
      </c>
      <c r="D96" s="29">
        <v>0.01</v>
      </c>
      <c r="E96" s="2">
        <f t="shared" si="12"/>
        <v>14484.303967942775</v>
      </c>
      <c r="F96" s="4"/>
      <c r="G96" s="3">
        <f t="shared" si="13"/>
        <v>1467914.7007622202</v>
      </c>
      <c r="H96" s="69"/>
      <c r="I96" s="69"/>
      <c r="J96" s="27"/>
    </row>
    <row r="97" spans="1:10" x14ac:dyDescent="0.25">
      <c r="A97" s="5">
        <v>45809</v>
      </c>
      <c r="B97" s="3">
        <f t="shared" si="11"/>
        <v>1467914.7007622202</v>
      </c>
      <c r="C97" s="147">
        <v>5000</v>
      </c>
      <c r="D97" s="29">
        <v>0.01</v>
      </c>
      <c r="E97" s="2">
        <f t="shared" si="12"/>
        <v>14679.147007622203</v>
      </c>
      <c r="F97" s="4"/>
      <c r="G97" s="3">
        <f t="shared" si="13"/>
        <v>1487593.8477698425</v>
      </c>
      <c r="H97" s="69"/>
      <c r="I97" s="69"/>
      <c r="J97" s="27"/>
    </row>
    <row r="98" spans="1:10" x14ac:dyDescent="0.25">
      <c r="A98" s="5">
        <v>45839</v>
      </c>
      <c r="B98" s="3">
        <f t="shared" si="11"/>
        <v>1487593.8477698425</v>
      </c>
      <c r="C98" s="147">
        <v>5000</v>
      </c>
      <c r="D98" s="29">
        <v>0.01</v>
      </c>
      <c r="E98" s="2">
        <f t="shared" si="12"/>
        <v>14875.938477698424</v>
      </c>
      <c r="F98" s="4"/>
      <c r="G98" s="3">
        <f t="shared" si="13"/>
        <v>1507469.786247541</v>
      </c>
      <c r="H98" s="69"/>
      <c r="I98" s="69"/>
      <c r="J98" s="27"/>
    </row>
    <row r="99" spans="1:10" x14ac:dyDescent="0.25">
      <c r="A99" s="5">
        <v>45870</v>
      </c>
      <c r="B99" s="3">
        <f t="shared" si="11"/>
        <v>1507469.786247541</v>
      </c>
      <c r="C99" s="147">
        <v>5000</v>
      </c>
      <c r="D99" s="29">
        <v>0.01</v>
      </c>
      <c r="E99" s="2">
        <f t="shared" si="12"/>
        <v>15074.69786247541</v>
      </c>
      <c r="F99" s="4"/>
      <c r="G99" s="3">
        <f t="shared" si="13"/>
        <v>1527544.4841100164</v>
      </c>
      <c r="H99" s="69"/>
      <c r="I99" s="69"/>
      <c r="J99" s="27"/>
    </row>
    <row r="100" spans="1:10" x14ac:dyDescent="0.25">
      <c r="A100" s="5">
        <v>45901</v>
      </c>
      <c r="B100" s="3">
        <f t="shared" si="11"/>
        <v>1527544.4841100164</v>
      </c>
      <c r="C100" s="147">
        <v>5000</v>
      </c>
      <c r="D100" s="29">
        <v>0.01</v>
      </c>
      <c r="E100" s="2">
        <f t="shared" si="12"/>
        <v>15275.444841100165</v>
      </c>
      <c r="F100" s="4"/>
      <c r="G100" s="3">
        <f t="shared" si="13"/>
        <v>1547819.9289511165</v>
      </c>
      <c r="H100" s="69"/>
      <c r="I100" s="69"/>
      <c r="J100" s="27"/>
    </row>
    <row r="101" spans="1:10" x14ac:dyDescent="0.25">
      <c r="A101" s="5">
        <v>45931</v>
      </c>
      <c r="B101" s="3">
        <f t="shared" si="11"/>
        <v>1547819.9289511165</v>
      </c>
      <c r="C101" s="147">
        <v>5000</v>
      </c>
      <c r="D101" s="29">
        <v>0.01</v>
      </c>
      <c r="E101" s="2">
        <f t="shared" si="12"/>
        <v>15478.199289511165</v>
      </c>
      <c r="F101" s="4"/>
      <c r="G101" s="3">
        <f t="shared" si="13"/>
        <v>1568298.1282406277</v>
      </c>
      <c r="H101" s="69"/>
      <c r="I101" s="69"/>
      <c r="J101" s="27"/>
    </row>
    <row r="102" spans="1:10" x14ac:dyDescent="0.25">
      <c r="A102" s="5">
        <v>45962</v>
      </c>
      <c r="B102" s="3">
        <f t="shared" si="11"/>
        <v>1568298.1282406277</v>
      </c>
      <c r="C102" s="147">
        <v>5000</v>
      </c>
      <c r="D102" s="29">
        <v>0.01</v>
      </c>
      <c r="E102" s="2">
        <f t="shared" si="12"/>
        <v>15682.981282406277</v>
      </c>
      <c r="F102" s="4"/>
      <c r="G102" s="3">
        <f t="shared" si="13"/>
        <v>1588981.109523034</v>
      </c>
      <c r="H102" s="69"/>
      <c r="I102" s="69"/>
      <c r="J102" s="27"/>
    </row>
    <row r="103" spans="1:10" x14ac:dyDescent="0.25">
      <c r="A103" s="5">
        <v>45992</v>
      </c>
      <c r="B103" s="3">
        <f t="shared" si="11"/>
        <v>1588981.109523034</v>
      </c>
      <c r="C103" s="147">
        <v>5000</v>
      </c>
      <c r="D103" s="29">
        <v>0.01</v>
      </c>
      <c r="E103" s="2">
        <f t="shared" si="12"/>
        <v>15889.81109523034</v>
      </c>
      <c r="F103" s="4"/>
      <c r="G103" s="3">
        <f t="shared" si="13"/>
        <v>1609870.9206182642</v>
      </c>
      <c r="H103" s="69"/>
      <c r="I103" s="69"/>
      <c r="J103" s="27"/>
    </row>
    <row r="104" spans="1:10" x14ac:dyDescent="0.25">
      <c r="A104" s="5">
        <v>46023</v>
      </c>
      <c r="B104" s="3">
        <f t="shared" si="11"/>
        <v>1609870.9206182642</v>
      </c>
      <c r="C104" s="147">
        <v>5000</v>
      </c>
      <c r="D104" s="29">
        <v>0.01</v>
      </c>
      <c r="E104" s="2">
        <f t="shared" si="12"/>
        <v>16098.709206182642</v>
      </c>
      <c r="F104" s="4"/>
      <c r="G104" s="3">
        <f t="shared" si="13"/>
        <v>1630969.629824447</v>
      </c>
      <c r="H104" s="69"/>
      <c r="I104" s="69"/>
      <c r="J104" s="27"/>
    </row>
    <row r="105" spans="1:10" x14ac:dyDescent="0.25">
      <c r="A105" s="5">
        <v>46054</v>
      </c>
      <c r="B105" s="3">
        <f t="shared" si="11"/>
        <v>1630969.629824447</v>
      </c>
      <c r="C105" s="147">
        <v>5000</v>
      </c>
      <c r="D105" s="29">
        <v>0.01</v>
      </c>
      <c r="E105" s="2">
        <f t="shared" si="12"/>
        <v>16309.696298244469</v>
      </c>
      <c r="F105" s="4"/>
      <c r="G105" s="3">
        <f t="shared" si="13"/>
        <v>1652279.3261226914</v>
      </c>
      <c r="H105" s="69"/>
      <c r="I105" s="69"/>
      <c r="J105" s="27"/>
    </row>
    <row r="106" spans="1:10" x14ac:dyDescent="0.25">
      <c r="A106" s="5">
        <v>46082</v>
      </c>
      <c r="B106" s="3">
        <f t="shared" si="11"/>
        <v>1652279.3261226914</v>
      </c>
      <c r="C106" s="147">
        <v>5000</v>
      </c>
      <c r="D106" s="29">
        <v>0.01</v>
      </c>
      <c r="E106" s="2">
        <f t="shared" si="12"/>
        <v>16522.793261226914</v>
      </c>
      <c r="F106" s="4"/>
      <c r="G106" s="3">
        <f t="shared" si="13"/>
        <v>1673802.1193839184</v>
      </c>
      <c r="H106" s="69"/>
      <c r="I106" s="69"/>
      <c r="J106" s="27"/>
    </row>
    <row r="107" spans="1:10" x14ac:dyDescent="0.25">
      <c r="A107" s="5">
        <v>46113</v>
      </c>
      <c r="B107" s="3">
        <f t="shared" si="11"/>
        <v>1673802.1193839184</v>
      </c>
      <c r="C107" s="147">
        <v>5000</v>
      </c>
      <c r="D107" s="29">
        <v>0.01</v>
      </c>
      <c r="E107" s="2">
        <f t="shared" si="12"/>
        <v>16738.021193839184</v>
      </c>
      <c r="F107" s="4"/>
      <c r="G107" s="3">
        <f t="shared" si="13"/>
        <v>1695540.1405777575</v>
      </c>
      <c r="H107" s="69"/>
      <c r="I107" s="69"/>
      <c r="J107" s="27"/>
    </row>
    <row r="108" spans="1:10" x14ac:dyDescent="0.25">
      <c r="A108" s="5">
        <v>46143</v>
      </c>
      <c r="B108" s="3">
        <f t="shared" si="11"/>
        <v>1695540.1405777575</v>
      </c>
      <c r="C108" s="147">
        <v>5000</v>
      </c>
      <c r="D108" s="29">
        <v>0.01</v>
      </c>
      <c r="E108" s="2">
        <f t="shared" si="12"/>
        <v>16955.401405777575</v>
      </c>
      <c r="F108" s="4"/>
      <c r="G108" s="3">
        <f t="shared" si="13"/>
        <v>1717495.541983535</v>
      </c>
      <c r="H108" s="69"/>
      <c r="I108" s="69"/>
      <c r="J108" s="27"/>
    </row>
    <row r="109" spans="1:10" x14ac:dyDescent="0.25">
      <c r="A109" s="5">
        <v>46174</v>
      </c>
      <c r="B109" s="3">
        <f t="shared" si="11"/>
        <v>1717495.541983535</v>
      </c>
      <c r="C109" s="147">
        <v>5000</v>
      </c>
      <c r="D109" s="29">
        <v>0.01</v>
      </c>
      <c r="E109" s="2">
        <f t="shared" si="12"/>
        <v>17174.955419835351</v>
      </c>
      <c r="F109" s="4"/>
      <c r="G109" s="3">
        <f t="shared" si="13"/>
        <v>1739670.4974033704</v>
      </c>
      <c r="H109" s="69"/>
      <c r="I109" s="69"/>
      <c r="J109" s="27"/>
    </row>
    <row r="110" spans="1:10" x14ac:dyDescent="0.25">
      <c r="A110" s="5">
        <v>46204</v>
      </c>
      <c r="B110" s="3">
        <f t="shared" si="11"/>
        <v>1739670.4974033704</v>
      </c>
      <c r="C110" s="147">
        <v>5000</v>
      </c>
      <c r="D110" s="29">
        <v>0.01</v>
      </c>
      <c r="E110" s="2">
        <f t="shared" si="12"/>
        <v>17396.704974033706</v>
      </c>
      <c r="F110" s="4"/>
      <c r="G110" s="3">
        <f t="shared" si="13"/>
        <v>1762067.2023774041</v>
      </c>
      <c r="H110" s="69"/>
      <c r="I110" s="69"/>
      <c r="J110" s="27"/>
    </row>
    <row r="111" spans="1:10" x14ac:dyDescent="0.25">
      <c r="A111" s="5">
        <v>46235</v>
      </c>
      <c r="B111" s="3">
        <f t="shared" si="11"/>
        <v>1762067.2023774041</v>
      </c>
      <c r="C111" s="147">
        <v>5000</v>
      </c>
      <c r="D111" s="29">
        <v>0.01</v>
      </c>
      <c r="E111" s="2">
        <f t="shared" si="12"/>
        <v>17620.672023774041</v>
      </c>
      <c r="F111" s="4"/>
      <c r="G111" s="3">
        <f t="shared" si="13"/>
        <v>1784687.8744011782</v>
      </c>
      <c r="H111" s="69"/>
      <c r="I111" s="69"/>
      <c r="J111" s="27"/>
    </row>
    <row r="112" spans="1:10" x14ac:dyDescent="0.25">
      <c r="A112" s="5">
        <v>46266</v>
      </c>
      <c r="B112" s="3">
        <f t="shared" si="11"/>
        <v>1784687.8744011782</v>
      </c>
      <c r="C112" s="147">
        <v>5000</v>
      </c>
      <c r="D112" s="29">
        <v>0.01</v>
      </c>
      <c r="E112" s="2">
        <f t="shared" si="12"/>
        <v>17846.878744011781</v>
      </c>
      <c r="F112" s="4"/>
      <c r="G112" s="3">
        <f t="shared" si="13"/>
        <v>1807534.75314519</v>
      </c>
      <c r="H112" s="69"/>
      <c r="I112" s="69"/>
      <c r="J112" s="27"/>
    </row>
    <row r="113" spans="1:10" x14ac:dyDescent="0.25">
      <c r="A113" s="5">
        <v>46296</v>
      </c>
      <c r="B113" s="3">
        <f t="shared" si="11"/>
        <v>1807534.75314519</v>
      </c>
      <c r="C113" s="147">
        <v>5000</v>
      </c>
      <c r="D113" s="29">
        <v>0.01</v>
      </c>
      <c r="E113" s="2">
        <f t="shared" si="12"/>
        <v>18075.347531451898</v>
      </c>
      <c r="F113" s="4"/>
      <c r="G113" s="3">
        <f t="shared" si="13"/>
        <v>1830610.1006766418</v>
      </c>
      <c r="H113" s="69"/>
      <c r="I113" s="69"/>
      <c r="J113" s="27"/>
    </row>
    <row r="114" spans="1:10" x14ac:dyDescent="0.25">
      <c r="A114" s="5">
        <v>46327</v>
      </c>
      <c r="B114" s="3">
        <f t="shared" si="11"/>
        <v>1830610.1006766418</v>
      </c>
      <c r="C114" s="147">
        <v>5000</v>
      </c>
      <c r="D114" s="29">
        <v>0.01</v>
      </c>
      <c r="E114" s="2">
        <f t="shared" si="12"/>
        <v>18306.101006766417</v>
      </c>
      <c r="F114" s="4"/>
      <c r="G114" s="3">
        <f t="shared" si="13"/>
        <v>1853916.2016834081</v>
      </c>
      <c r="H114" s="69"/>
      <c r="I114" s="69"/>
      <c r="J114" s="27"/>
    </row>
    <row r="115" spans="1:10" x14ac:dyDescent="0.25">
      <c r="A115" s="5">
        <v>46357</v>
      </c>
      <c r="B115" s="3">
        <f t="shared" si="11"/>
        <v>1853916.2016834081</v>
      </c>
      <c r="C115" s="147">
        <v>5000</v>
      </c>
      <c r="D115" s="29">
        <v>0.01</v>
      </c>
      <c r="E115" s="2">
        <f t="shared" si="12"/>
        <v>18539.162016834081</v>
      </c>
      <c r="F115" s="4"/>
      <c r="G115" s="3">
        <f t="shared" si="13"/>
        <v>1877455.3637002422</v>
      </c>
      <c r="H115" s="69"/>
      <c r="I115" s="69"/>
      <c r="J115" s="27"/>
    </row>
    <row r="116" spans="1:10" x14ac:dyDescent="0.25">
      <c r="A116" s="5">
        <v>46388</v>
      </c>
      <c r="B116" s="3">
        <f t="shared" si="11"/>
        <v>1877455.3637002422</v>
      </c>
      <c r="C116" s="147">
        <v>5000</v>
      </c>
      <c r="D116" s="29">
        <v>0.01</v>
      </c>
      <c r="E116" s="2">
        <f t="shared" si="12"/>
        <v>18774.553637002424</v>
      </c>
      <c r="F116" s="4"/>
      <c r="G116" s="3">
        <f t="shared" si="13"/>
        <v>1901229.9173372446</v>
      </c>
      <c r="H116" s="69"/>
      <c r="I116" s="69"/>
      <c r="J116" s="27"/>
    </row>
    <row r="117" spans="1:10" x14ac:dyDescent="0.25">
      <c r="A117" s="5">
        <v>46419</v>
      </c>
      <c r="B117" s="3">
        <f t="shared" si="11"/>
        <v>1901229.9173372446</v>
      </c>
      <c r="C117" s="147">
        <v>5000</v>
      </c>
      <c r="D117" s="29">
        <v>0.01</v>
      </c>
      <c r="E117" s="2">
        <f t="shared" si="12"/>
        <v>19012.299173372445</v>
      </c>
      <c r="F117" s="4"/>
      <c r="G117" s="3">
        <f t="shared" si="13"/>
        <v>1925242.2165106169</v>
      </c>
      <c r="H117" s="69"/>
      <c r="I117" s="69"/>
      <c r="J117" s="27"/>
    </row>
    <row r="118" spans="1:10" x14ac:dyDescent="0.25">
      <c r="A118" s="5">
        <v>46447</v>
      </c>
      <c r="B118" s="3">
        <f t="shared" si="11"/>
        <v>1925242.2165106169</v>
      </c>
      <c r="C118" s="147">
        <v>5000</v>
      </c>
      <c r="D118" s="29">
        <v>0.01</v>
      </c>
      <c r="E118" s="2">
        <f t="shared" si="12"/>
        <v>19252.422165106171</v>
      </c>
      <c r="F118" s="4"/>
      <c r="G118" s="3">
        <f t="shared" si="13"/>
        <v>1949494.6386757232</v>
      </c>
      <c r="H118" s="69"/>
      <c r="I118" s="69"/>
      <c r="J118" s="27"/>
    </row>
    <row r="119" spans="1:10" x14ac:dyDescent="0.25">
      <c r="A119" s="5">
        <v>46478</v>
      </c>
      <c r="B119" s="3">
        <f t="shared" si="11"/>
        <v>1949494.6386757232</v>
      </c>
      <c r="C119" s="147">
        <v>5000</v>
      </c>
      <c r="D119" s="29">
        <v>0.01</v>
      </c>
      <c r="E119" s="2">
        <f t="shared" si="12"/>
        <v>19494.946386757234</v>
      </c>
      <c r="F119" s="4"/>
      <c r="G119" s="3">
        <f t="shared" si="13"/>
        <v>1973989.5850624805</v>
      </c>
      <c r="H119" s="69"/>
      <c r="I119" s="69"/>
      <c r="J119" s="27"/>
    </row>
    <row r="120" spans="1:10" x14ac:dyDescent="0.25">
      <c r="A120" s="5">
        <v>46508</v>
      </c>
      <c r="B120" s="3">
        <f t="shared" si="11"/>
        <v>1973989.5850624805</v>
      </c>
      <c r="C120" s="147">
        <v>5000</v>
      </c>
      <c r="D120" s="29">
        <v>0.01</v>
      </c>
      <c r="E120" s="2">
        <f t="shared" si="12"/>
        <v>19739.895850624805</v>
      </c>
      <c r="F120" s="4"/>
      <c r="G120" s="3">
        <f t="shared" si="13"/>
        <v>1998729.4809131054</v>
      </c>
      <c r="H120" s="69"/>
      <c r="I120" s="69"/>
      <c r="J120" s="27"/>
    </row>
    <row r="121" spans="1:10" x14ac:dyDescent="0.25">
      <c r="A121" s="5">
        <v>46539</v>
      </c>
      <c r="B121" s="3">
        <f t="shared" si="11"/>
        <v>1998729.4809131054</v>
      </c>
      <c r="C121" s="147">
        <v>5000</v>
      </c>
      <c r="D121" s="29">
        <v>0.01</v>
      </c>
      <c r="E121" s="2">
        <f t="shared" si="12"/>
        <v>19987.294809131054</v>
      </c>
      <c r="F121" s="4"/>
      <c r="G121" s="3">
        <f t="shared" si="13"/>
        <v>2023716.7757222364</v>
      </c>
      <c r="H121" s="69"/>
      <c r="I121" s="69"/>
      <c r="J121" s="27"/>
    </row>
    <row r="122" spans="1:10" x14ac:dyDescent="0.25">
      <c r="A122" s="5">
        <v>46569</v>
      </c>
      <c r="B122" s="3">
        <f t="shared" si="11"/>
        <v>2023716.7757222364</v>
      </c>
      <c r="C122" s="147">
        <v>5000</v>
      </c>
      <c r="D122" s="29">
        <v>0.01</v>
      </c>
      <c r="E122" s="2">
        <f t="shared" si="12"/>
        <v>20237.167757222363</v>
      </c>
      <c r="F122" s="4"/>
      <c r="G122" s="3">
        <f t="shared" si="13"/>
        <v>2048953.9434794588</v>
      </c>
      <c r="H122" s="69"/>
      <c r="I122" s="69"/>
      <c r="J122" s="27"/>
    </row>
    <row r="123" spans="1:10" x14ac:dyDescent="0.25">
      <c r="A123" s="5">
        <v>46600</v>
      </c>
      <c r="B123" s="3">
        <f t="shared" si="11"/>
        <v>2048953.9434794588</v>
      </c>
      <c r="C123" s="147">
        <v>5000</v>
      </c>
      <c r="D123" s="29">
        <v>0.01</v>
      </c>
      <c r="E123" s="2">
        <f t="shared" si="12"/>
        <v>20489.539434794588</v>
      </c>
      <c r="F123" s="4"/>
      <c r="G123" s="3">
        <f t="shared" si="13"/>
        <v>2074443.4829142534</v>
      </c>
      <c r="H123" s="69"/>
      <c r="I123" s="69"/>
      <c r="J123" s="27"/>
    </row>
    <row r="124" spans="1:10" x14ac:dyDescent="0.25">
      <c r="A124" s="5">
        <v>46631</v>
      </c>
      <c r="B124" s="3">
        <f t="shared" si="11"/>
        <v>2074443.4829142534</v>
      </c>
      <c r="C124" s="147">
        <v>5000</v>
      </c>
      <c r="D124" s="29">
        <v>0.01</v>
      </c>
      <c r="E124" s="2">
        <f t="shared" si="12"/>
        <v>20744.434829142534</v>
      </c>
      <c r="F124" s="4"/>
      <c r="G124" s="3">
        <f t="shared" si="13"/>
        <v>2100187.917743396</v>
      </c>
      <c r="H124" s="69"/>
      <c r="I124" s="69"/>
      <c r="J124" s="27"/>
    </row>
    <row r="125" spans="1:10" x14ac:dyDescent="0.25">
      <c r="A125" s="5">
        <v>46661</v>
      </c>
      <c r="B125" s="3">
        <f t="shared" si="11"/>
        <v>2100187.917743396</v>
      </c>
      <c r="C125" s="147">
        <v>5000</v>
      </c>
      <c r="D125" s="29">
        <v>0.01</v>
      </c>
      <c r="E125" s="2">
        <f t="shared" si="12"/>
        <v>21001.879177433959</v>
      </c>
      <c r="F125" s="4"/>
      <c r="G125" s="3">
        <f t="shared" si="13"/>
        <v>2126189.7969208299</v>
      </c>
      <c r="H125" s="69"/>
      <c r="I125" s="69"/>
      <c r="J125" s="27"/>
    </row>
    <row r="126" spans="1:10" x14ac:dyDescent="0.25">
      <c r="A126" s="5">
        <v>46692</v>
      </c>
      <c r="B126" s="3">
        <f t="shared" si="11"/>
        <v>2126189.7969208299</v>
      </c>
      <c r="C126" s="147">
        <v>5000</v>
      </c>
      <c r="D126" s="29">
        <v>0.01</v>
      </c>
      <c r="E126" s="2">
        <f t="shared" si="12"/>
        <v>21261.897969208301</v>
      </c>
      <c r="F126" s="4"/>
      <c r="G126" s="3">
        <f t="shared" si="13"/>
        <v>2152451.6948900381</v>
      </c>
      <c r="H126" s="69"/>
      <c r="I126" s="69"/>
      <c r="J126" s="27"/>
    </row>
    <row r="127" spans="1:10" x14ac:dyDescent="0.25">
      <c r="A127" s="5">
        <v>46722</v>
      </c>
      <c r="B127" s="3">
        <f t="shared" si="11"/>
        <v>2152451.6948900381</v>
      </c>
      <c r="C127" s="147">
        <v>5000</v>
      </c>
      <c r="D127" s="29">
        <v>0.01</v>
      </c>
      <c r="E127" s="2">
        <f t="shared" si="12"/>
        <v>21524.516948900382</v>
      </c>
      <c r="F127" s="4"/>
      <c r="G127" s="3">
        <f t="shared" si="13"/>
        <v>2178976.2118389383</v>
      </c>
      <c r="H127" s="69"/>
      <c r="I127" s="69"/>
      <c r="J127" s="27"/>
    </row>
    <row r="128" spans="1:10" x14ac:dyDescent="0.25">
      <c r="A128" s="5">
        <v>46753</v>
      </c>
      <c r="B128" s="3">
        <f t="shared" ref="B128:B180" si="14">(G127)</f>
        <v>2178976.2118389383</v>
      </c>
      <c r="C128" s="147">
        <v>5000</v>
      </c>
      <c r="D128" s="29">
        <v>0.01</v>
      </c>
      <c r="E128" s="2">
        <f t="shared" ref="E128:E180" si="15">(B128*D128)</f>
        <v>21789.762118389383</v>
      </c>
      <c r="F128" s="4"/>
      <c r="G128" s="3">
        <f t="shared" ref="G128:G180" si="16">(G127+C128+E128+F128)</f>
        <v>2205765.9739573277</v>
      </c>
      <c r="H128" s="69"/>
      <c r="I128" s="69"/>
      <c r="J128" s="27"/>
    </row>
    <row r="129" spans="1:10" x14ac:dyDescent="0.25">
      <c r="A129" s="5">
        <v>46784</v>
      </c>
      <c r="B129" s="3">
        <f t="shared" si="14"/>
        <v>2205765.9739573277</v>
      </c>
      <c r="C129" s="147">
        <v>5000</v>
      </c>
      <c r="D129" s="29">
        <v>0.01</v>
      </c>
      <c r="E129" s="2">
        <f t="shared" si="15"/>
        <v>22057.659739573279</v>
      </c>
      <c r="F129" s="4"/>
      <c r="G129" s="3">
        <f t="shared" si="16"/>
        <v>2232823.6336969011</v>
      </c>
      <c r="H129" s="69"/>
      <c r="I129" s="69"/>
      <c r="J129" s="27"/>
    </row>
    <row r="130" spans="1:10" x14ac:dyDescent="0.25">
      <c r="A130" s="5">
        <v>46813</v>
      </c>
      <c r="B130" s="3">
        <f t="shared" si="14"/>
        <v>2232823.6336969011</v>
      </c>
      <c r="C130" s="147">
        <v>5000</v>
      </c>
      <c r="D130" s="29">
        <v>0.01</v>
      </c>
      <c r="E130" s="2">
        <f t="shared" si="15"/>
        <v>22328.23633696901</v>
      </c>
      <c r="F130" s="4"/>
      <c r="G130" s="3">
        <f t="shared" si="16"/>
        <v>2260151.87003387</v>
      </c>
      <c r="H130" s="69"/>
      <c r="I130" s="69"/>
      <c r="J130" s="27"/>
    </row>
    <row r="131" spans="1:10" x14ac:dyDescent="0.25">
      <c r="A131" s="5">
        <v>46844</v>
      </c>
      <c r="B131" s="3">
        <f t="shared" si="14"/>
        <v>2260151.87003387</v>
      </c>
      <c r="C131" s="147">
        <v>5000</v>
      </c>
      <c r="D131" s="29">
        <v>0.01</v>
      </c>
      <c r="E131" s="2">
        <f t="shared" si="15"/>
        <v>22601.5187003387</v>
      </c>
      <c r="F131" s="4"/>
      <c r="G131" s="3">
        <f t="shared" si="16"/>
        <v>2287753.3887342089</v>
      </c>
      <c r="H131" s="69"/>
      <c r="I131" s="69"/>
      <c r="J131" s="27"/>
    </row>
    <row r="132" spans="1:10" x14ac:dyDescent="0.25">
      <c r="A132" s="5">
        <v>46874</v>
      </c>
      <c r="B132" s="3">
        <f t="shared" si="14"/>
        <v>2287753.3887342089</v>
      </c>
      <c r="C132" s="147">
        <v>5000</v>
      </c>
      <c r="D132" s="29">
        <v>0.01</v>
      </c>
      <c r="E132" s="2">
        <f t="shared" si="15"/>
        <v>22877.533887342088</v>
      </c>
      <c r="F132" s="4"/>
      <c r="G132" s="3">
        <f t="shared" si="16"/>
        <v>2315630.922621551</v>
      </c>
      <c r="H132" s="69"/>
      <c r="I132" s="69"/>
      <c r="J132" s="27"/>
    </row>
    <row r="133" spans="1:10" x14ac:dyDescent="0.25">
      <c r="A133" s="5">
        <v>46905</v>
      </c>
      <c r="B133" s="3">
        <f t="shared" si="14"/>
        <v>2315630.922621551</v>
      </c>
      <c r="C133" s="147">
        <v>5000</v>
      </c>
      <c r="D133" s="29">
        <v>0.01</v>
      </c>
      <c r="E133" s="2">
        <f t="shared" si="15"/>
        <v>23156.309226215511</v>
      </c>
      <c r="F133" s="4"/>
      <c r="G133" s="3">
        <f t="shared" si="16"/>
        <v>2343787.2318477663</v>
      </c>
      <c r="H133" s="69"/>
      <c r="I133" s="69"/>
      <c r="J133" s="27"/>
    </row>
    <row r="134" spans="1:10" x14ac:dyDescent="0.25">
      <c r="A134" s="5">
        <v>46935</v>
      </c>
      <c r="B134" s="3">
        <f t="shared" si="14"/>
        <v>2343787.2318477663</v>
      </c>
      <c r="C134" s="147">
        <v>5000</v>
      </c>
      <c r="D134" s="29">
        <v>0.01</v>
      </c>
      <c r="E134" s="2">
        <f t="shared" si="15"/>
        <v>23437.872318477665</v>
      </c>
      <c r="F134" s="4"/>
      <c r="G134" s="3">
        <f t="shared" si="16"/>
        <v>2372225.1041662442</v>
      </c>
      <c r="H134" s="69"/>
      <c r="I134" s="69"/>
      <c r="J134" s="27"/>
    </row>
    <row r="135" spans="1:10" x14ac:dyDescent="0.25">
      <c r="A135" s="5">
        <v>46966</v>
      </c>
      <c r="B135" s="3">
        <f t="shared" si="14"/>
        <v>2372225.1041662442</v>
      </c>
      <c r="C135" s="147">
        <v>5000</v>
      </c>
      <c r="D135" s="29">
        <v>0.01</v>
      </c>
      <c r="E135" s="2">
        <f t="shared" si="15"/>
        <v>23722.251041662443</v>
      </c>
      <c r="F135" s="4"/>
      <c r="G135" s="3">
        <f t="shared" si="16"/>
        <v>2400947.3552079066</v>
      </c>
      <c r="H135" s="69"/>
      <c r="I135" s="69"/>
      <c r="J135" s="27"/>
    </row>
    <row r="136" spans="1:10" x14ac:dyDescent="0.25">
      <c r="A136" s="5">
        <v>46997</v>
      </c>
      <c r="B136" s="3">
        <f t="shared" si="14"/>
        <v>2400947.3552079066</v>
      </c>
      <c r="C136" s="147">
        <v>5000</v>
      </c>
      <c r="D136" s="29">
        <v>0.01</v>
      </c>
      <c r="E136" s="2">
        <f t="shared" si="15"/>
        <v>24009.473552079067</v>
      </c>
      <c r="F136" s="4"/>
      <c r="G136" s="3">
        <f t="shared" si="16"/>
        <v>2429956.8287599855</v>
      </c>
      <c r="H136" s="69"/>
      <c r="I136" s="69"/>
      <c r="J136" s="27"/>
    </row>
    <row r="137" spans="1:10" x14ac:dyDescent="0.25">
      <c r="A137" s="5">
        <v>47027</v>
      </c>
      <c r="B137" s="3">
        <f t="shared" si="14"/>
        <v>2429956.8287599855</v>
      </c>
      <c r="C137" s="147">
        <v>5000</v>
      </c>
      <c r="D137" s="29">
        <v>0.01</v>
      </c>
      <c r="E137" s="2">
        <f t="shared" si="15"/>
        <v>24299.568287599857</v>
      </c>
      <c r="F137" s="4"/>
      <c r="G137" s="3">
        <f t="shared" si="16"/>
        <v>2459256.3970475853</v>
      </c>
      <c r="H137" s="69"/>
      <c r="I137" s="69"/>
      <c r="J137" s="27"/>
    </row>
    <row r="138" spans="1:10" x14ac:dyDescent="0.25">
      <c r="A138" s="5">
        <v>47058</v>
      </c>
      <c r="B138" s="3">
        <f t="shared" si="14"/>
        <v>2459256.3970475853</v>
      </c>
      <c r="C138" s="147">
        <v>5000</v>
      </c>
      <c r="D138" s="29">
        <v>0.01</v>
      </c>
      <c r="E138" s="2">
        <f t="shared" si="15"/>
        <v>24592.563970475854</v>
      </c>
      <c r="F138" s="4"/>
      <c r="G138" s="3">
        <f t="shared" si="16"/>
        <v>2488848.9610180613</v>
      </c>
      <c r="H138" s="69"/>
      <c r="I138" s="69"/>
      <c r="J138" s="27"/>
    </row>
    <row r="139" spans="1:10" x14ac:dyDescent="0.25">
      <c r="A139" s="5">
        <v>47088</v>
      </c>
      <c r="B139" s="3">
        <f t="shared" si="14"/>
        <v>2488848.9610180613</v>
      </c>
      <c r="C139" s="147">
        <v>5000</v>
      </c>
      <c r="D139" s="29">
        <v>0.01</v>
      </c>
      <c r="E139" s="2">
        <f t="shared" si="15"/>
        <v>24888.489610180612</v>
      </c>
      <c r="F139" s="4"/>
      <c r="G139" s="3">
        <f t="shared" si="16"/>
        <v>2518737.450628242</v>
      </c>
      <c r="H139" s="69"/>
      <c r="I139" s="69"/>
      <c r="J139" s="27"/>
    </row>
    <row r="140" spans="1:10" x14ac:dyDescent="0.25">
      <c r="A140" s="5">
        <v>47119</v>
      </c>
      <c r="B140" s="3">
        <f t="shared" si="14"/>
        <v>2518737.450628242</v>
      </c>
      <c r="C140" s="147">
        <v>5000</v>
      </c>
      <c r="D140" s="29">
        <v>0.01</v>
      </c>
      <c r="E140" s="2">
        <f t="shared" si="15"/>
        <v>25187.37450628242</v>
      </c>
      <c r="F140" s="4"/>
      <c r="G140" s="3">
        <f t="shared" si="16"/>
        <v>2548924.8251345246</v>
      </c>
      <c r="H140" s="69"/>
      <c r="I140" s="69"/>
      <c r="J140" s="27"/>
    </row>
    <row r="141" spans="1:10" x14ac:dyDescent="0.25">
      <c r="A141" s="5">
        <v>47150</v>
      </c>
      <c r="B141" s="3">
        <f t="shared" si="14"/>
        <v>2548924.8251345246</v>
      </c>
      <c r="C141" s="147">
        <v>5000</v>
      </c>
      <c r="D141" s="29">
        <v>0.01</v>
      </c>
      <c r="E141" s="2">
        <f t="shared" si="15"/>
        <v>25489.248251345245</v>
      </c>
      <c r="F141" s="4"/>
      <c r="G141" s="3">
        <f t="shared" si="16"/>
        <v>2579414.0733858701</v>
      </c>
      <c r="H141" s="69"/>
      <c r="I141" s="69"/>
      <c r="J141" s="27"/>
    </row>
    <row r="142" spans="1:10" x14ac:dyDescent="0.25">
      <c r="A142" s="5">
        <v>47178</v>
      </c>
      <c r="B142" s="3">
        <f t="shared" si="14"/>
        <v>2579414.0733858701</v>
      </c>
      <c r="C142" s="147">
        <v>5000</v>
      </c>
      <c r="D142" s="29">
        <v>0.01</v>
      </c>
      <c r="E142" s="2">
        <f t="shared" si="15"/>
        <v>25794.140733858701</v>
      </c>
      <c r="F142" s="4"/>
      <c r="G142" s="3">
        <f t="shared" si="16"/>
        <v>2610208.2141197287</v>
      </c>
      <c r="H142" s="69"/>
      <c r="I142" s="69"/>
      <c r="J142" s="27"/>
    </row>
    <row r="143" spans="1:10" x14ac:dyDescent="0.25">
      <c r="A143" s="5">
        <v>47209</v>
      </c>
      <c r="B143" s="3">
        <f t="shared" si="14"/>
        <v>2610208.2141197287</v>
      </c>
      <c r="C143" s="147">
        <v>5000</v>
      </c>
      <c r="D143" s="29">
        <v>0.01</v>
      </c>
      <c r="E143" s="2">
        <f t="shared" si="15"/>
        <v>26102.082141197287</v>
      </c>
      <c r="F143" s="4"/>
      <c r="G143" s="3">
        <f t="shared" si="16"/>
        <v>2641310.2962609259</v>
      </c>
      <c r="H143" s="69"/>
      <c r="I143" s="69"/>
      <c r="J143" s="27"/>
    </row>
    <row r="144" spans="1:10" x14ac:dyDescent="0.25">
      <c r="A144" s="5">
        <v>47239</v>
      </c>
      <c r="B144" s="3">
        <f t="shared" si="14"/>
        <v>2641310.2962609259</v>
      </c>
      <c r="C144" s="147">
        <v>5000</v>
      </c>
      <c r="D144" s="29">
        <v>0.01</v>
      </c>
      <c r="E144" s="2">
        <f t="shared" si="15"/>
        <v>26413.10296260926</v>
      </c>
      <c r="F144" s="4"/>
      <c r="G144" s="3">
        <f t="shared" si="16"/>
        <v>2672723.3992235353</v>
      </c>
      <c r="H144" s="69"/>
      <c r="I144" s="69"/>
      <c r="J144" s="27"/>
    </row>
    <row r="145" spans="1:10" x14ac:dyDescent="0.25">
      <c r="A145" s="5">
        <v>47270</v>
      </c>
      <c r="B145" s="3">
        <f t="shared" si="14"/>
        <v>2672723.3992235353</v>
      </c>
      <c r="C145" s="147">
        <v>5000</v>
      </c>
      <c r="D145" s="29">
        <v>0.01</v>
      </c>
      <c r="E145" s="2">
        <f t="shared" si="15"/>
        <v>26727.233992235353</v>
      </c>
      <c r="F145" s="4"/>
      <c r="G145" s="3">
        <f t="shared" si="16"/>
        <v>2704450.6332157706</v>
      </c>
      <c r="H145" s="69"/>
      <c r="I145" s="69"/>
      <c r="J145" s="27"/>
    </row>
    <row r="146" spans="1:10" x14ac:dyDescent="0.25">
      <c r="A146" s="5">
        <v>47300</v>
      </c>
      <c r="B146" s="3">
        <f t="shared" si="14"/>
        <v>2704450.6332157706</v>
      </c>
      <c r="C146" s="147">
        <v>5000</v>
      </c>
      <c r="D146" s="29">
        <v>0.01</v>
      </c>
      <c r="E146" s="2">
        <f t="shared" si="15"/>
        <v>27044.506332157707</v>
      </c>
      <c r="F146" s="4"/>
      <c r="G146" s="3">
        <f t="shared" si="16"/>
        <v>2736495.1395479282</v>
      </c>
      <c r="H146" s="69"/>
      <c r="I146" s="69"/>
      <c r="J146" s="27"/>
    </row>
    <row r="147" spans="1:10" x14ac:dyDescent="0.25">
      <c r="A147" s="5">
        <v>47331</v>
      </c>
      <c r="B147" s="3">
        <f t="shared" si="14"/>
        <v>2736495.1395479282</v>
      </c>
      <c r="C147" s="147">
        <v>5000</v>
      </c>
      <c r="D147" s="29">
        <v>0.01</v>
      </c>
      <c r="E147" s="2">
        <f t="shared" si="15"/>
        <v>27364.951395479282</v>
      </c>
      <c r="F147" s="4"/>
      <c r="G147" s="3">
        <f t="shared" si="16"/>
        <v>2768860.0909434077</v>
      </c>
      <c r="H147" s="69"/>
      <c r="I147" s="69"/>
      <c r="J147" s="27"/>
    </row>
    <row r="148" spans="1:10" x14ac:dyDescent="0.25">
      <c r="A148" s="5">
        <v>47362</v>
      </c>
      <c r="B148" s="3">
        <f t="shared" si="14"/>
        <v>2768860.0909434077</v>
      </c>
      <c r="C148" s="147">
        <v>5000</v>
      </c>
      <c r="D148" s="29">
        <v>0.01</v>
      </c>
      <c r="E148" s="2">
        <f t="shared" si="15"/>
        <v>27688.600909434077</v>
      </c>
      <c r="F148" s="4"/>
      <c r="G148" s="3">
        <f t="shared" si="16"/>
        <v>2801548.691852842</v>
      </c>
      <c r="H148" s="69"/>
      <c r="I148" s="69"/>
      <c r="J148" s="27"/>
    </row>
    <row r="149" spans="1:10" x14ac:dyDescent="0.25">
      <c r="A149" s="5">
        <v>47392</v>
      </c>
      <c r="B149" s="3">
        <f t="shared" si="14"/>
        <v>2801548.691852842</v>
      </c>
      <c r="C149" s="147">
        <v>5000</v>
      </c>
      <c r="D149" s="29">
        <v>0.01</v>
      </c>
      <c r="E149" s="2">
        <f t="shared" si="15"/>
        <v>28015.486918528419</v>
      </c>
      <c r="F149" s="4"/>
      <c r="G149" s="3">
        <f t="shared" si="16"/>
        <v>2834564.1787713706</v>
      </c>
      <c r="H149" s="69"/>
      <c r="I149" s="69"/>
      <c r="J149" s="27"/>
    </row>
    <row r="150" spans="1:10" x14ac:dyDescent="0.25">
      <c r="A150" s="5">
        <v>47423</v>
      </c>
      <c r="B150" s="3">
        <f t="shared" si="14"/>
        <v>2834564.1787713706</v>
      </c>
      <c r="C150" s="147">
        <v>5000</v>
      </c>
      <c r="D150" s="29">
        <v>0.01</v>
      </c>
      <c r="E150" s="2">
        <f t="shared" si="15"/>
        <v>28345.641787713706</v>
      </c>
      <c r="F150" s="4"/>
      <c r="G150" s="3">
        <f t="shared" si="16"/>
        <v>2867909.8205590844</v>
      </c>
      <c r="H150" s="69"/>
      <c r="I150" s="69"/>
      <c r="J150" s="27"/>
    </row>
    <row r="151" spans="1:10" x14ac:dyDescent="0.25">
      <c r="A151" s="5">
        <v>47453</v>
      </c>
      <c r="B151" s="3">
        <f t="shared" si="14"/>
        <v>2867909.8205590844</v>
      </c>
      <c r="C151" s="147">
        <v>5000</v>
      </c>
      <c r="D151" s="29">
        <v>0.01</v>
      </c>
      <c r="E151" s="2">
        <f t="shared" si="15"/>
        <v>28679.098205590846</v>
      </c>
      <c r="F151" s="4"/>
      <c r="G151" s="3">
        <f t="shared" si="16"/>
        <v>2901588.918764675</v>
      </c>
      <c r="H151" s="69"/>
      <c r="I151" s="69"/>
      <c r="J151" s="27"/>
    </row>
    <row r="152" spans="1:10" x14ac:dyDescent="0.25">
      <c r="A152" s="5">
        <v>47484</v>
      </c>
      <c r="B152" s="3">
        <f t="shared" si="14"/>
        <v>2901588.918764675</v>
      </c>
      <c r="C152" s="147">
        <v>5000</v>
      </c>
      <c r="D152" s="29">
        <v>0.01</v>
      </c>
      <c r="E152" s="2">
        <f t="shared" si="15"/>
        <v>29015.88918764675</v>
      </c>
      <c r="F152" s="4"/>
      <c r="G152" s="3">
        <f t="shared" si="16"/>
        <v>2935604.8079523216</v>
      </c>
      <c r="H152" s="69"/>
      <c r="I152" s="69"/>
      <c r="J152" s="27"/>
    </row>
    <row r="153" spans="1:10" x14ac:dyDescent="0.25">
      <c r="A153" s="5">
        <v>47515</v>
      </c>
      <c r="B153" s="3">
        <f t="shared" si="14"/>
        <v>2935604.8079523216</v>
      </c>
      <c r="C153" s="147">
        <v>5000</v>
      </c>
      <c r="D153" s="29">
        <v>0.01</v>
      </c>
      <c r="E153" s="2">
        <f t="shared" si="15"/>
        <v>29356.048079523218</v>
      </c>
      <c r="F153" s="4"/>
      <c r="G153" s="3">
        <f t="shared" si="16"/>
        <v>2969960.8560318449</v>
      </c>
      <c r="H153" s="69"/>
      <c r="I153" s="69"/>
      <c r="J153" s="27"/>
    </row>
    <row r="154" spans="1:10" x14ac:dyDescent="0.25">
      <c r="A154" s="5">
        <v>47543</v>
      </c>
      <c r="B154" s="3">
        <f t="shared" si="14"/>
        <v>2969960.8560318449</v>
      </c>
      <c r="C154" s="147">
        <v>5000</v>
      </c>
      <c r="D154" s="29">
        <v>0.01</v>
      </c>
      <c r="E154" s="2">
        <f t="shared" si="15"/>
        <v>29699.608560318447</v>
      </c>
      <c r="F154" s="4"/>
      <c r="G154" s="3">
        <f t="shared" si="16"/>
        <v>3004660.4645921635</v>
      </c>
      <c r="H154" s="69"/>
      <c r="I154" s="69"/>
      <c r="J154" s="27"/>
    </row>
    <row r="155" spans="1:10" x14ac:dyDescent="0.25">
      <c r="A155" s="5">
        <v>47574</v>
      </c>
      <c r="B155" s="3">
        <f t="shared" si="14"/>
        <v>3004660.4645921635</v>
      </c>
      <c r="C155" s="147">
        <v>5000</v>
      </c>
      <c r="D155" s="29">
        <v>0.01</v>
      </c>
      <c r="E155" s="2">
        <f t="shared" si="15"/>
        <v>30046.604645921634</v>
      </c>
      <c r="F155" s="4"/>
      <c r="G155" s="3">
        <f t="shared" si="16"/>
        <v>3039707.0692380853</v>
      </c>
      <c r="H155" s="69"/>
      <c r="I155" s="69"/>
      <c r="J155" s="27"/>
    </row>
    <row r="156" spans="1:10" x14ac:dyDescent="0.25">
      <c r="A156" s="5">
        <v>47604</v>
      </c>
      <c r="B156" s="3">
        <f t="shared" si="14"/>
        <v>3039707.0692380853</v>
      </c>
      <c r="C156" s="147">
        <v>5000</v>
      </c>
      <c r="D156" s="29">
        <v>0.01</v>
      </c>
      <c r="E156" s="2">
        <f t="shared" si="15"/>
        <v>30397.070692380854</v>
      </c>
      <c r="F156" s="4"/>
      <c r="G156" s="3">
        <f t="shared" si="16"/>
        <v>3075104.1399304662</v>
      </c>
      <c r="H156" s="69"/>
      <c r="I156" s="69"/>
      <c r="J156" s="27"/>
    </row>
    <row r="157" spans="1:10" x14ac:dyDescent="0.25">
      <c r="A157" s="5">
        <v>47635</v>
      </c>
      <c r="B157" s="3">
        <f t="shared" si="14"/>
        <v>3075104.1399304662</v>
      </c>
      <c r="C157" s="147">
        <v>5000</v>
      </c>
      <c r="D157" s="29">
        <v>0.01</v>
      </c>
      <c r="E157" s="2">
        <f t="shared" si="15"/>
        <v>30751.041399304664</v>
      </c>
      <c r="F157" s="4"/>
      <c r="G157" s="3">
        <f t="shared" si="16"/>
        <v>3110855.1813297709</v>
      </c>
      <c r="H157" s="69"/>
      <c r="I157" s="69"/>
      <c r="J157" s="27"/>
    </row>
    <row r="158" spans="1:10" x14ac:dyDescent="0.25">
      <c r="A158" s="5">
        <v>47665</v>
      </c>
      <c r="B158" s="3">
        <f t="shared" si="14"/>
        <v>3110855.1813297709</v>
      </c>
      <c r="C158" s="147">
        <v>5000</v>
      </c>
      <c r="D158" s="29">
        <v>0.01</v>
      </c>
      <c r="E158" s="2">
        <f t="shared" si="15"/>
        <v>31108.551813297709</v>
      </c>
      <c r="F158" s="4"/>
      <c r="G158" s="3">
        <f t="shared" si="16"/>
        <v>3146963.7331430689</v>
      </c>
      <c r="H158" s="69"/>
      <c r="I158" s="69"/>
      <c r="J158" s="27"/>
    </row>
    <row r="159" spans="1:10" x14ac:dyDescent="0.25">
      <c r="A159" s="5">
        <v>47696</v>
      </c>
      <c r="B159" s="3">
        <f t="shared" si="14"/>
        <v>3146963.7331430689</v>
      </c>
      <c r="C159" s="147">
        <v>5000</v>
      </c>
      <c r="D159" s="29">
        <v>0.01</v>
      </c>
      <c r="E159" s="2">
        <f t="shared" si="15"/>
        <v>31469.637331430687</v>
      </c>
      <c r="F159" s="4"/>
      <c r="G159" s="3">
        <f t="shared" si="16"/>
        <v>3183433.3704744997</v>
      </c>
      <c r="H159" s="69"/>
      <c r="I159" s="69"/>
      <c r="J159" s="27"/>
    </row>
    <row r="160" spans="1:10" x14ac:dyDescent="0.25">
      <c r="A160" s="5">
        <v>47727</v>
      </c>
      <c r="B160" s="3">
        <f t="shared" si="14"/>
        <v>3183433.3704744997</v>
      </c>
      <c r="C160" s="147">
        <v>5000</v>
      </c>
      <c r="D160" s="29">
        <v>0.01</v>
      </c>
      <c r="E160" s="2">
        <f t="shared" si="15"/>
        <v>31834.333704744997</v>
      </c>
      <c r="F160" s="4"/>
      <c r="G160" s="3">
        <f t="shared" si="16"/>
        <v>3220267.7041792446</v>
      </c>
      <c r="H160" s="69"/>
      <c r="I160" s="69"/>
      <c r="J160" s="27"/>
    </row>
    <row r="161" spans="1:10" x14ac:dyDescent="0.25">
      <c r="A161" s="5">
        <v>47757</v>
      </c>
      <c r="B161" s="3">
        <f t="shared" si="14"/>
        <v>3220267.7041792446</v>
      </c>
      <c r="C161" s="147">
        <v>5000</v>
      </c>
      <c r="D161" s="29">
        <v>0.01</v>
      </c>
      <c r="E161" s="2">
        <f t="shared" si="15"/>
        <v>32202.677041792445</v>
      </c>
      <c r="F161" s="4"/>
      <c r="G161" s="3">
        <f t="shared" si="16"/>
        <v>3257470.3812210369</v>
      </c>
      <c r="H161" s="69"/>
      <c r="I161" s="69"/>
      <c r="J161" s="27"/>
    </row>
    <row r="162" spans="1:10" x14ac:dyDescent="0.25">
      <c r="A162" s="5">
        <v>47788</v>
      </c>
      <c r="B162" s="3">
        <f t="shared" si="14"/>
        <v>3257470.3812210369</v>
      </c>
      <c r="C162" s="147">
        <v>5000</v>
      </c>
      <c r="D162" s="29">
        <v>0.01</v>
      </c>
      <c r="E162" s="2">
        <f t="shared" si="15"/>
        <v>32574.70381221037</v>
      </c>
      <c r="F162" s="4"/>
      <c r="G162" s="3">
        <f t="shared" si="16"/>
        <v>3295045.0850332472</v>
      </c>
      <c r="H162" s="69"/>
      <c r="I162" s="69"/>
      <c r="J162" s="27"/>
    </row>
    <row r="163" spans="1:10" x14ac:dyDescent="0.25">
      <c r="A163" s="5">
        <v>47818</v>
      </c>
      <c r="B163" s="3">
        <f t="shared" si="14"/>
        <v>3295045.0850332472</v>
      </c>
      <c r="C163" s="147">
        <v>5000</v>
      </c>
      <c r="D163" s="29">
        <v>0.01</v>
      </c>
      <c r="E163" s="2">
        <f t="shared" si="15"/>
        <v>32950.450850332476</v>
      </c>
      <c r="F163" s="4"/>
      <c r="G163" s="3">
        <f t="shared" si="16"/>
        <v>3332995.5358835799</v>
      </c>
      <c r="H163" s="69"/>
      <c r="I163" s="69"/>
      <c r="J163" s="27"/>
    </row>
    <row r="164" spans="1:10" x14ac:dyDescent="0.25">
      <c r="A164" s="5">
        <v>47849</v>
      </c>
      <c r="B164" s="3">
        <f t="shared" si="14"/>
        <v>3332995.5358835799</v>
      </c>
      <c r="C164" s="147">
        <v>5000</v>
      </c>
      <c r="D164" s="29">
        <v>0.01</v>
      </c>
      <c r="E164" s="2">
        <f t="shared" si="15"/>
        <v>33329.955358835796</v>
      </c>
      <c r="F164" s="4"/>
      <c r="G164" s="3">
        <f t="shared" si="16"/>
        <v>3371325.4912424157</v>
      </c>
      <c r="H164" s="69"/>
      <c r="I164" s="69"/>
      <c r="J164" s="27"/>
    </row>
    <row r="165" spans="1:10" x14ac:dyDescent="0.25">
      <c r="A165" s="5">
        <v>47880</v>
      </c>
      <c r="B165" s="3">
        <f t="shared" si="14"/>
        <v>3371325.4912424157</v>
      </c>
      <c r="C165" s="147">
        <v>5000</v>
      </c>
      <c r="D165" s="29">
        <v>0.01</v>
      </c>
      <c r="E165" s="2">
        <f t="shared" si="15"/>
        <v>33713.254912424156</v>
      </c>
      <c r="F165" s="4"/>
      <c r="G165" s="3">
        <f t="shared" si="16"/>
        <v>3410038.7461548401</v>
      </c>
      <c r="H165" s="69"/>
      <c r="I165" s="69"/>
      <c r="J165" s="27"/>
    </row>
    <row r="166" spans="1:10" x14ac:dyDescent="0.25">
      <c r="A166" s="5">
        <v>47908</v>
      </c>
      <c r="B166" s="3">
        <f t="shared" si="14"/>
        <v>3410038.7461548401</v>
      </c>
      <c r="C166" s="147">
        <v>5000</v>
      </c>
      <c r="D166" s="29">
        <v>0.01</v>
      </c>
      <c r="E166" s="2">
        <f t="shared" si="15"/>
        <v>34100.387461548402</v>
      </c>
      <c r="F166" s="4"/>
      <c r="G166" s="3">
        <f t="shared" si="16"/>
        <v>3449139.1336163883</v>
      </c>
      <c r="H166" s="69"/>
      <c r="I166" s="69"/>
      <c r="J166" s="27"/>
    </row>
    <row r="167" spans="1:10" x14ac:dyDescent="0.25">
      <c r="A167" s="5">
        <v>47939</v>
      </c>
      <c r="B167" s="3">
        <f t="shared" si="14"/>
        <v>3449139.1336163883</v>
      </c>
      <c r="C167" s="147">
        <v>5000</v>
      </c>
      <c r="D167" s="29">
        <v>0.01</v>
      </c>
      <c r="E167" s="2">
        <f t="shared" si="15"/>
        <v>34491.391336163884</v>
      </c>
      <c r="F167" s="4"/>
      <c r="G167" s="3">
        <f t="shared" si="16"/>
        <v>3488630.5249525523</v>
      </c>
      <c r="H167" s="69"/>
      <c r="I167" s="69"/>
      <c r="J167" s="27"/>
    </row>
    <row r="168" spans="1:10" x14ac:dyDescent="0.25">
      <c r="A168" s="5">
        <v>47969</v>
      </c>
      <c r="B168" s="3">
        <f t="shared" si="14"/>
        <v>3488630.5249525523</v>
      </c>
      <c r="C168" s="147">
        <v>5000</v>
      </c>
      <c r="D168" s="29">
        <v>0.01</v>
      </c>
      <c r="E168" s="2">
        <f t="shared" si="15"/>
        <v>34886.305249525525</v>
      </c>
      <c r="F168" s="4"/>
      <c r="G168" s="3">
        <f t="shared" si="16"/>
        <v>3528516.830202078</v>
      </c>
      <c r="H168" s="69"/>
      <c r="I168" s="69"/>
      <c r="J168" s="27"/>
    </row>
    <row r="169" spans="1:10" x14ac:dyDescent="0.25">
      <c r="A169" s="5">
        <v>48000</v>
      </c>
      <c r="B169" s="3">
        <f t="shared" si="14"/>
        <v>3528516.830202078</v>
      </c>
      <c r="C169" s="147">
        <v>5000</v>
      </c>
      <c r="D169" s="29">
        <v>0.01</v>
      </c>
      <c r="E169" s="2">
        <f t="shared" si="15"/>
        <v>35285.168302020778</v>
      </c>
      <c r="F169" s="4"/>
      <c r="G169" s="3">
        <f t="shared" si="16"/>
        <v>3568801.998504099</v>
      </c>
      <c r="H169" s="69"/>
      <c r="I169" s="69"/>
      <c r="J169" s="27"/>
    </row>
    <row r="170" spans="1:10" x14ac:dyDescent="0.25">
      <c r="A170" s="5">
        <v>48030</v>
      </c>
      <c r="B170" s="3">
        <f t="shared" si="14"/>
        <v>3568801.998504099</v>
      </c>
      <c r="C170" s="147">
        <v>5000</v>
      </c>
      <c r="D170" s="29">
        <v>0.01</v>
      </c>
      <c r="E170" s="2">
        <f t="shared" si="15"/>
        <v>35688.019985040992</v>
      </c>
      <c r="F170" s="4"/>
      <c r="G170" s="3">
        <f t="shared" si="16"/>
        <v>3609490.0184891401</v>
      </c>
      <c r="H170" s="69"/>
      <c r="I170" s="69"/>
      <c r="J170" s="27"/>
    </row>
    <row r="171" spans="1:10" x14ac:dyDescent="0.25">
      <c r="A171" s="5">
        <v>48061</v>
      </c>
      <c r="B171" s="3">
        <f t="shared" si="14"/>
        <v>3609490.0184891401</v>
      </c>
      <c r="C171" s="147">
        <v>5000</v>
      </c>
      <c r="D171" s="29">
        <v>0.01</v>
      </c>
      <c r="E171" s="2">
        <f t="shared" si="15"/>
        <v>36094.900184891405</v>
      </c>
      <c r="F171" s="4"/>
      <c r="G171" s="3">
        <f t="shared" si="16"/>
        <v>3650584.9186740313</v>
      </c>
      <c r="H171" s="69"/>
      <c r="I171" s="69"/>
      <c r="J171" s="27"/>
    </row>
    <row r="172" spans="1:10" x14ac:dyDescent="0.25">
      <c r="A172" s="5">
        <v>48092</v>
      </c>
      <c r="B172" s="3">
        <f t="shared" si="14"/>
        <v>3650584.9186740313</v>
      </c>
      <c r="C172" s="147">
        <v>5000</v>
      </c>
      <c r="D172" s="29">
        <v>0.01</v>
      </c>
      <c r="E172" s="2">
        <f t="shared" si="15"/>
        <v>36505.849186740314</v>
      </c>
      <c r="F172" s="4"/>
      <c r="G172" s="3">
        <f t="shared" si="16"/>
        <v>3692090.7678607716</v>
      </c>
      <c r="H172" s="69"/>
      <c r="I172" s="69"/>
      <c r="J172" s="27"/>
    </row>
    <row r="173" spans="1:10" x14ac:dyDescent="0.25">
      <c r="A173" s="5">
        <v>48122</v>
      </c>
      <c r="B173" s="3">
        <f t="shared" si="14"/>
        <v>3692090.7678607716</v>
      </c>
      <c r="C173" s="147">
        <v>5000</v>
      </c>
      <c r="D173" s="29">
        <v>0.01</v>
      </c>
      <c r="E173" s="2">
        <f t="shared" si="15"/>
        <v>36920.90767860772</v>
      </c>
      <c r="F173" s="4"/>
      <c r="G173" s="3">
        <f t="shared" si="16"/>
        <v>3734011.6755393795</v>
      </c>
      <c r="H173" s="69"/>
      <c r="I173" s="69"/>
      <c r="J173" s="27"/>
    </row>
    <row r="174" spans="1:10" x14ac:dyDescent="0.25">
      <c r="A174" s="5">
        <v>48153</v>
      </c>
      <c r="B174" s="3">
        <f t="shared" si="14"/>
        <v>3734011.6755393795</v>
      </c>
      <c r="C174" s="147">
        <v>5000</v>
      </c>
      <c r="D174" s="29">
        <v>0.01</v>
      </c>
      <c r="E174" s="2">
        <f t="shared" si="15"/>
        <v>37340.116755393792</v>
      </c>
      <c r="F174" s="4"/>
      <c r="G174" s="3">
        <f t="shared" si="16"/>
        <v>3776351.7922947733</v>
      </c>
      <c r="H174" s="69"/>
      <c r="I174" s="69"/>
      <c r="J174" s="27"/>
    </row>
    <row r="175" spans="1:10" x14ac:dyDescent="0.25">
      <c r="A175" s="5">
        <v>48183</v>
      </c>
      <c r="B175" s="3">
        <f t="shared" si="14"/>
        <v>3776351.7922947733</v>
      </c>
      <c r="C175" s="147">
        <v>5000</v>
      </c>
      <c r="D175" s="29">
        <v>0.01</v>
      </c>
      <c r="E175" s="2">
        <f t="shared" si="15"/>
        <v>37763.517922947736</v>
      </c>
      <c r="F175" s="4"/>
      <c r="G175" s="3">
        <f t="shared" si="16"/>
        <v>3819115.3102177209</v>
      </c>
      <c r="H175" s="69"/>
      <c r="I175" s="69"/>
      <c r="J175" s="27"/>
    </row>
    <row r="176" spans="1:10" x14ac:dyDescent="0.25">
      <c r="A176" s="5">
        <v>48214</v>
      </c>
      <c r="B176" s="3">
        <f t="shared" si="14"/>
        <v>3819115.3102177209</v>
      </c>
      <c r="C176" s="147">
        <v>5000</v>
      </c>
      <c r="D176" s="29">
        <v>0.01</v>
      </c>
      <c r="E176" s="2">
        <f t="shared" si="15"/>
        <v>38191.15310217721</v>
      </c>
      <c r="F176" s="4"/>
      <c r="G176" s="3">
        <f t="shared" si="16"/>
        <v>3862306.4633198981</v>
      </c>
      <c r="H176" s="69"/>
      <c r="I176" s="69"/>
      <c r="J176" s="27"/>
    </row>
    <row r="177" spans="1:10" x14ac:dyDescent="0.25">
      <c r="A177" s="5">
        <v>48245</v>
      </c>
      <c r="B177" s="3">
        <f t="shared" si="14"/>
        <v>3862306.4633198981</v>
      </c>
      <c r="C177" s="147">
        <v>5000</v>
      </c>
      <c r="D177" s="29">
        <v>0.01</v>
      </c>
      <c r="E177" s="2">
        <f t="shared" si="15"/>
        <v>38623.064633198985</v>
      </c>
      <c r="F177" s="4"/>
      <c r="G177" s="3">
        <f t="shared" si="16"/>
        <v>3905929.5279530971</v>
      </c>
      <c r="H177" s="69"/>
      <c r="I177" s="69"/>
      <c r="J177" s="27"/>
    </row>
    <row r="178" spans="1:10" x14ac:dyDescent="0.25">
      <c r="A178" s="5">
        <v>48274</v>
      </c>
      <c r="B178" s="3">
        <f t="shared" si="14"/>
        <v>3905929.5279530971</v>
      </c>
      <c r="C178" s="147">
        <v>5000</v>
      </c>
      <c r="D178" s="29">
        <v>0.01</v>
      </c>
      <c r="E178" s="2">
        <f t="shared" si="15"/>
        <v>39059.295279530976</v>
      </c>
      <c r="F178" s="4"/>
      <c r="G178" s="3">
        <f t="shared" si="16"/>
        <v>3949988.8232326279</v>
      </c>
      <c r="H178" s="69"/>
      <c r="I178" s="69"/>
      <c r="J178" s="27"/>
    </row>
    <row r="179" spans="1:10" x14ac:dyDescent="0.25">
      <c r="A179" s="5">
        <v>48305</v>
      </c>
      <c r="B179" s="3">
        <f t="shared" si="14"/>
        <v>3949988.8232326279</v>
      </c>
      <c r="C179" s="147">
        <v>5000</v>
      </c>
      <c r="D179" s="29">
        <v>0.01</v>
      </c>
      <c r="E179" s="2">
        <f t="shared" si="15"/>
        <v>39499.888232326281</v>
      </c>
      <c r="F179" s="4"/>
      <c r="G179" s="3">
        <f t="shared" si="16"/>
        <v>3994488.7114649541</v>
      </c>
      <c r="H179" s="69"/>
      <c r="I179" s="69"/>
      <c r="J179" s="27"/>
    </row>
    <row r="180" spans="1:10" x14ac:dyDescent="0.25">
      <c r="A180" s="5">
        <v>48335</v>
      </c>
      <c r="B180" s="3">
        <f t="shared" si="14"/>
        <v>3994488.7114649541</v>
      </c>
      <c r="C180" s="147">
        <v>5000</v>
      </c>
      <c r="D180" s="29">
        <v>0.01</v>
      </c>
      <c r="E180" s="2">
        <f t="shared" si="15"/>
        <v>39944.887114649544</v>
      </c>
      <c r="F180" s="4"/>
      <c r="G180" s="3">
        <f t="shared" si="16"/>
        <v>4039433.5985796037</v>
      </c>
      <c r="H180" s="69"/>
      <c r="I180" s="69"/>
      <c r="J180" s="27"/>
    </row>
    <row r="181" spans="1:10" x14ac:dyDescent="0.25">
      <c r="A181" s="5">
        <v>48366</v>
      </c>
      <c r="B181" s="3">
        <f t="shared" ref="B181:B202" si="17">(G180)</f>
        <v>4039433.5985796037</v>
      </c>
      <c r="C181" s="147">
        <v>5000</v>
      </c>
      <c r="D181" s="29">
        <v>0.01</v>
      </c>
      <c r="E181" s="2">
        <f t="shared" ref="E181:E202" si="18">(B181*D181)</f>
        <v>40394.335985796039</v>
      </c>
      <c r="F181" s="4"/>
      <c r="G181" s="3">
        <f t="shared" ref="G181:G202" si="19">(G180+C181+E181+F181)</f>
        <v>4084827.9345653998</v>
      </c>
      <c r="H181" s="69"/>
      <c r="I181" s="69"/>
      <c r="J181" s="27"/>
    </row>
    <row r="182" spans="1:10" x14ac:dyDescent="0.25">
      <c r="A182" s="5">
        <v>48396</v>
      </c>
      <c r="B182" s="3">
        <f t="shared" si="17"/>
        <v>4084827.9345653998</v>
      </c>
      <c r="C182" s="147">
        <v>5000</v>
      </c>
      <c r="D182" s="29">
        <v>0.01</v>
      </c>
      <c r="E182" s="2">
        <f t="shared" si="18"/>
        <v>40848.279345654002</v>
      </c>
      <c r="F182" s="4"/>
      <c r="G182" s="3">
        <f t="shared" si="19"/>
        <v>4130676.2139110537</v>
      </c>
      <c r="H182" s="69"/>
      <c r="I182" s="69"/>
      <c r="J182" s="27"/>
    </row>
    <row r="183" spans="1:10" x14ac:dyDescent="0.25">
      <c r="A183" s="5">
        <v>48427</v>
      </c>
      <c r="B183" s="3">
        <f t="shared" si="17"/>
        <v>4130676.2139110537</v>
      </c>
      <c r="C183" s="147">
        <v>5000</v>
      </c>
      <c r="D183" s="29">
        <v>0.01</v>
      </c>
      <c r="E183" s="2">
        <f t="shared" si="18"/>
        <v>41306.762139110535</v>
      </c>
      <c r="F183" s="4"/>
      <c r="G183" s="3">
        <f t="shared" si="19"/>
        <v>4176982.9760501641</v>
      </c>
      <c r="H183" s="69"/>
      <c r="I183" s="69"/>
      <c r="J183" s="27"/>
    </row>
    <row r="184" spans="1:10" x14ac:dyDescent="0.25">
      <c r="A184" s="5">
        <v>48458</v>
      </c>
      <c r="B184" s="3">
        <f t="shared" si="17"/>
        <v>4176982.9760501641</v>
      </c>
      <c r="C184" s="147">
        <v>5000</v>
      </c>
      <c r="D184" s="29">
        <v>0.01</v>
      </c>
      <c r="E184" s="2">
        <f t="shared" si="18"/>
        <v>41769.829760501641</v>
      </c>
      <c r="F184" s="4"/>
      <c r="G184" s="3">
        <f t="shared" si="19"/>
        <v>4223752.8058106657</v>
      </c>
      <c r="H184" s="69"/>
      <c r="I184" s="69"/>
      <c r="J184" s="27"/>
    </row>
    <row r="185" spans="1:10" x14ac:dyDescent="0.25">
      <c r="A185" s="5">
        <v>48488</v>
      </c>
      <c r="B185" s="3">
        <f t="shared" si="17"/>
        <v>4223752.8058106657</v>
      </c>
      <c r="C185" s="147">
        <v>5000</v>
      </c>
      <c r="D185" s="29">
        <v>0.01</v>
      </c>
      <c r="E185" s="2">
        <f t="shared" si="18"/>
        <v>42237.528058106654</v>
      </c>
      <c r="F185" s="4"/>
      <c r="G185" s="3">
        <f t="shared" si="19"/>
        <v>4270990.3338687727</v>
      </c>
      <c r="H185" s="69"/>
      <c r="I185" s="69"/>
      <c r="J185" s="27"/>
    </row>
    <row r="186" spans="1:10" x14ac:dyDescent="0.25">
      <c r="A186" s="5">
        <v>48519</v>
      </c>
      <c r="B186" s="3">
        <f t="shared" si="17"/>
        <v>4270990.3338687727</v>
      </c>
      <c r="C186" s="147">
        <v>5000</v>
      </c>
      <c r="D186" s="29">
        <v>0.01</v>
      </c>
      <c r="E186" s="2">
        <f t="shared" si="18"/>
        <v>42709.903338687727</v>
      </c>
      <c r="F186" s="4"/>
      <c r="G186" s="3">
        <f t="shared" si="19"/>
        <v>4318700.2372074602</v>
      </c>
      <c r="H186" s="69"/>
      <c r="I186" s="69"/>
      <c r="J186" s="27"/>
    </row>
    <row r="187" spans="1:10" x14ac:dyDescent="0.25">
      <c r="A187" s="5">
        <v>48549</v>
      </c>
      <c r="B187" s="3">
        <f t="shared" si="17"/>
        <v>4318700.2372074602</v>
      </c>
      <c r="C187" s="147">
        <v>5000</v>
      </c>
      <c r="D187" s="29">
        <v>0.01</v>
      </c>
      <c r="E187" s="2">
        <f t="shared" si="18"/>
        <v>43187.002372074603</v>
      </c>
      <c r="F187" s="4"/>
      <c r="G187" s="3">
        <f t="shared" si="19"/>
        <v>4366887.2395795351</v>
      </c>
      <c r="H187" s="69"/>
      <c r="I187" s="69"/>
      <c r="J187" s="27"/>
    </row>
    <row r="188" spans="1:10" x14ac:dyDescent="0.25">
      <c r="A188" s="5">
        <v>48580</v>
      </c>
      <c r="B188" s="3">
        <f t="shared" si="17"/>
        <v>4366887.2395795351</v>
      </c>
      <c r="C188" s="147">
        <v>5000</v>
      </c>
      <c r="D188" s="29">
        <v>0.01</v>
      </c>
      <c r="E188" s="2">
        <f t="shared" si="18"/>
        <v>43668.872395795355</v>
      </c>
      <c r="F188" s="4"/>
      <c r="G188" s="3">
        <f t="shared" si="19"/>
        <v>4415556.1119753309</v>
      </c>
      <c r="H188" s="69"/>
      <c r="I188" s="69"/>
      <c r="J188" s="27"/>
    </row>
    <row r="189" spans="1:10" x14ac:dyDescent="0.25">
      <c r="A189" s="5">
        <v>48611</v>
      </c>
      <c r="B189" s="3">
        <f t="shared" si="17"/>
        <v>4415556.1119753309</v>
      </c>
      <c r="C189" s="147">
        <v>5000</v>
      </c>
      <c r="D189" s="29">
        <v>0.01</v>
      </c>
      <c r="E189" s="2">
        <f t="shared" si="18"/>
        <v>44155.561119753307</v>
      </c>
      <c r="F189" s="4"/>
      <c r="G189" s="3">
        <f t="shared" si="19"/>
        <v>4464711.6730950838</v>
      </c>
      <c r="H189" s="69"/>
      <c r="I189" s="69"/>
      <c r="J189" s="27"/>
    </row>
    <row r="190" spans="1:10" x14ac:dyDescent="0.25">
      <c r="A190" s="5">
        <v>48639</v>
      </c>
      <c r="B190" s="3">
        <f t="shared" si="17"/>
        <v>4464711.6730950838</v>
      </c>
      <c r="C190" s="147">
        <v>5000</v>
      </c>
      <c r="D190" s="29">
        <v>0.01</v>
      </c>
      <c r="E190" s="2">
        <f t="shared" si="18"/>
        <v>44647.116730950838</v>
      </c>
      <c r="F190" s="4"/>
      <c r="G190" s="3">
        <f t="shared" si="19"/>
        <v>4514358.7898260346</v>
      </c>
      <c r="H190" s="69"/>
      <c r="I190" s="69"/>
      <c r="J190" s="27"/>
    </row>
    <row r="191" spans="1:10" x14ac:dyDescent="0.25">
      <c r="A191" s="5">
        <v>48670</v>
      </c>
      <c r="B191" s="3">
        <f t="shared" si="17"/>
        <v>4514358.7898260346</v>
      </c>
      <c r="C191" s="147">
        <v>5000</v>
      </c>
      <c r="D191" s="29">
        <v>0.01</v>
      </c>
      <c r="E191" s="2">
        <f t="shared" si="18"/>
        <v>45143.587898260346</v>
      </c>
      <c r="F191" s="4"/>
      <c r="G191" s="3">
        <f t="shared" si="19"/>
        <v>4564502.3777242946</v>
      </c>
      <c r="H191" s="69"/>
      <c r="I191" s="69"/>
      <c r="J191" s="27"/>
    </row>
    <row r="192" spans="1:10" x14ac:dyDescent="0.25">
      <c r="A192" s="5">
        <v>48700</v>
      </c>
      <c r="B192" s="3">
        <f t="shared" si="17"/>
        <v>4564502.3777242946</v>
      </c>
      <c r="C192" s="147">
        <v>5000</v>
      </c>
      <c r="D192" s="29">
        <v>0.01</v>
      </c>
      <c r="E192" s="2">
        <f t="shared" si="18"/>
        <v>45645.023777242946</v>
      </c>
      <c r="F192" s="4"/>
      <c r="G192" s="3">
        <f t="shared" si="19"/>
        <v>4615147.4015015373</v>
      </c>
      <c r="H192" s="69"/>
      <c r="I192" s="69"/>
      <c r="J192" s="27"/>
    </row>
    <row r="193" spans="1:10" x14ac:dyDescent="0.25">
      <c r="A193" s="5">
        <v>48731</v>
      </c>
      <c r="B193" s="3">
        <f t="shared" si="17"/>
        <v>4615147.4015015373</v>
      </c>
      <c r="C193" s="147">
        <v>5000</v>
      </c>
      <c r="D193" s="29">
        <v>0.01</v>
      </c>
      <c r="E193" s="2">
        <f t="shared" si="18"/>
        <v>46151.474015015374</v>
      </c>
      <c r="F193" s="4"/>
      <c r="G193" s="3">
        <f t="shared" si="19"/>
        <v>4666298.8755165525</v>
      </c>
      <c r="H193" s="69"/>
      <c r="I193" s="69"/>
      <c r="J193" s="27"/>
    </row>
    <row r="194" spans="1:10" x14ac:dyDescent="0.25">
      <c r="A194" s="5">
        <v>48761</v>
      </c>
      <c r="B194" s="3">
        <f t="shared" si="17"/>
        <v>4666298.8755165525</v>
      </c>
      <c r="C194" s="147">
        <v>5000</v>
      </c>
      <c r="D194" s="29">
        <v>0.01</v>
      </c>
      <c r="E194" s="2">
        <f t="shared" si="18"/>
        <v>46662.988755165527</v>
      </c>
      <c r="F194" s="4"/>
      <c r="G194" s="3">
        <f t="shared" si="19"/>
        <v>4717961.8642717181</v>
      </c>
      <c r="H194" s="69"/>
      <c r="I194" s="69"/>
      <c r="J194" s="27"/>
    </row>
    <row r="195" spans="1:10" x14ac:dyDescent="0.25">
      <c r="A195" s="5">
        <v>48792</v>
      </c>
      <c r="B195" s="3">
        <f t="shared" si="17"/>
        <v>4717961.8642717181</v>
      </c>
      <c r="C195" s="147">
        <v>5000</v>
      </c>
      <c r="D195" s="29">
        <v>0.01</v>
      </c>
      <c r="E195" s="2">
        <f t="shared" si="18"/>
        <v>47179.618642717185</v>
      </c>
      <c r="F195" s="4"/>
      <c r="G195" s="3">
        <f t="shared" si="19"/>
        <v>4770141.4829144357</v>
      </c>
      <c r="H195" s="69"/>
      <c r="I195" s="69"/>
      <c r="J195" s="27"/>
    </row>
    <row r="196" spans="1:10" x14ac:dyDescent="0.25">
      <c r="A196" s="5">
        <v>48823</v>
      </c>
      <c r="B196" s="3">
        <f t="shared" si="17"/>
        <v>4770141.4829144357</v>
      </c>
      <c r="C196" s="147">
        <v>5000</v>
      </c>
      <c r="D196" s="29">
        <v>0.01</v>
      </c>
      <c r="E196" s="2">
        <f t="shared" si="18"/>
        <v>47701.414829144356</v>
      </c>
      <c r="F196" s="4"/>
      <c r="G196" s="3">
        <f t="shared" si="19"/>
        <v>4822842.8977435799</v>
      </c>
      <c r="H196" s="69"/>
      <c r="I196" s="69"/>
      <c r="J196" s="27"/>
    </row>
    <row r="197" spans="1:10" x14ac:dyDescent="0.25">
      <c r="A197" s="5">
        <v>48853</v>
      </c>
      <c r="B197" s="3">
        <f t="shared" si="17"/>
        <v>4822842.8977435799</v>
      </c>
      <c r="C197" s="147">
        <v>5000</v>
      </c>
      <c r="D197" s="29">
        <v>0.01</v>
      </c>
      <c r="E197" s="2">
        <f t="shared" si="18"/>
        <v>48228.428977435797</v>
      </c>
      <c r="F197" s="4"/>
      <c r="G197" s="3">
        <f t="shared" si="19"/>
        <v>4876071.3267210154</v>
      </c>
      <c r="H197" s="69"/>
      <c r="I197" s="69"/>
      <c r="J197" s="27"/>
    </row>
    <row r="198" spans="1:10" x14ac:dyDescent="0.25">
      <c r="A198" s="5">
        <v>48884</v>
      </c>
      <c r="B198" s="3">
        <f t="shared" si="17"/>
        <v>4876071.3267210154</v>
      </c>
      <c r="C198" s="147">
        <v>5000</v>
      </c>
      <c r="D198" s="29">
        <v>0.01</v>
      </c>
      <c r="E198" s="2">
        <f t="shared" si="18"/>
        <v>48760.713267210158</v>
      </c>
      <c r="F198" s="4"/>
      <c r="G198" s="3">
        <f t="shared" si="19"/>
        <v>4929832.0399882253</v>
      </c>
      <c r="H198" s="69"/>
      <c r="I198" s="69"/>
      <c r="J198" s="27"/>
    </row>
    <row r="199" spans="1:10" x14ac:dyDescent="0.25">
      <c r="A199" s="5">
        <v>48914</v>
      </c>
      <c r="B199" s="3">
        <f t="shared" si="17"/>
        <v>4929832.0399882253</v>
      </c>
      <c r="C199" s="147">
        <v>5000</v>
      </c>
      <c r="D199" s="29">
        <v>0.01</v>
      </c>
      <c r="E199" s="2">
        <f t="shared" si="18"/>
        <v>49298.320399882257</v>
      </c>
      <c r="F199" s="4"/>
      <c r="G199" s="3">
        <f t="shared" si="19"/>
        <v>4984130.3603881076</v>
      </c>
      <c r="H199" s="69"/>
      <c r="I199" s="69"/>
      <c r="J199" s="27"/>
    </row>
    <row r="200" spans="1:10" x14ac:dyDescent="0.25">
      <c r="A200" s="5">
        <v>48945</v>
      </c>
      <c r="B200" s="3">
        <f t="shared" si="17"/>
        <v>4984130.3603881076</v>
      </c>
      <c r="C200" s="147">
        <v>5000</v>
      </c>
      <c r="D200" s="29">
        <v>0.01</v>
      </c>
      <c r="E200" s="2">
        <f t="shared" si="18"/>
        <v>49841.303603881075</v>
      </c>
      <c r="F200" s="4"/>
      <c r="G200" s="3">
        <f t="shared" si="19"/>
        <v>5038971.6639919886</v>
      </c>
      <c r="H200" s="69"/>
      <c r="I200" s="69"/>
      <c r="J200" s="27"/>
    </row>
    <row r="201" spans="1:10" x14ac:dyDescent="0.25">
      <c r="A201" s="5">
        <v>48976</v>
      </c>
      <c r="B201" s="3">
        <f t="shared" si="17"/>
        <v>5038971.6639919886</v>
      </c>
      <c r="C201" s="147">
        <v>5000</v>
      </c>
      <c r="D201" s="29">
        <v>0.01</v>
      </c>
      <c r="E201" s="2">
        <f t="shared" si="18"/>
        <v>50389.71663991989</v>
      </c>
      <c r="F201" s="4"/>
      <c r="G201" s="3">
        <f t="shared" si="19"/>
        <v>5094361.3806319088</v>
      </c>
      <c r="H201" s="69"/>
      <c r="I201" s="69"/>
      <c r="J201" s="27"/>
    </row>
    <row r="202" spans="1:10" x14ac:dyDescent="0.25">
      <c r="A202" s="5">
        <v>49004</v>
      </c>
      <c r="B202" s="3">
        <f t="shared" si="17"/>
        <v>5094361.3806319088</v>
      </c>
      <c r="C202" s="147">
        <v>5000</v>
      </c>
      <c r="D202" s="29">
        <v>0.01</v>
      </c>
      <c r="E202" s="2">
        <f t="shared" si="18"/>
        <v>50943.613806319088</v>
      </c>
      <c r="F202" s="4"/>
      <c r="G202" s="3">
        <f t="shared" si="19"/>
        <v>5150304.9944382282</v>
      </c>
      <c r="H202" s="69"/>
      <c r="I202" s="69"/>
      <c r="J202" s="27"/>
    </row>
  </sheetData>
  <autoFilter ref="A1:W127" xr:uid="{00000000-0009-0000-0000-000000000000}"/>
  <pageMargins left="0.511811024" right="0.511811024" top="0.78740157499999996" bottom="0.78740157499999996" header="0.31496062000000002" footer="0.31496062000000002"/>
  <pageSetup paperSize="9" orientation="portrait" r:id="rId1"/>
  <colBreaks count="1" manualBreakCount="1">
    <brk id="3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487DB2-972D-40B5-9178-A2005170AB58}">
  <dimension ref="A1:U41"/>
  <sheetViews>
    <sheetView zoomScale="60" zoomScaleNormal="60" workbookViewId="0">
      <selection activeCell="A16" sqref="A16:XFD16"/>
    </sheetView>
  </sheetViews>
  <sheetFormatPr defaultRowHeight="15" x14ac:dyDescent="0.25"/>
  <cols>
    <col min="1" max="1" width="13.28515625" customWidth="1"/>
    <col min="2" max="2" width="16.140625" customWidth="1"/>
    <col min="3" max="3" width="16.42578125" customWidth="1"/>
    <col min="4" max="4" width="16.85546875" customWidth="1"/>
    <col min="5" max="5" width="18.7109375" customWidth="1"/>
    <col min="6" max="6" width="13.28515625" bestFit="1" customWidth="1"/>
    <col min="7" max="7" width="12.5703125" bestFit="1" customWidth="1"/>
    <col min="8" max="8" width="11.140625" bestFit="1" customWidth="1"/>
    <col min="9" max="9" width="14.42578125" customWidth="1"/>
    <col min="10" max="10" width="13" bestFit="1" customWidth="1"/>
    <col min="11" max="11" width="12.5703125" customWidth="1"/>
    <col min="12" max="12" width="11.140625" bestFit="1" customWidth="1"/>
    <col min="13" max="14" width="12.5703125" bestFit="1" customWidth="1"/>
    <col min="15" max="15" width="12.5703125" customWidth="1"/>
    <col min="16" max="18" width="13" customWidth="1"/>
    <col min="19" max="19" width="14.85546875" customWidth="1"/>
    <col min="20" max="20" width="14.42578125" bestFit="1" customWidth="1"/>
    <col min="21" max="21" width="16.85546875" customWidth="1"/>
    <col min="22" max="22" width="14.28515625" bestFit="1" customWidth="1"/>
  </cols>
  <sheetData>
    <row r="1" spans="1:21" x14ac:dyDescent="0.25">
      <c r="A1" s="221" t="s">
        <v>197</v>
      </c>
      <c r="B1" s="223" t="s">
        <v>23</v>
      </c>
      <c r="C1" s="224"/>
      <c r="D1" s="224"/>
      <c r="E1" s="224"/>
      <c r="F1" s="224"/>
      <c r="G1" s="224"/>
      <c r="H1" s="224"/>
      <c r="I1" s="224"/>
      <c r="J1" s="224"/>
      <c r="K1" s="224"/>
      <c r="L1" s="224"/>
      <c r="M1" s="224"/>
      <c r="N1" s="225"/>
      <c r="O1" s="90"/>
      <c r="P1" s="90"/>
      <c r="Q1" s="90"/>
      <c r="R1" s="90"/>
      <c r="S1" s="90"/>
      <c r="T1" s="140" t="s">
        <v>244</v>
      </c>
    </row>
    <row r="2" spans="1:21" x14ac:dyDescent="0.25">
      <c r="A2" s="222"/>
      <c r="B2" s="91" t="s">
        <v>243</v>
      </c>
      <c r="C2" s="91" t="s">
        <v>240</v>
      </c>
      <c r="D2" s="91" t="s">
        <v>241</v>
      </c>
      <c r="E2" s="91" t="s">
        <v>242</v>
      </c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141">
        <v>4.97</v>
      </c>
      <c r="U2" s="56" t="s">
        <v>77</v>
      </c>
    </row>
    <row r="3" spans="1:21" x14ac:dyDescent="0.25">
      <c r="A3" s="19" t="s">
        <v>37</v>
      </c>
      <c r="B3" s="18">
        <v>69.89</v>
      </c>
      <c r="C3" s="18">
        <v>38.549999999999997</v>
      </c>
      <c r="D3" s="18">
        <v>16.82</v>
      </c>
      <c r="E3" s="18">
        <v>6.76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4"/>
    </row>
    <row r="4" spans="1:21" x14ac:dyDescent="0.25">
      <c r="A4" s="19" t="s">
        <v>179</v>
      </c>
      <c r="B4" s="139">
        <f>(2428.05*T2)</f>
        <v>12067.4085</v>
      </c>
      <c r="C4" s="139">
        <f>(1973.14*T2)</f>
        <v>9806.5058000000008</v>
      </c>
      <c r="D4" s="139">
        <f>(1300.14*T2)</f>
        <v>6461.6958000000004</v>
      </c>
      <c r="E4" s="139">
        <f>(2688.97*T2)</f>
        <v>13364.180899999998</v>
      </c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27">
        <f>SUM(B4:S4)</f>
        <v>41699.790999999997</v>
      </c>
    </row>
    <row r="5" spans="1:21" x14ac:dyDescent="0.25">
      <c r="A5" s="4" t="s">
        <v>24</v>
      </c>
      <c r="B5" s="4"/>
      <c r="C5" s="4"/>
      <c r="D5" s="88"/>
      <c r="E5" s="4"/>
      <c r="F5" s="88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226" t="s">
        <v>36</v>
      </c>
      <c r="U5" s="88">
        <f>SUM(B5:N5)</f>
        <v>0</v>
      </c>
    </row>
    <row r="6" spans="1:21" x14ac:dyDescent="0.25">
      <c r="A6" s="4" t="s">
        <v>25</v>
      </c>
      <c r="B6" s="88"/>
      <c r="C6" s="4"/>
      <c r="D6" s="4"/>
      <c r="E6" s="88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226"/>
      <c r="U6" s="88">
        <f t="shared" ref="U6:U16" si="0">SUM(B6:N6)</f>
        <v>0</v>
      </c>
    </row>
    <row r="7" spans="1:21" x14ac:dyDescent="0.25">
      <c r="A7" s="4" t="s">
        <v>26</v>
      </c>
      <c r="B7" s="4"/>
      <c r="C7" s="4"/>
      <c r="D7" s="88">
        <f>(8.68*T2)</f>
        <v>43.139599999999994</v>
      </c>
      <c r="E7" s="88">
        <f>(7.04*T2)</f>
        <v>34.988799999999998</v>
      </c>
      <c r="F7" s="4"/>
      <c r="G7" s="88"/>
      <c r="H7" s="88"/>
      <c r="I7" s="88"/>
      <c r="J7" s="88"/>
      <c r="K7" s="88"/>
      <c r="L7" s="4"/>
      <c r="M7" s="4"/>
      <c r="N7" s="4"/>
      <c r="O7" s="4"/>
      <c r="P7" s="4"/>
      <c r="Q7" s="4"/>
      <c r="R7" s="4"/>
      <c r="S7" s="4"/>
      <c r="T7" s="226"/>
      <c r="U7" s="88">
        <f t="shared" si="0"/>
        <v>78.128399999999999</v>
      </c>
    </row>
    <row r="8" spans="1:21" x14ac:dyDescent="0.25">
      <c r="A8" s="4" t="s">
        <v>27</v>
      </c>
      <c r="B8" s="27">
        <f>(5.99*T2)</f>
        <v>29.770299999999999</v>
      </c>
      <c r="C8" s="88">
        <f>(6.73*T2)</f>
        <v>33.448100000000004</v>
      </c>
      <c r="D8" s="88"/>
      <c r="E8" s="4"/>
      <c r="F8" s="88"/>
      <c r="G8" s="88"/>
      <c r="H8" s="4"/>
      <c r="I8" s="88"/>
      <c r="J8" s="88"/>
      <c r="K8" s="88"/>
      <c r="L8" s="4"/>
      <c r="M8" s="4"/>
      <c r="N8" s="4"/>
      <c r="O8" s="4"/>
      <c r="P8" s="4"/>
      <c r="Q8" s="4"/>
      <c r="R8" s="4"/>
      <c r="S8" s="4"/>
      <c r="T8" s="226"/>
      <c r="U8" s="88">
        <f t="shared" si="0"/>
        <v>63.218400000000003</v>
      </c>
    </row>
    <row r="9" spans="1:21" x14ac:dyDescent="0.25">
      <c r="A9" s="4" t="s">
        <v>28</v>
      </c>
      <c r="B9" s="27">
        <f>(5.99*T2)</f>
        <v>29.770299999999999</v>
      </c>
      <c r="C9" s="88">
        <f>(6.73*T2)</f>
        <v>33.448100000000004</v>
      </c>
      <c r="D9" s="4"/>
      <c r="E9" s="88"/>
      <c r="F9" s="4"/>
      <c r="G9" s="4"/>
      <c r="H9" s="4"/>
      <c r="I9" s="88"/>
      <c r="J9" s="88"/>
      <c r="K9" s="88"/>
      <c r="L9" s="4"/>
      <c r="M9" s="4"/>
      <c r="N9" s="4"/>
      <c r="O9" s="4"/>
      <c r="P9" s="4"/>
      <c r="Q9" s="4"/>
      <c r="R9" s="4"/>
      <c r="S9" s="4"/>
      <c r="T9" s="226"/>
      <c r="U9" s="88">
        <f t="shared" si="0"/>
        <v>63.218400000000003</v>
      </c>
    </row>
    <row r="10" spans="1:21" x14ac:dyDescent="0.25">
      <c r="A10" s="4" t="s">
        <v>29</v>
      </c>
      <c r="B10" s="27">
        <f>(5.99*T2)</f>
        <v>29.770299999999999</v>
      </c>
      <c r="C10" s="88">
        <f>(6.73*T2)</f>
        <v>33.448100000000004</v>
      </c>
      <c r="D10" s="4"/>
      <c r="E10" s="88"/>
      <c r="F10" s="4"/>
      <c r="G10" s="4"/>
      <c r="H10" s="4"/>
      <c r="I10" s="88"/>
      <c r="J10" s="88"/>
      <c r="K10" s="88"/>
      <c r="L10" s="4"/>
      <c r="M10" s="4"/>
      <c r="N10" s="4"/>
      <c r="O10" s="4"/>
      <c r="P10" s="4"/>
      <c r="Q10" s="4"/>
      <c r="R10" s="4"/>
      <c r="S10" s="4"/>
      <c r="T10" s="226"/>
      <c r="U10" s="88">
        <f t="shared" si="0"/>
        <v>63.218400000000003</v>
      </c>
    </row>
    <row r="11" spans="1:21" x14ac:dyDescent="0.25">
      <c r="A11" s="4" t="s">
        <v>30</v>
      </c>
      <c r="B11" s="27">
        <f>(5.99*T2)</f>
        <v>29.770299999999999</v>
      </c>
      <c r="C11" s="88">
        <f>(6.73*T2)</f>
        <v>33.448100000000004</v>
      </c>
      <c r="D11" s="88">
        <f>(10.93*T2)</f>
        <v>54.322099999999999</v>
      </c>
      <c r="E11" s="88">
        <f>(7.46*T2)</f>
        <v>37.0762</v>
      </c>
      <c r="F11" s="88"/>
      <c r="G11" s="4"/>
      <c r="H11" s="4"/>
      <c r="I11" s="88"/>
      <c r="J11" s="88"/>
      <c r="K11" s="88"/>
      <c r="L11" s="4"/>
      <c r="M11" s="4"/>
      <c r="N11" s="4"/>
      <c r="O11" s="4"/>
      <c r="P11" s="4"/>
      <c r="Q11" s="4"/>
      <c r="R11" s="4"/>
      <c r="S11" s="4"/>
      <c r="T11" s="226"/>
      <c r="U11" s="88">
        <f t="shared" si="0"/>
        <v>154.61670000000001</v>
      </c>
    </row>
    <row r="12" spans="1:21" x14ac:dyDescent="0.25">
      <c r="A12" s="4" t="s">
        <v>31</v>
      </c>
      <c r="B12" s="27">
        <f>(5.99*T2)</f>
        <v>29.770299999999999</v>
      </c>
      <c r="C12" s="88">
        <f>(6.73*T2)</f>
        <v>33.448100000000004</v>
      </c>
      <c r="D12" s="88"/>
      <c r="E12" s="88"/>
      <c r="F12" s="4"/>
      <c r="G12" s="88"/>
      <c r="H12" s="88"/>
      <c r="I12" s="88"/>
      <c r="J12" s="88"/>
      <c r="K12" s="88"/>
      <c r="L12" s="4"/>
      <c r="M12" s="4"/>
      <c r="N12" s="4"/>
      <c r="O12" s="4"/>
      <c r="P12" s="4"/>
      <c r="Q12" s="4"/>
      <c r="R12" s="4"/>
      <c r="S12" s="4"/>
      <c r="T12" s="226"/>
      <c r="U12" s="88">
        <f t="shared" si="0"/>
        <v>63.218400000000003</v>
      </c>
    </row>
    <row r="13" spans="1:21" x14ac:dyDescent="0.25">
      <c r="A13" s="4" t="s">
        <v>32</v>
      </c>
      <c r="B13" s="27">
        <f>(5.99*T2)</f>
        <v>29.770299999999999</v>
      </c>
      <c r="C13" s="88">
        <f>(6.73*T2)</f>
        <v>33.448100000000004</v>
      </c>
      <c r="D13" s="4"/>
      <c r="E13" s="88"/>
      <c r="F13" s="4"/>
      <c r="G13" s="4"/>
      <c r="H13" s="4"/>
      <c r="I13" s="4"/>
      <c r="J13" s="88"/>
      <c r="K13" s="88"/>
      <c r="L13" s="4"/>
      <c r="M13" s="4"/>
      <c r="N13" s="4"/>
      <c r="O13" s="4"/>
      <c r="P13" s="4"/>
      <c r="Q13" s="4"/>
      <c r="R13" s="4"/>
      <c r="S13" s="4"/>
      <c r="T13" s="226"/>
      <c r="U13" s="88">
        <f t="shared" si="0"/>
        <v>63.218400000000003</v>
      </c>
    </row>
    <row r="14" spans="1:21" x14ac:dyDescent="0.25">
      <c r="A14" s="4" t="s">
        <v>33</v>
      </c>
      <c r="B14" s="27">
        <f>(5.99*T2)</f>
        <v>29.770299999999999</v>
      </c>
      <c r="C14" s="27">
        <f>(6.91*T2)</f>
        <v>34.342700000000001</v>
      </c>
      <c r="D14" s="88">
        <f>(8.56*T2)</f>
        <v>42.543199999999999</v>
      </c>
      <c r="E14" s="27">
        <f>(7.06*T2)</f>
        <v>35.088199999999993</v>
      </c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226"/>
      <c r="U14" s="88">
        <f t="shared" si="0"/>
        <v>141.74439999999998</v>
      </c>
    </row>
    <row r="15" spans="1:21" x14ac:dyDescent="0.25">
      <c r="A15" s="4" t="s">
        <v>34</v>
      </c>
      <c r="B15" s="27">
        <f>(5.99*T2)</f>
        <v>29.770299999999999</v>
      </c>
      <c r="C15" s="27">
        <f>(6.91*T2)</f>
        <v>34.342700000000001</v>
      </c>
      <c r="D15" s="88"/>
      <c r="E15" s="27"/>
      <c r="F15" s="88"/>
      <c r="G15" s="4"/>
      <c r="H15" s="4"/>
      <c r="I15" s="88"/>
      <c r="J15" s="88"/>
      <c r="K15" s="88"/>
      <c r="L15" s="4"/>
      <c r="M15" s="4"/>
      <c r="N15" s="4"/>
      <c r="O15" s="4"/>
      <c r="P15" s="4"/>
      <c r="Q15" s="4"/>
      <c r="R15" s="4"/>
      <c r="S15" s="4"/>
      <c r="T15" s="226"/>
      <c r="U15" s="88">
        <f t="shared" si="0"/>
        <v>64.113</v>
      </c>
    </row>
    <row r="16" spans="1:21" x14ac:dyDescent="0.25">
      <c r="A16" s="4" t="s">
        <v>35</v>
      </c>
      <c r="B16" s="27">
        <f>(5.99*T2)</f>
        <v>29.770299999999999</v>
      </c>
      <c r="C16" s="27">
        <f>(7.06*T2)</f>
        <v>35.088199999999993</v>
      </c>
      <c r="D16" s="88">
        <f>(12.59*T2)</f>
        <v>62.572299999999998</v>
      </c>
      <c r="E16" s="27">
        <f>(8.53*T2)</f>
        <v>42.394099999999995</v>
      </c>
      <c r="F16" s="4"/>
      <c r="G16" s="88"/>
      <c r="H16" s="4"/>
      <c r="I16" s="88"/>
      <c r="J16" s="88"/>
      <c r="K16" s="88"/>
      <c r="L16" s="4"/>
      <c r="M16" s="4"/>
      <c r="N16" s="4"/>
      <c r="O16" s="4"/>
      <c r="P16" s="4"/>
      <c r="Q16" s="4"/>
      <c r="R16" s="4"/>
      <c r="S16" s="4"/>
      <c r="T16" s="226"/>
      <c r="U16" s="88">
        <f t="shared" si="0"/>
        <v>169.82489999999999</v>
      </c>
    </row>
    <row r="17" spans="1:21" x14ac:dyDescent="0.25">
      <c r="A17" s="44" t="s">
        <v>81</v>
      </c>
      <c r="B17" s="50">
        <f>SUM(B5:B16)</f>
        <v>267.93269999999995</v>
      </c>
      <c r="C17" s="50">
        <f t="shared" ref="C17:E17" si="1">SUM(C5:C16)</f>
        <v>304.4622</v>
      </c>
      <c r="D17" s="50">
        <f t="shared" si="1"/>
        <v>202.5772</v>
      </c>
      <c r="E17" s="50">
        <f t="shared" si="1"/>
        <v>149.54730000000001</v>
      </c>
      <c r="F17" s="50"/>
      <c r="G17" s="50"/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>
        <f>SUBTOTAL(9,B17:M17)</f>
        <v>924.51939999999991</v>
      </c>
      <c r="U17" s="127">
        <f>SUM(U5:U16)</f>
        <v>924.51940000000002</v>
      </c>
    </row>
    <row r="18" spans="1:21" x14ac:dyDescent="0.25">
      <c r="A18" s="89" t="s">
        <v>38</v>
      </c>
      <c r="B18" s="4">
        <f>2500*5.2</f>
        <v>13000</v>
      </c>
      <c r="C18" s="4">
        <f>2550*5.2</f>
        <v>13260</v>
      </c>
      <c r="D18" s="4">
        <f>1510*5.2</f>
        <v>7852</v>
      </c>
      <c r="E18" s="4">
        <f>2550*5.2</f>
        <v>13260</v>
      </c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27">
        <f>SUM(B18:S18)</f>
        <v>47372</v>
      </c>
    </row>
    <row r="19" spans="1:21" x14ac:dyDescent="0.25">
      <c r="A19" s="89" t="s">
        <v>92</v>
      </c>
      <c r="B19" s="80">
        <f>B17/B4</f>
        <v>2.2203002409340825E-2</v>
      </c>
      <c r="C19" s="80">
        <f>C17/C4</f>
        <v>3.1046960681958703E-2</v>
      </c>
      <c r="D19" s="80">
        <f>D17/D4</f>
        <v>3.1350469949390065E-2</v>
      </c>
      <c r="E19" s="80">
        <f>E17/E4</f>
        <v>1.1190158313406251E-2</v>
      </c>
      <c r="F19" s="80" t="e">
        <f t="shared" ref="F19:J19" si="2">F17/F4</f>
        <v>#DIV/0!</v>
      </c>
      <c r="G19" s="80" t="e">
        <f t="shared" si="2"/>
        <v>#DIV/0!</v>
      </c>
      <c r="H19" s="80" t="e">
        <f t="shared" si="2"/>
        <v>#DIV/0!</v>
      </c>
      <c r="I19" s="80" t="e">
        <f t="shared" si="2"/>
        <v>#DIV/0!</v>
      </c>
      <c r="J19" s="80" t="e">
        <f t="shared" si="2"/>
        <v>#DIV/0!</v>
      </c>
      <c r="K19" s="80"/>
      <c r="L19" s="4"/>
      <c r="M19" s="4"/>
      <c r="N19" s="4"/>
      <c r="O19" s="4"/>
      <c r="P19" s="4"/>
      <c r="Q19" s="4"/>
      <c r="R19" s="4"/>
      <c r="S19" s="4"/>
      <c r="T19" s="4"/>
    </row>
    <row r="20" spans="1:21" x14ac:dyDescent="0.25">
      <c r="A20" s="89" t="s">
        <v>175</v>
      </c>
      <c r="B20" s="80">
        <f t="shared" ref="B20:M20" si="3">B17/B18</f>
        <v>2.0610207692307689E-2</v>
      </c>
      <c r="C20" s="80">
        <f t="shared" si="3"/>
        <v>2.2960950226244344E-2</v>
      </c>
      <c r="D20" s="80">
        <f t="shared" si="3"/>
        <v>2.5799439633214467E-2</v>
      </c>
      <c r="E20" s="80">
        <f t="shared" si="3"/>
        <v>1.1278076923076924E-2</v>
      </c>
      <c r="F20" s="80" t="e">
        <f t="shared" si="3"/>
        <v>#DIV/0!</v>
      </c>
      <c r="G20" s="80" t="e">
        <f t="shared" si="3"/>
        <v>#DIV/0!</v>
      </c>
      <c r="H20" s="80" t="e">
        <f t="shared" si="3"/>
        <v>#DIV/0!</v>
      </c>
      <c r="I20" s="80" t="e">
        <f t="shared" si="3"/>
        <v>#DIV/0!</v>
      </c>
      <c r="J20" s="80" t="e">
        <f t="shared" si="3"/>
        <v>#DIV/0!</v>
      </c>
      <c r="K20" s="80"/>
      <c r="L20" s="80" t="e">
        <f t="shared" si="3"/>
        <v>#DIV/0!</v>
      </c>
      <c r="M20" s="80" t="e">
        <f t="shared" si="3"/>
        <v>#DIV/0!</v>
      </c>
      <c r="N20" s="80"/>
      <c r="O20" s="80"/>
      <c r="P20" s="80"/>
      <c r="Q20" s="80"/>
      <c r="R20" s="80"/>
      <c r="S20" s="80"/>
      <c r="T20" s="4"/>
    </row>
    <row r="22" spans="1:21" x14ac:dyDescent="0.25">
      <c r="A22" s="221" t="s">
        <v>197</v>
      </c>
      <c r="B22" s="223" t="s">
        <v>23</v>
      </c>
      <c r="C22" s="224"/>
      <c r="D22" s="224"/>
      <c r="E22" s="224"/>
      <c r="F22" s="224"/>
      <c r="G22" s="224"/>
      <c r="H22" s="224"/>
      <c r="I22" s="224"/>
      <c r="J22" s="224"/>
      <c r="K22" s="224"/>
      <c r="L22" s="224"/>
      <c r="M22" s="224"/>
      <c r="N22" s="225"/>
      <c r="O22" s="90"/>
      <c r="P22" s="90"/>
      <c r="Q22" s="90"/>
      <c r="R22" s="90"/>
      <c r="S22" s="90"/>
      <c r="T22" s="140" t="s">
        <v>244</v>
      </c>
    </row>
    <row r="23" spans="1:21" x14ac:dyDescent="0.25">
      <c r="A23" s="222"/>
      <c r="B23" s="91" t="s">
        <v>243</v>
      </c>
      <c r="C23" s="91" t="s">
        <v>240</v>
      </c>
      <c r="D23" s="91" t="s">
        <v>241</v>
      </c>
      <c r="E23" s="91" t="s">
        <v>242</v>
      </c>
      <c r="F23" s="91"/>
      <c r="G23" s="91"/>
      <c r="H23" s="91"/>
      <c r="I23" s="91"/>
      <c r="J23" s="91"/>
      <c r="K23" s="91"/>
      <c r="L23" s="91"/>
      <c r="M23" s="91"/>
      <c r="N23" s="91"/>
      <c r="O23" s="91"/>
      <c r="P23" s="91"/>
      <c r="Q23" s="91"/>
      <c r="R23" s="91"/>
      <c r="S23" s="91"/>
      <c r="T23" s="141">
        <v>4.97</v>
      </c>
      <c r="U23" s="56" t="s">
        <v>77</v>
      </c>
    </row>
    <row r="24" spans="1:21" x14ac:dyDescent="0.25">
      <c r="A24" s="19" t="s">
        <v>37</v>
      </c>
      <c r="B24" s="18">
        <v>69.89</v>
      </c>
      <c r="C24" s="18">
        <v>38.549999999999997</v>
      </c>
      <c r="D24" s="18">
        <v>16.82</v>
      </c>
      <c r="E24" s="18">
        <v>6.76</v>
      </c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4"/>
    </row>
    <row r="25" spans="1:21" x14ac:dyDescent="0.25">
      <c r="A25" s="19" t="s">
        <v>179</v>
      </c>
      <c r="B25" s="139">
        <f>(2428.05*T23)</f>
        <v>12067.4085</v>
      </c>
      <c r="C25" s="139">
        <f>(1973.14*T23)</f>
        <v>9806.5058000000008</v>
      </c>
      <c r="D25" s="139">
        <f>(1300.14*T23)</f>
        <v>6461.6958000000004</v>
      </c>
      <c r="E25" s="139">
        <f>(2688.97*T23)</f>
        <v>13364.180899999998</v>
      </c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27">
        <f>SUM(B25:S25)</f>
        <v>41699.790999999997</v>
      </c>
    </row>
    <row r="26" spans="1:21" x14ac:dyDescent="0.25">
      <c r="A26" s="4" t="s">
        <v>24</v>
      </c>
      <c r="B26" s="4"/>
      <c r="C26" s="4"/>
      <c r="D26" s="88"/>
      <c r="E26" s="4"/>
      <c r="F26" s="88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226" t="s">
        <v>36</v>
      </c>
      <c r="U26" s="88">
        <f>SUM(B26:N26)</f>
        <v>0</v>
      </c>
    </row>
    <row r="27" spans="1:21" x14ac:dyDescent="0.25">
      <c r="A27" s="4" t="s">
        <v>25</v>
      </c>
      <c r="B27" s="88"/>
      <c r="C27" s="4"/>
      <c r="D27" s="4"/>
      <c r="E27" s="88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226"/>
      <c r="U27" s="88">
        <f t="shared" ref="U27:U37" si="4">SUM(B27:N27)</f>
        <v>0</v>
      </c>
    </row>
    <row r="28" spans="1:21" x14ac:dyDescent="0.25">
      <c r="A28" s="4" t="s">
        <v>26</v>
      </c>
      <c r="B28" s="4"/>
      <c r="C28" s="4"/>
      <c r="D28" s="88"/>
      <c r="E28" s="88"/>
      <c r="F28" s="4"/>
      <c r="G28" s="88"/>
      <c r="H28" s="88"/>
      <c r="I28" s="88"/>
      <c r="J28" s="88"/>
      <c r="K28" s="88"/>
      <c r="L28" s="4"/>
      <c r="M28" s="4"/>
      <c r="N28" s="4"/>
      <c r="O28" s="4"/>
      <c r="P28" s="4"/>
      <c r="Q28" s="4"/>
      <c r="R28" s="4"/>
      <c r="S28" s="4"/>
      <c r="T28" s="226"/>
      <c r="U28" s="88">
        <f t="shared" si="4"/>
        <v>0</v>
      </c>
    </row>
    <row r="29" spans="1:21" x14ac:dyDescent="0.25">
      <c r="A29" s="4" t="s">
        <v>27</v>
      </c>
      <c r="B29" s="27"/>
      <c r="C29" s="88"/>
      <c r="D29" s="88"/>
      <c r="E29" s="4"/>
      <c r="F29" s="88"/>
      <c r="G29" s="88"/>
      <c r="H29" s="4"/>
      <c r="I29" s="88"/>
      <c r="J29" s="88"/>
      <c r="K29" s="88"/>
      <c r="L29" s="4"/>
      <c r="M29" s="4"/>
      <c r="N29" s="4"/>
      <c r="O29" s="4"/>
      <c r="P29" s="4"/>
      <c r="Q29" s="4"/>
      <c r="R29" s="4"/>
      <c r="S29" s="4"/>
      <c r="T29" s="226"/>
      <c r="U29" s="88">
        <f t="shared" si="4"/>
        <v>0</v>
      </c>
    </row>
    <row r="30" spans="1:21" x14ac:dyDescent="0.25">
      <c r="A30" s="4" t="s">
        <v>28</v>
      </c>
      <c r="B30" s="27"/>
      <c r="C30" s="88"/>
      <c r="D30" s="4"/>
      <c r="E30" s="88"/>
      <c r="F30" s="4"/>
      <c r="G30" s="4"/>
      <c r="H30" s="4"/>
      <c r="I30" s="88"/>
      <c r="J30" s="88"/>
      <c r="K30" s="88"/>
      <c r="L30" s="4"/>
      <c r="M30" s="4"/>
      <c r="N30" s="4"/>
      <c r="O30" s="4"/>
      <c r="P30" s="4"/>
      <c r="Q30" s="4"/>
      <c r="R30" s="4"/>
      <c r="S30" s="4"/>
      <c r="T30" s="226"/>
      <c r="U30" s="88">
        <f t="shared" si="4"/>
        <v>0</v>
      </c>
    </row>
    <row r="31" spans="1:21" x14ac:dyDescent="0.25">
      <c r="A31" s="4" t="s">
        <v>29</v>
      </c>
      <c r="B31" s="27"/>
      <c r="C31" s="88"/>
      <c r="D31" s="4"/>
      <c r="E31" s="88"/>
      <c r="F31" s="4"/>
      <c r="G31" s="4"/>
      <c r="H31" s="4"/>
      <c r="I31" s="88"/>
      <c r="J31" s="88"/>
      <c r="K31" s="88"/>
      <c r="L31" s="4"/>
      <c r="M31" s="4"/>
      <c r="N31" s="4"/>
      <c r="O31" s="4"/>
      <c r="P31" s="4"/>
      <c r="Q31" s="4"/>
      <c r="R31" s="4"/>
      <c r="S31" s="4"/>
      <c r="T31" s="226"/>
      <c r="U31" s="88">
        <f t="shared" si="4"/>
        <v>0</v>
      </c>
    </row>
    <row r="32" spans="1:21" x14ac:dyDescent="0.25">
      <c r="A32" s="4" t="s">
        <v>30</v>
      </c>
      <c r="B32" s="27"/>
      <c r="C32" s="88"/>
      <c r="D32" s="88"/>
      <c r="E32" s="88"/>
      <c r="F32" s="88"/>
      <c r="G32" s="4"/>
      <c r="H32" s="4"/>
      <c r="I32" s="88"/>
      <c r="J32" s="88"/>
      <c r="K32" s="88"/>
      <c r="L32" s="4"/>
      <c r="M32" s="4"/>
      <c r="N32" s="4"/>
      <c r="O32" s="4"/>
      <c r="P32" s="4"/>
      <c r="Q32" s="4"/>
      <c r="R32" s="4"/>
      <c r="S32" s="4"/>
      <c r="T32" s="226"/>
      <c r="U32" s="88">
        <f t="shared" si="4"/>
        <v>0</v>
      </c>
    </row>
    <row r="33" spans="1:21" x14ac:dyDescent="0.25">
      <c r="A33" s="4" t="s">
        <v>31</v>
      </c>
      <c r="B33" s="27"/>
      <c r="C33" s="88"/>
      <c r="D33" s="88"/>
      <c r="E33" s="88"/>
      <c r="F33" s="4"/>
      <c r="G33" s="88"/>
      <c r="H33" s="88"/>
      <c r="I33" s="88"/>
      <c r="J33" s="88"/>
      <c r="K33" s="88"/>
      <c r="L33" s="4"/>
      <c r="M33" s="4"/>
      <c r="N33" s="4"/>
      <c r="O33" s="4"/>
      <c r="P33" s="4"/>
      <c r="Q33" s="4"/>
      <c r="R33" s="4"/>
      <c r="S33" s="4"/>
      <c r="T33" s="226"/>
      <c r="U33" s="88">
        <f t="shared" si="4"/>
        <v>0</v>
      </c>
    </row>
    <row r="34" spans="1:21" x14ac:dyDescent="0.25">
      <c r="A34" s="4" t="s">
        <v>32</v>
      </c>
      <c r="B34" s="27"/>
      <c r="C34" s="88"/>
      <c r="D34" s="4"/>
      <c r="E34" s="88"/>
      <c r="F34" s="4"/>
      <c r="G34" s="4"/>
      <c r="H34" s="4"/>
      <c r="I34" s="4"/>
      <c r="J34" s="88"/>
      <c r="K34" s="88"/>
      <c r="L34" s="4"/>
      <c r="M34" s="4"/>
      <c r="N34" s="4"/>
      <c r="O34" s="4"/>
      <c r="P34" s="4"/>
      <c r="Q34" s="4"/>
      <c r="R34" s="4"/>
      <c r="S34" s="4"/>
      <c r="T34" s="226"/>
      <c r="U34" s="88">
        <f t="shared" si="4"/>
        <v>0</v>
      </c>
    </row>
    <row r="35" spans="1:21" x14ac:dyDescent="0.25">
      <c r="A35" s="4" t="s">
        <v>33</v>
      </c>
      <c r="B35" s="27"/>
      <c r="C35" s="27"/>
      <c r="D35" s="88"/>
      <c r="E35" s="27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226"/>
      <c r="U35" s="88">
        <f t="shared" si="4"/>
        <v>0</v>
      </c>
    </row>
    <row r="36" spans="1:21" x14ac:dyDescent="0.25">
      <c r="A36" s="4" t="s">
        <v>34</v>
      </c>
      <c r="B36" s="27"/>
      <c r="C36" s="27"/>
      <c r="D36" s="4"/>
      <c r="E36" s="4"/>
      <c r="F36" s="88"/>
      <c r="G36" s="4"/>
      <c r="H36" s="4"/>
      <c r="I36" s="88"/>
      <c r="J36" s="88"/>
      <c r="K36" s="88"/>
      <c r="L36" s="4"/>
      <c r="M36" s="4"/>
      <c r="N36" s="4"/>
      <c r="O36" s="4"/>
      <c r="P36" s="4"/>
      <c r="Q36" s="4"/>
      <c r="R36" s="4"/>
      <c r="S36" s="4"/>
      <c r="T36" s="226"/>
      <c r="U36" s="88">
        <f t="shared" si="4"/>
        <v>0</v>
      </c>
    </row>
    <row r="37" spans="1:21" x14ac:dyDescent="0.25">
      <c r="A37" s="4" t="s">
        <v>35</v>
      </c>
      <c r="B37" s="27"/>
      <c r="C37" s="88"/>
      <c r="D37" s="4"/>
      <c r="E37" s="88"/>
      <c r="F37" s="4"/>
      <c r="G37" s="88"/>
      <c r="H37" s="4"/>
      <c r="I37" s="88"/>
      <c r="J37" s="88"/>
      <c r="K37" s="88"/>
      <c r="L37" s="4"/>
      <c r="M37" s="4"/>
      <c r="N37" s="4"/>
      <c r="O37" s="4"/>
      <c r="P37" s="4"/>
      <c r="Q37" s="4"/>
      <c r="R37" s="4"/>
      <c r="S37" s="4"/>
      <c r="T37" s="226"/>
      <c r="U37" s="88">
        <f t="shared" si="4"/>
        <v>0</v>
      </c>
    </row>
    <row r="38" spans="1:21" x14ac:dyDescent="0.25">
      <c r="A38" s="44" t="s">
        <v>81</v>
      </c>
      <c r="B38" s="50">
        <f>SUM(B26:B37)</f>
        <v>0</v>
      </c>
      <c r="C38" s="50">
        <f t="shared" ref="C38:E38" si="5">SUM(C26:C37)</f>
        <v>0</v>
      </c>
      <c r="D38" s="50">
        <f t="shared" si="5"/>
        <v>0</v>
      </c>
      <c r="E38" s="50">
        <f t="shared" si="5"/>
        <v>0</v>
      </c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>
        <f>SUBTOTAL(9,B38:M38)</f>
        <v>0</v>
      </c>
      <c r="U38" s="127">
        <f>SUM(U26:U37)</f>
        <v>0</v>
      </c>
    </row>
    <row r="39" spans="1:21" x14ac:dyDescent="0.25">
      <c r="A39" s="89" t="s">
        <v>38</v>
      </c>
      <c r="B39" s="4">
        <f>2500*5.2</f>
        <v>13000</v>
      </c>
      <c r="C39" s="4">
        <f>2550*5.2</f>
        <v>13260</v>
      </c>
      <c r="D39" s="4">
        <f>1510*5.2</f>
        <v>7852</v>
      </c>
      <c r="E39" s="4">
        <f>2550*5.2</f>
        <v>13260</v>
      </c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27">
        <f>SUM(B39:S39)</f>
        <v>47372</v>
      </c>
    </row>
    <row r="40" spans="1:21" x14ac:dyDescent="0.25">
      <c r="A40" s="89" t="s">
        <v>92</v>
      </c>
      <c r="B40" s="80">
        <f>B38/B25</f>
        <v>0</v>
      </c>
      <c r="C40" s="80">
        <f>C38/C25</f>
        <v>0</v>
      </c>
      <c r="D40" s="80">
        <f>D38/D25</f>
        <v>0</v>
      </c>
      <c r="E40" s="80">
        <f>E38/E25</f>
        <v>0</v>
      </c>
      <c r="F40" s="80" t="e">
        <f t="shared" ref="F40:J40" si="6">F38/F25</f>
        <v>#DIV/0!</v>
      </c>
      <c r="G40" s="80" t="e">
        <f t="shared" si="6"/>
        <v>#DIV/0!</v>
      </c>
      <c r="H40" s="80" t="e">
        <f t="shared" si="6"/>
        <v>#DIV/0!</v>
      </c>
      <c r="I40" s="80" t="e">
        <f t="shared" si="6"/>
        <v>#DIV/0!</v>
      </c>
      <c r="J40" s="80" t="e">
        <f t="shared" si="6"/>
        <v>#DIV/0!</v>
      </c>
      <c r="K40" s="80"/>
      <c r="L40" s="4"/>
      <c r="M40" s="4"/>
      <c r="N40" s="4"/>
      <c r="O40" s="4"/>
      <c r="P40" s="4"/>
      <c r="Q40" s="4"/>
      <c r="R40" s="4"/>
      <c r="S40" s="4"/>
      <c r="T40" s="4"/>
    </row>
    <row r="41" spans="1:21" x14ac:dyDescent="0.25">
      <c r="A41" s="89" t="s">
        <v>175</v>
      </c>
      <c r="B41" s="80">
        <f t="shared" ref="B41:J41" si="7">B38/B39</f>
        <v>0</v>
      </c>
      <c r="C41" s="80">
        <f t="shared" si="7"/>
        <v>0</v>
      </c>
      <c r="D41" s="80">
        <f t="shared" si="7"/>
        <v>0</v>
      </c>
      <c r="E41" s="80">
        <f t="shared" si="7"/>
        <v>0</v>
      </c>
      <c r="F41" s="80" t="e">
        <f t="shared" si="7"/>
        <v>#DIV/0!</v>
      </c>
      <c r="G41" s="80" t="e">
        <f t="shared" si="7"/>
        <v>#DIV/0!</v>
      </c>
      <c r="H41" s="80" t="e">
        <f t="shared" si="7"/>
        <v>#DIV/0!</v>
      </c>
      <c r="I41" s="80" t="e">
        <f t="shared" si="7"/>
        <v>#DIV/0!</v>
      </c>
      <c r="J41" s="80" t="e">
        <f t="shared" si="7"/>
        <v>#DIV/0!</v>
      </c>
      <c r="K41" s="80"/>
      <c r="L41" s="80" t="e">
        <f t="shared" ref="L41:M41" si="8">L38/L39</f>
        <v>#DIV/0!</v>
      </c>
      <c r="M41" s="80" t="e">
        <f t="shared" si="8"/>
        <v>#DIV/0!</v>
      </c>
      <c r="N41" s="80"/>
      <c r="O41" s="80"/>
      <c r="P41" s="80"/>
      <c r="Q41" s="80"/>
      <c r="R41" s="80"/>
      <c r="S41" s="80"/>
      <c r="T41" s="4"/>
    </row>
  </sheetData>
  <mergeCells count="6">
    <mergeCell ref="T26:T37"/>
    <mergeCell ref="A1:A2"/>
    <mergeCell ref="B1:N1"/>
    <mergeCell ref="T5:T16"/>
    <mergeCell ref="A22:A23"/>
    <mergeCell ref="B22:N2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F7C8C-5251-4709-A60F-F97FC6C6D6EF}">
  <dimension ref="A1:R155"/>
  <sheetViews>
    <sheetView topLeftCell="A115" zoomScale="90" zoomScaleNormal="90" workbookViewId="0">
      <selection activeCell="M112" sqref="M1:M1048576"/>
    </sheetView>
  </sheetViews>
  <sheetFormatPr defaultRowHeight="15" x14ac:dyDescent="0.25"/>
  <cols>
    <col min="1" max="1" width="13.28515625" customWidth="1"/>
    <col min="2" max="2" width="16.140625" customWidth="1"/>
    <col min="3" max="3" width="14" bestFit="1" customWidth="1"/>
    <col min="4" max="4" width="16.85546875" customWidth="1"/>
    <col min="5" max="5" width="14.42578125" bestFit="1" customWidth="1"/>
    <col min="6" max="6" width="14" bestFit="1" customWidth="1"/>
    <col min="7" max="7" width="14" customWidth="1"/>
    <col min="8" max="8" width="14" bestFit="1" customWidth="1"/>
    <col min="9" max="9" width="14.42578125" customWidth="1"/>
    <col min="10" max="10" width="14" bestFit="1" customWidth="1"/>
    <col min="11" max="11" width="15.140625" customWidth="1"/>
    <col min="12" max="12" width="15.42578125" customWidth="1"/>
    <col min="13" max="13" width="14.42578125" bestFit="1" customWidth="1"/>
    <col min="14" max="14" width="15.140625" bestFit="1" customWidth="1"/>
    <col min="15" max="15" width="16.85546875" customWidth="1"/>
    <col min="16" max="16" width="14.28515625" bestFit="1" customWidth="1"/>
    <col min="18" max="18" width="23.7109375" customWidth="1"/>
  </cols>
  <sheetData>
    <row r="1" spans="1:15" x14ac:dyDescent="0.25">
      <c r="A1" s="221" t="s">
        <v>176</v>
      </c>
      <c r="B1" s="223" t="s">
        <v>23</v>
      </c>
      <c r="C1" s="224"/>
      <c r="D1" s="224"/>
      <c r="E1" s="224"/>
      <c r="F1" s="224"/>
      <c r="G1" s="224"/>
      <c r="H1" s="224"/>
      <c r="I1" s="224"/>
      <c r="J1" s="224"/>
      <c r="K1" s="224"/>
      <c r="L1" s="224"/>
      <c r="M1" s="224"/>
      <c r="N1" s="4"/>
    </row>
    <row r="2" spans="1:15" x14ac:dyDescent="0.25">
      <c r="A2" s="222"/>
      <c r="B2" s="91" t="s">
        <v>9</v>
      </c>
      <c r="C2" s="91" t="s">
        <v>158</v>
      </c>
      <c r="D2" s="91" t="s">
        <v>6</v>
      </c>
      <c r="E2" s="91" t="s">
        <v>7</v>
      </c>
      <c r="F2" s="91" t="s">
        <v>123</v>
      </c>
      <c r="G2" s="91" t="s">
        <v>124</v>
      </c>
      <c r="H2" s="91" t="s">
        <v>94</v>
      </c>
      <c r="I2" s="91" t="s">
        <v>76</v>
      </c>
      <c r="J2" s="91" t="s">
        <v>160</v>
      </c>
      <c r="K2" s="91"/>
      <c r="L2" s="91" t="s">
        <v>173</v>
      </c>
      <c r="M2" s="91" t="s">
        <v>174</v>
      </c>
      <c r="N2" s="4"/>
      <c r="O2" s="56" t="s">
        <v>77</v>
      </c>
    </row>
    <row r="3" spans="1:15" x14ac:dyDescent="0.25">
      <c r="A3" s="19" t="s">
        <v>37</v>
      </c>
      <c r="B3" s="18">
        <v>900</v>
      </c>
      <c r="C3" s="18">
        <v>1000</v>
      </c>
      <c r="D3" s="18">
        <v>3185</v>
      </c>
      <c r="E3" s="18">
        <v>1100</v>
      </c>
      <c r="F3" s="18">
        <v>800</v>
      </c>
      <c r="G3" s="18">
        <v>1700</v>
      </c>
      <c r="H3" s="18">
        <v>1400</v>
      </c>
      <c r="I3" s="18">
        <v>1900</v>
      </c>
      <c r="J3" s="18">
        <v>800</v>
      </c>
      <c r="K3" s="18"/>
      <c r="L3" s="18">
        <v>1200</v>
      </c>
      <c r="M3" s="18">
        <v>1000</v>
      </c>
      <c r="N3" s="4"/>
    </row>
    <row r="4" spans="1:15" x14ac:dyDescent="0.25">
      <c r="A4" s="19" t="s">
        <v>179</v>
      </c>
      <c r="B4" s="18">
        <f>48*900</f>
        <v>43200</v>
      </c>
      <c r="C4" s="18">
        <f>20*1000</f>
        <v>20000</v>
      </c>
      <c r="D4" s="18">
        <f>8.9*D3</f>
        <v>28346.5</v>
      </c>
      <c r="E4" s="18">
        <f>33.5*E3</f>
        <v>36850</v>
      </c>
      <c r="F4" s="18">
        <f>37*F3</f>
        <v>29600</v>
      </c>
      <c r="G4" s="18">
        <f>17.5*G3</f>
        <v>29750</v>
      </c>
      <c r="H4" s="18">
        <f>33*H3</f>
        <v>46200</v>
      </c>
      <c r="I4" s="18">
        <f>8.3*I3</f>
        <v>15770.000000000002</v>
      </c>
      <c r="J4" s="18">
        <f>27.5*J3</f>
        <v>22000</v>
      </c>
      <c r="K4" s="18"/>
      <c r="L4" s="18"/>
      <c r="M4" s="18"/>
      <c r="N4" s="4"/>
    </row>
    <row r="5" spans="1:15" x14ac:dyDescent="0.25">
      <c r="A5" s="4" t="s">
        <v>24</v>
      </c>
      <c r="B5" s="4"/>
      <c r="C5" s="4"/>
      <c r="D5" s="88">
        <v>60.68</v>
      </c>
      <c r="E5" s="4"/>
      <c r="F5" s="88">
        <v>755.06</v>
      </c>
      <c r="G5" s="4"/>
      <c r="H5" s="4"/>
      <c r="I5" s="4"/>
      <c r="J5" s="4"/>
      <c r="K5" s="4"/>
      <c r="L5" s="4"/>
      <c r="M5" s="4"/>
      <c r="N5" s="226" t="s">
        <v>36</v>
      </c>
      <c r="O5" s="88">
        <f t="shared" ref="O5:O16" si="0">SUM(B5:M5)</f>
        <v>815.7399999999999</v>
      </c>
    </row>
    <row r="6" spans="1:15" x14ac:dyDescent="0.25">
      <c r="A6" s="4" t="s">
        <v>25</v>
      </c>
      <c r="B6" s="88">
        <v>171.85</v>
      </c>
      <c r="C6" s="4"/>
      <c r="D6" s="4"/>
      <c r="E6" s="88">
        <v>1268.94</v>
      </c>
      <c r="F6" s="4"/>
      <c r="G6" s="4"/>
      <c r="H6" s="4"/>
      <c r="I6" s="4"/>
      <c r="J6" s="4"/>
      <c r="K6" s="4"/>
      <c r="L6" s="4"/>
      <c r="M6" s="4"/>
      <c r="N6" s="226"/>
      <c r="O6" s="88">
        <f t="shared" si="0"/>
        <v>1440.79</v>
      </c>
    </row>
    <row r="7" spans="1:15" x14ac:dyDescent="0.25">
      <c r="A7" s="4" t="s">
        <v>26</v>
      </c>
      <c r="B7" s="4"/>
      <c r="C7" s="4"/>
      <c r="D7" s="88">
        <v>315.77999999999997</v>
      </c>
      <c r="E7" s="88">
        <v>138.79</v>
      </c>
      <c r="F7" s="4"/>
      <c r="G7" s="88">
        <v>159.61000000000001</v>
      </c>
      <c r="H7" s="88">
        <v>287</v>
      </c>
      <c r="I7" s="88"/>
      <c r="J7" s="88">
        <v>283.77</v>
      </c>
      <c r="K7" s="88"/>
      <c r="L7" s="4"/>
      <c r="M7" s="4"/>
      <c r="N7" s="226"/>
      <c r="O7" s="88">
        <f t="shared" si="0"/>
        <v>1184.9499999999998</v>
      </c>
    </row>
    <row r="8" spans="1:15" x14ac:dyDescent="0.25">
      <c r="A8" s="4" t="s">
        <v>27</v>
      </c>
      <c r="B8" s="4"/>
      <c r="C8" s="88">
        <v>791.62</v>
      </c>
      <c r="D8" s="88">
        <v>60.68</v>
      </c>
      <c r="E8" s="4"/>
      <c r="F8" s="88">
        <v>91.15</v>
      </c>
      <c r="G8" s="88">
        <v>395.49</v>
      </c>
      <c r="H8" s="4"/>
      <c r="I8" s="88"/>
      <c r="J8" s="88"/>
      <c r="K8" s="88"/>
      <c r="L8" s="4"/>
      <c r="M8" s="4"/>
      <c r="N8" s="226"/>
      <c r="O8" s="88">
        <f t="shared" si="0"/>
        <v>1338.94</v>
      </c>
    </row>
    <row r="9" spans="1:15" x14ac:dyDescent="0.25">
      <c r="A9" s="4" t="s">
        <v>28</v>
      </c>
      <c r="B9" s="4"/>
      <c r="C9" s="4"/>
      <c r="D9" s="4"/>
      <c r="E9" s="88">
        <v>3252.97</v>
      </c>
      <c r="F9" s="4"/>
      <c r="G9" s="4"/>
      <c r="H9" s="4"/>
      <c r="I9" s="88">
        <v>871.67</v>
      </c>
      <c r="J9" s="88">
        <v>290.73</v>
      </c>
      <c r="K9" s="88"/>
      <c r="L9" s="4"/>
      <c r="M9" s="4"/>
      <c r="N9" s="226"/>
      <c r="O9" s="88">
        <f t="shared" si="0"/>
        <v>4415.369999999999</v>
      </c>
    </row>
    <row r="10" spans="1:15" x14ac:dyDescent="0.25">
      <c r="A10" s="4" t="s">
        <v>29</v>
      </c>
      <c r="B10" s="88">
        <v>162.28</v>
      </c>
      <c r="C10" s="4"/>
      <c r="D10" s="4"/>
      <c r="E10" s="88">
        <v>154.63</v>
      </c>
      <c r="F10" s="4"/>
      <c r="G10" s="4"/>
      <c r="H10" s="4"/>
      <c r="I10" s="88"/>
      <c r="J10" s="88">
        <v>114.59</v>
      </c>
      <c r="K10" s="88"/>
      <c r="L10" s="4"/>
      <c r="M10" s="4"/>
      <c r="N10" s="226"/>
      <c r="O10" s="88">
        <f t="shared" si="0"/>
        <v>431.5</v>
      </c>
    </row>
    <row r="11" spans="1:15" x14ac:dyDescent="0.25">
      <c r="A11" s="4" t="s">
        <v>30</v>
      </c>
      <c r="B11" s="4"/>
      <c r="C11" s="4"/>
      <c r="D11" s="88">
        <v>60.68</v>
      </c>
      <c r="E11" s="88">
        <v>133.41</v>
      </c>
      <c r="F11" s="88">
        <v>597.69000000000005</v>
      </c>
      <c r="G11" s="4"/>
      <c r="H11" s="4"/>
      <c r="I11" s="88"/>
      <c r="J11" s="88"/>
      <c r="K11" s="88"/>
      <c r="L11" s="4"/>
      <c r="M11" s="4"/>
      <c r="N11" s="226"/>
      <c r="O11" s="88">
        <f t="shared" si="0"/>
        <v>791.78000000000009</v>
      </c>
    </row>
    <row r="12" spans="1:15" x14ac:dyDescent="0.25">
      <c r="A12" s="4" t="s">
        <v>31</v>
      </c>
      <c r="B12" s="4"/>
      <c r="C12" s="88">
        <v>1609.91</v>
      </c>
      <c r="D12" s="88">
        <v>287.76</v>
      </c>
      <c r="E12" s="88">
        <v>101.81</v>
      </c>
      <c r="F12" s="4"/>
      <c r="G12" s="88">
        <v>91.02</v>
      </c>
      <c r="H12" s="88">
        <v>265.99</v>
      </c>
      <c r="I12" s="88">
        <v>56.03</v>
      </c>
      <c r="J12" s="88">
        <v>235</v>
      </c>
      <c r="K12" s="88"/>
      <c r="L12" s="4"/>
      <c r="M12" s="4"/>
      <c r="N12" s="226"/>
      <c r="O12" s="88">
        <f t="shared" si="0"/>
        <v>2647.52</v>
      </c>
    </row>
    <row r="13" spans="1:15" x14ac:dyDescent="0.25">
      <c r="A13" s="4" t="s">
        <v>32</v>
      </c>
      <c r="B13" s="88">
        <v>290.70999999999998</v>
      </c>
      <c r="C13" s="4"/>
      <c r="D13" s="4"/>
      <c r="E13" s="88">
        <v>101.43</v>
      </c>
      <c r="F13" s="4"/>
      <c r="G13" s="4"/>
      <c r="H13" s="4"/>
      <c r="I13" s="4"/>
      <c r="J13" s="88">
        <v>125.63</v>
      </c>
      <c r="K13" s="88"/>
      <c r="L13" s="4"/>
      <c r="M13" s="4"/>
      <c r="N13" s="226"/>
      <c r="O13" s="88">
        <f t="shared" si="0"/>
        <v>517.77</v>
      </c>
    </row>
    <row r="14" spans="1:15" x14ac:dyDescent="0.25">
      <c r="A14" s="4" t="s">
        <v>33</v>
      </c>
      <c r="B14" s="4"/>
      <c r="C14" s="4"/>
      <c r="D14" s="88">
        <v>60.68</v>
      </c>
      <c r="E14" s="4"/>
      <c r="F14" s="4"/>
      <c r="G14" s="4"/>
      <c r="H14" s="4"/>
      <c r="I14" s="4"/>
      <c r="J14" s="4"/>
      <c r="K14" s="4"/>
      <c r="L14" s="4"/>
      <c r="M14" s="4"/>
      <c r="N14" s="226"/>
      <c r="O14" s="88">
        <f t="shared" si="0"/>
        <v>60.68</v>
      </c>
    </row>
    <row r="15" spans="1:15" x14ac:dyDescent="0.25">
      <c r="A15" s="4" t="s">
        <v>34</v>
      </c>
      <c r="B15" s="4"/>
      <c r="C15" s="4"/>
      <c r="D15" s="4"/>
      <c r="E15" s="4"/>
      <c r="F15" s="88">
        <v>774.1</v>
      </c>
      <c r="G15" s="4"/>
      <c r="H15" s="4"/>
      <c r="I15" s="88">
        <v>223.89</v>
      </c>
      <c r="J15" s="88">
        <v>267.72000000000003</v>
      </c>
      <c r="K15" s="88"/>
      <c r="L15" s="4"/>
      <c r="M15" s="4"/>
      <c r="N15" s="226"/>
      <c r="O15" s="88">
        <f t="shared" si="0"/>
        <v>1265.71</v>
      </c>
    </row>
    <row r="16" spans="1:15" x14ac:dyDescent="0.25">
      <c r="A16" s="4" t="s">
        <v>35</v>
      </c>
      <c r="B16" s="88">
        <v>189.06</v>
      </c>
      <c r="C16" s="88">
        <v>3092.18</v>
      </c>
      <c r="D16" s="4"/>
      <c r="E16" s="88">
        <v>1573.2</v>
      </c>
      <c r="F16" s="4"/>
      <c r="G16" s="88">
        <v>64.459999999999994</v>
      </c>
      <c r="H16" s="4"/>
      <c r="I16" s="88">
        <v>119.16</v>
      </c>
      <c r="J16" s="88">
        <v>119</v>
      </c>
      <c r="K16" s="88"/>
      <c r="L16" s="4"/>
      <c r="M16" s="4"/>
      <c r="N16" s="226"/>
      <c r="O16" s="88">
        <f t="shared" si="0"/>
        <v>5157.0599999999995</v>
      </c>
    </row>
    <row r="17" spans="1:16" x14ac:dyDescent="0.25">
      <c r="A17" s="44" t="s">
        <v>81</v>
      </c>
      <c r="B17" s="50">
        <f>SUM(B5:B16)</f>
        <v>813.89999999999986</v>
      </c>
      <c r="C17" s="50">
        <f t="shared" ref="C17:J17" si="1">SUM(C5:C16)</f>
        <v>5493.71</v>
      </c>
      <c r="D17" s="50">
        <f t="shared" si="1"/>
        <v>846.25999999999988</v>
      </c>
      <c r="E17" s="50">
        <f t="shared" si="1"/>
        <v>6725.18</v>
      </c>
      <c r="F17" s="50">
        <f t="shared" si="1"/>
        <v>2218</v>
      </c>
      <c r="G17" s="50">
        <f t="shared" si="1"/>
        <v>710.58</v>
      </c>
      <c r="H17" s="50">
        <f t="shared" si="1"/>
        <v>552.99</v>
      </c>
      <c r="I17" s="50">
        <f t="shared" si="1"/>
        <v>1270.75</v>
      </c>
      <c r="J17" s="50">
        <f t="shared" si="1"/>
        <v>1436.44</v>
      </c>
      <c r="K17" s="50"/>
      <c r="L17" s="50"/>
      <c r="M17" s="50"/>
      <c r="N17" s="50">
        <f>SUBTOTAL(9,B17:M17)</f>
        <v>20067.810000000001</v>
      </c>
      <c r="O17" s="45"/>
    </row>
    <row r="18" spans="1:16" x14ac:dyDescent="0.25">
      <c r="A18" s="89" t="s">
        <v>38</v>
      </c>
      <c r="B18" s="4">
        <f>900*14.1</f>
        <v>12690</v>
      </c>
      <c r="C18" s="4">
        <f>1000*11.44</f>
        <v>11440</v>
      </c>
      <c r="D18" s="4">
        <f>3185*9.29</f>
        <v>29588.649999999998</v>
      </c>
      <c r="E18" s="4">
        <f>1100*27.09</f>
        <v>29799</v>
      </c>
      <c r="F18" s="4">
        <f>800*40.72</f>
        <v>32576</v>
      </c>
      <c r="G18" s="4">
        <f>1700*18.53</f>
        <v>31501.000000000004</v>
      </c>
      <c r="H18" s="4">
        <f>1400*9.2</f>
        <v>12879.999999999998</v>
      </c>
      <c r="I18" s="4">
        <f>1500*8</f>
        <v>12000</v>
      </c>
      <c r="J18" s="4">
        <f>800*26.41</f>
        <v>21128</v>
      </c>
      <c r="K18" s="4"/>
      <c r="L18" s="4">
        <f>900*21.1</f>
        <v>18990</v>
      </c>
      <c r="M18" s="4">
        <f>600*20.17</f>
        <v>12102.000000000002</v>
      </c>
      <c r="N18" s="4"/>
    </row>
    <row r="19" spans="1:16" x14ac:dyDescent="0.25">
      <c r="A19" s="89" t="s">
        <v>92</v>
      </c>
      <c r="B19" s="80">
        <f>B17/B4</f>
        <v>1.8840277777777775E-2</v>
      </c>
      <c r="C19" s="80">
        <f>C17/C4</f>
        <v>0.27468550000000003</v>
      </c>
      <c r="D19" s="80">
        <f>D17/D4</f>
        <v>2.9854126611751006E-2</v>
      </c>
      <c r="E19" s="80">
        <f>E17/E4</f>
        <v>0.18250149253731343</v>
      </c>
      <c r="F19" s="80">
        <f t="shared" ref="F19:J19" si="2">F17/F4</f>
        <v>7.493243243243243E-2</v>
      </c>
      <c r="G19" s="80">
        <f t="shared" si="2"/>
        <v>2.3885042016806725E-2</v>
      </c>
      <c r="H19" s="80">
        <f t="shared" si="2"/>
        <v>1.196948051948052E-2</v>
      </c>
      <c r="I19" s="80">
        <f t="shared" si="2"/>
        <v>8.0580215599239058E-2</v>
      </c>
      <c r="J19" s="80">
        <f t="shared" si="2"/>
        <v>6.529272727272728E-2</v>
      </c>
      <c r="K19" s="80"/>
      <c r="L19" s="4"/>
      <c r="M19" s="4"/>
      <c r="N19" s="4"/>
    </row>
    <row r="20" spans="1:16" x14ac:dyDescent="0.25">
      <c r="A20" s="89" t="s">
        <v>175</v>
      </c>
      <c r="B20" s="80">
        <f t="shared" ref="B20:M20" si="3">B17/B18</f>
        <v>6.4137115839243489E-2</v>
      </c>
      <c r="C20" s="80">
        <f t="shared" si="3"/>
        <v>0.48021940559440562</v>
      </c>
      <c r="D20" s="80">
        <f t="shared" si="3"/>
        <v>2.860083173784542E-2</v>
      </c>
      <c r="E20" s="80">
        <f t="shared" si="3"/>
        <v>0.22568475452196382</v>
      </c>
      <c r="F20" s="80">
        <f t="shared" si="3"/>
        <v>6.80869351669941E-2</v>
      </c>
      <c r="G20" s="80">
        <f t="shared" si="3"/>
        <v>2.2557379130821242E-2</v>
      </c>
      <c r="H20" s="80">
        <f t="shared" si="3"/>
        <v>4.2934006211180133E-2</v>
      </c>
      <c r="I20" s="80">
        <f t="shared" si="3"/>
        <v>0.10589583333333333</v>
      </c>
      <c r="J20" s="80">
        <f t="shared" si="3"/>
        <v>6.7987504733055662E-2</v>
      </c>
      <c r="K20" s="80"/>
      <c r="L20" s="80">
        <f t="shared" si="3"/>
        <v>0</v>
      </c>
      <c r="M20" s="80">
        <f t="shared" si="3"/>
        <v>0</v>
      </c>
      <c r="N20" s="4"/>
    </row>
    <row r="22" spans="1:16" x14ac:dyDescent="0.25">
      <c r="A22" s="221" t="s">
        <v>177</v>
      </c>
      <c r="B22" s="227" t="s">
        <v>23</v>
      </c>
      <c r="C22" s="227"/>
      <c r="D22" s="227"/>
      <c r="E22" s="227"/>
      <c r="F22" s="227"/>
      <c r="G22" s="227"/>
      <c r="H22" s="87"/>
      <c r="I22" s="87"/>
      <c r="J22" s="87"/>
      <c r="K22" s="87"/>
      <c r="L22" s="87"/>
      <c r="M22" s="87"/>
      <c r="N22" s="4"/>
    </row>
    <row r="23" spans="1:16" x14ac:dyDescent="0.25">
      <c r="A23" s="222"/>
      <c r="B23" s="18" t="s">
        <v>9</v>
      </c>
      <c r="C23" s="18" t="s">
        <v>158</v>
      </c>
      <c r="D23" s="18" t="s">
        <v>6</v>
      </c>
      <c r="E23" s="18" t="s">
        <v>7</v>
      </c>
      <c r="F23" s="18" t="s">
        <v>123</v>
      </c>
      <c r="G23" s="18" t="s">
        <v>124</v>
      </c>
      <c r="H23" s="18" t="s">
        <v>94</v>
      </c>
      <c r="I23" s="18" t="s">
        <v>76</v>
      </c>
      <c r="J23" s="18" t="s">
        <v>160</v>
      </c>
      <c r="K23" s="18" t="s">
        <v>182</v>
      </c>
      <c r="L23" s="18" t="s">
        <v>173</v>
      </c>
      <c r="M23" s="18" t="s">
        <v>174</v>
      </c>
      <c r="N23" s="4"/>
      <c r="O23" s="45"/>
    </row>
    <row r="24" spans="1:16" x14ac:dyDescent="0.25">
      <c r="A24" s="19" t="s">
        <v>37</v>
      </c>
      <c r="B24" s="18">
        <v>900</v>
      </c>
      <c r="C24" s="18">
        <v>1000</v>
      </c>
      <c r="D24" s="18">
        <v>3503</v>
      </c>
      <c r="E24" s="18">
        <v>1100</v>
      </c>
      <c r="F24" s="18">
        <v>1000</v>
      </c>
      <c r="G24" s="18">
        <v>2000</v>
      </c>
      <c r="H24" s="18">
        <v>1400</v>
      </c>
      <c r="I24" s="18">
        <v>1900</v>
      </c>
      <c r="J24" s="18">
        <v>1100</v>
      </c>
      <c r="K24" s="92">
        <v>10000</v>
      </c>
      <c r="L24" s="18">
        <v>1200</v>
      </c>
      <c r="M24" s="18">
        <v>1500</v>
      </c>
      <c r="N24" s="4"/>
    </row>
    <row r="25" spans="1:16" x14ac:dyDescent="0.25">
      <c r="A25" s="4" t="s">
        <v>185</v>
      </c>
      <c r="B25" s="88">
        <v>50.82</v>
      </c>
      <c r="C25" s="88"/>
      <c r="D25" s="88">
        <v>60.68</v>
      </c>
      <c r="E25" s="88"/>
      <c r="F25" s="88"/>
      <c r="G25" s="88"/>
      <c r="H25" s="88"/>
      <c r="I25" s="88"/>
      <c r="J25" s="88"/>
      <c r="K25" s="88"/>
      <c r="L25" s="88"/>
      <c r="M25" s="88"/>
      <c r="N25" s="226" t="s">
        <v>36</v>
      </c>
      <c r="O25" s="45">
        <f t="shared" ref="O25:O61" si="4">SUM(B25:M25)</f>
        <v>111.5</v>
      </c>
      <c r="P25" s="230">
        <f>SUM(O25:O27)</f>
        <v>160.36000000000001</v>
      </c>
    </row>
    <row r="26" spans="1:16" x14ac:dyDescent="0.25">
      <c r="A26" s="97" t="s">
        <v>184</v>
      </c>
      <c r="B26" s="88"/>
      <c r="C26" s="88"/>
      <c r="D26" s="88"/>
      <c r="E26" s="88"/>
      <c r="F26" s="88"/>
      <c r="G26" s="88"/>
      <c r="H26" s="88"/>
      <c r="I26" s="88"/>
      <c r="J26" s="88"/>
      <c r="K26" s="88"/>
      <c r="L26" s="88"/>
      <c r="M26" s="88"/>
      <c r="N26" s="226"/>
      <c r="O26" s="45">
        <f t="shared" si="4"/>
        <v>0</v>
      </c>
      <c r="P26" s="231"/>
    </row>
    <row r="27" spans="1:16" x14ac:dyDescent="0.25">
      <c r="A27" s="97" t="s">
        <v>104</v>
      </c>
      <c r="B27" s="88"/>
      <c r="C27" s="88">
        <v>0.79</v>
      </c>
      <c r="D27" s="88"/>
      <c r="E27" s="88">
        <v>29.18</v>
      </c>
      <c r="F27" s="88"/>
      <c r="G27" s="88">
        <v>9.98</v>
      </c>
      <c r="H27" s="88"/>
      <c r="I27" s="88">
        <v>8.91</v>
      </c>
      <c r="J27" s="88"/>
      <c r="K27" s="88"/>
      <c r="L27" s="88"/>
      <c r="M27" s="88"/>
      <c r="N27" s="226"/>
      <c r="O27" s="45">
        <f t="shared" si="4"/>
        <v>48.86</v>
      </c>
      <c r="P27" s="231"/>
    </row>
    <row r="28" spans="1:16" x14ac:dyDescent="0.25">
      <c r="A28" s="101" t="s">
        <v>186</v>
      </c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226"/>
      <c r="O28" s="45">
        <f t="shared" si="4"/>
        <v>0</v>
      </c>
      <c r="P28" s="230">
        <f>SUM(O28:O30)</f>
        <v>87.55</v>
      </c>
    </row>
    <row r="29" spans="1:16" x14ac:dyDescent="0.25">
      <c r="A29" s="103" t="s">
        <v>184</v>
      </c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2"/>
      <c r="N29" s="226"/>
      <c r="O29" s="45">
        <f t="shared" si="4"/>
        <v>0</v>
      </c>
      <c r="P29" s="231"/>
    </row>
    <row r="30" spans="1:16" x14ac:dyDescent="0.25">
      <c r="A30" s="103" t="s">
        <v>104</v>
      </c>
      <c r="B30" s="102"/>
      <c r="C30" s="102">
        <v>0.56000000000000005</v>
      </c>
      <c r="D30" s="102"/>
      <c r="E30" s="102">
        <v>31.32</v>
      </c>
      <c r="F30" s="102">
        <v>21.95</v>
      </c>
      <c r="G30" s="104">
        <v>22.32</v>
      </c>
      <c r="H30" s="102"/>
      <c r="I30" s="102">
        <v>10.6</v>
      </c>
      <c r="J30" s="102">
        <v>0.8</v>
      </c>
      <c r="K30" s="102"/>
      <c r="L30" s="102"/>
      <c r="M30" s="102"/>
      <c r="N30" s="226"/>
      <c r="O30" s="45">
        <f t="shared" si="4"/>
        <v>87.55</v>
      </c>
      <c r="P30" s="231"/>
    </row>
    <row r="31" spans="1:16" x14ac:dyDescent="0.25">
      <c r="A31" s="98" t="s">
        <v>187</v>
      </c>
      <c r="B31" s="99"/>
      <c r="C31" s="99"/>
      <c r="D31" s="99">
        <v>760.08</v>
      </c>
      <c r="E31" s="99"/>
      <c r="F31" s="99"/>
      <c r="G31" s="99"/>
      <c r="H31" s="99">
        <v>62.72</v>
      </c>
      <c r="I31" s="99"/>
      <c r="J31" s="99">
        <v>452.09</v>
      </c>
      <c r="K31" s="99"/>
      <c r="L31" s="99"/>
      <c r="M31" s="99"/>
      <c r="N31" s="226"/>
      <c r="O31" s="45">
        <f t="shared" si="4"/>
        <v>1274.8900000000001</v>
      </c>
      <c r="P31" s="230">
        <f>SUM(O31:O33)</f>
        <v>2603.52</v>
      </c>
    </row>
    <row r="32" spans="1:16" x14ac:dyDescent="0.25">
      <c r="A32" s="100" t="s">
        <v>184</v>
      </c>
      <c r="B32" s="99"/>
      <c r="C32" s="99"/>
      <c r="D32" s="99"/>
      <c r="E32" s="99"/>
      <c r="F32" s="99">
        <v>676.2</v>
      </c>
      <c r="G32" s="99"/>
      <c r="H32" s="99">
        <v>287.27999999999997</v>
      </c>
      <c r="I32" s="99"/>
      <c r="J32" s="99">
        <v>293.76</v>
      </c>
      <c r="K32" s="99"/>
      <c r="L32" s="99"/>
      <c r="M32" s="99"/>
      <c r="N32" s="226"/>
      <c r="O32" s="45">
        <f t="shared" si="4"/>
        <v>1257.24</v>
      </c>
      <c r="P32" s="231"/>
    </row>
    <row r="33" spans="1:16" x14ac:dyDescent="0.25">
      <c r="A33" s="100" t="s">
        <v>104</v>
      </c>
      <c r="B33" s="99"/>
      <c r="C33" s="99">
        <v>0.27</v>
      </c>
      <c r="D33" s="99"/>
      <c r="E33" s="99"/>
      <c r="F33" s="99">
        <v>3.46</v>
      </c>
      <c r="G33" s="99">
        <v>59.58</v>
      </c>
      <c r="H33" s="99"/>
      <c r="I33" s="99">
        <v>8.08</v>
      </c>
      <c r="J33" s="99"/>
      <c r="K33" s="99"/>
      <c r="L33" s="99"/>
      <c r="M33" s="99"/>
      <c r="N33" s="226"/>
      <c r="O33" s="45">
        <f t="shared" si="4"/>
        <v>71.39</v>
      </c>
      <c r="P33" s="231"/>
    </row>
    <row r="34" spans="1:16" x14ac:dyDescent="0.25">
      <c r="A34" s="105" t="s">
        <v>188</v>
      </c>
      <c r="B34" s="106"/>
      <c r="C34" s="106"/>
      <c r="D34" s="106">
        <v>60.68</v>
      </c>
      <c r="E34" s="106"/>
      <c r="F34" s="106"/>
      <c r="G34" s="106"/>
      <c r="H34" s="106"/>
      <c r="I34" s="106"/>
      <c r="J34" s="106"/>
      <c r="K34" s="106"/>
      <c r="L34" s="106"/>
      <c r="M34" s="106"/>
      <c r="N34" s="226"/>
      <c r="O34" s="45">
        <f t="shared" si="4"/>
        <v>60.68</v>
      </c>
      <c r="P34" s="230">
        <f>SUM(O34:O36)</f>
        <v>1028.76</v>
      </c>
    </row>
    <row r="35" spans="1:16" x14ac:dyDescent="0.25">
      <c r="A35" s="107" t="s">
        <v>184</v>
      </c>
      <c r="B35" s="106"/>
      <c r="C35" s="106"/>
      <c r="D35" s="106"/>
      <c r="E35" s="106"/>
      <c r="F35" s="106"/>
      <c r="G35" s="106">
        <v>922.75</v>
      </c>
      <c r="H35" s="106"/>
      <c r="I35" s="106"/>
      <c r="J35" s="106"/>
      <c r="K35" s="106"/>
      <c r="L35" s="106"/>
      <c r="M35" s="106"/>
      <c r="N35" s="226"/>
      <c r="O35" s="45">
        <f t="shared" si="4"/>
        <v>922.75</v>
      </c>
      <c r="P35" s="231"/>
    </row>
    <row r="36" spans="1:16" x14ac:dyDescent="0.25">
      <c r="A36" s="107" t="s">
        <v>104</v>
      </c>
      <c r="B36" s="106"/>
      <c r="C36" s="106"/>
      <c r="D36" s="106"/>
      <c r="E36" s="106">
        <v>28.17</v>
      </c>
      <c r="F36" s="106"/>
      <c r="G36" s="106">
        <v>11.49</v>
      </c>
      <c r="H36" s="106"/>
      <c r="I36" s="106">
        <v>5.67</v>
      </c>
      <c r="J36" s="106"/>
      <c r="K36" s="106"/>
      <c r="L36" s="106"/>
      <c r="M36" s="106"/>
      <c r="N36" s="226"/>
      <c r="O36" s="45">
        <f t="shared" si="4"/>
        <v>45.330000000000005</v>
      </c>
      <c r="P36" s="231"/>
    </row>
    <row r="37" spans="1:16" x14ac:dyDescent="0.25">
      <c r="A37" s="108" t="s">
        <v>189</v>
      </c>
      <c r="B37" s="109">
        <f>947.78+467.26</f>
        <v>1415.04</v>
      </c>
      <c r="C37" s="109"/>
      <c r="D37" s="109"/>
      <c r="E37" s="109"/>
      <c r="F37" s="109"/>
      <c r="G37" s="109"/>
      <c r="H37" s="109"/>
      <c r="I37" s="109"/>
      <c r="J37" s="109"/>
      <c r="K37" s="109"/>
      <c r="L37" s="109"/>
      <c r="M37" s="109"/>
      <c r="N37" s="226"/>
      <c r="O37" s="45">
        <f t="shared" si="4"/>
        <v>1415.04</v>
      </c>
      <c r="P37" s="230">
        <f>SUM(O37:O39)</f>
        <v>7869.5599999999995</v>
      </c>
    </row>
    <row r="38" spans="1:16" x14ac:dyDescent="0.25">
      <c r="A38" s="110" t="s">
        <v>184</v>
      </c>
      <c r="B38" s="109"/>
      <c r="C38" s="109">
        <v>2945.68</v>
      </c>
      <c r="D38" s="109"/>
      <c r="E38" s="109">
        <v>2555.36</v>
      </c>
      <c r="F38" s="109"/>
      <c r="G38" s="109"/>
      <c r="H38" s="109"/>
      <c r="I38" s="109">
        <v>233.46</v>
      </c>
      <c r="J38" s="109">
        <v>476.32</v>
      </c>
      <c r="K38" s="109"/>
      <c r="L38" s="109"/>
      <c r="M38" s="109"/>
      <c r="N38" s="226"/>
      <c r="O38" s="45">
        <f t="shared" si="4"/>
        <v>6210.82</v>
      </c>
      <c r="P38" s="231"/>
    </row>
    <row r="39" spans="1:16" x14ac:dyDescent="0.25">
      <c r="A39" s="110" t="s">
        <v>104</v>
      </c>
      <c r="B39" s="109"/>
      <c r="C39" s="109">
        <v>1.76</v>
      </c>
      <c r="D39" s="109"/>
      <c r="E39" s="109">
        <v>173.58</v>
      </c>
      <c r="F39" s="109"/>
      <c r="G39" s="109">
        <v>63.84</v>
      </c>
      <c r="H39" s="109"/>
      <c r="I39" s="109">
        <v>4.5199999999999996</v>
      </c>
      <c r="J39" s="109"/>
      <c r="K39" s="109"/>
      <c r="L39" s="109"/>
      <c r="M39" s="109"/>
      <c r="N39" s="226"/>
      <c r="O39" s="45">
        <f t="shared" si="4"/>
        <v>243.70000000000002</v>
      </c>
      <c r="P39" s="231"/>
    </row>
    <row r="40" spans="1:16" x14ac:dyDescent="0.25">
      <c r="A40" s="111" t="s">
        <v>190</v>
      </c>
      <c r="B40" s="112">
        <v>480.88</v>
      </c>
      <c r="C40" s="112"/>
      <c r="D40" s="112"/>
      <c r="E40" s="112"/>
      <c r="F40" s="112"/>
      <c r="G40" s="112"/>
      <c r="H40" s="112"/>
      <c r="I40" s="112"/>
      <c r="J40" s="112"/>
      <c r="K40" s="112"/>
      <c r="L40" s="112"/>
      <c r="M40" s="112"/>
      <c r="N40" s="226"/>
      <c r="O40" s="45">
        <f t="shared" si="4"/>
        <v>480.88</v>
      </c>
      <c r="P40" s="230">
        <f>SUM(O40:O42)</f>
        <v>2977.55</v>
      </c>
    </row>
    <row r="41" spans="1:16" x14ac:dyDescent="0.25">
      <c r="A41" s="113" t="s">
        <v>184</v>
      </c>
      <c r="B41" s="112">
        <v>290.66000000000003</v>
      </c>
      <c r="C41" s="112">
        <v>1793.21</v>
      </c>
      <c r="D41" s="112"/>
      <c r="E41" s="112"/>
      <c r="F41" s="112"/>
      <c r="G41" s="112"/>
      <c r="H41" s="112"/>
      <c r="I41" s="112"/>
      <c r="J41" s="112">
        <v>170.19</v>
      </c>
      <c r="K41" s="112"/>
      <c r="L41" s="112"/>
      <c r="M41" s="112">
        <v>35.57</v>
      </c>
      <c r="N41" s="226"/>
      <c r="O41" s="45">
        <f t="shared" si="4"/>
        <v>2289.63</v>
      </c>
      <c r="P41" s="231"/>
    </row>
    <row r="42" spans="1:16" x14ac:dyDescent="0.25">
      <c r="A42" s="113" t="s">
        <v>104</v>
      </c>
      <c r="B42" s="112"/>
      <c r="C42" s="112"/>
      <c r="D42" s="112"/>
      <c r="E42" s="112">
        <v>185.05</v>
      </c>
      <c r="F42" s="112">
        <v>13.88</v>
      </c>
      <c r="G42" s="112"/>
      <c r="H42" s="112"/>
      <c r="I42" s="112">
        <v>5.61</v>
      </c>
      <c r="J42" s="112">
        <v>2.5</v>
      </c>
      <c r="K42" s="112"/>
      <c r="L42" s="112"/>
      <c r="M42" s="112"/>
      <c r="N42" s="226"/>
      <c r="O42" s="45">
        <f t="shared" si="4"/>
        <v>207.04000000000002</v>
      </c>
      <c r="P42" s="231"/>
    </row>
    <row r="43" spans="1:16" x14ac:dyDescent="0.25">
      <c r="A43" s="114" t="s">
        <v>191</v>
      </c>
      <c r="B43" s="115"/>
      <c r="C43" s="115"/>
      <c r="D43" s="115">
        <v>63.7</v>
      </c>
      <c r="E43" s="115"/>
      <c r="F43" s="115">
        <v>539.05999999999995</v>
      </c>
      <c r="G43" s="115"/>
      <c r="H43" s="115"/>
      <c r="I43" s="115"/>
      <c r="J43" s="115">
        <v>170.19</v>
      </c>
      <c r="K43" s="115"/>
      <c r="L43" s="115"/>
      <c r="M43" s="115"/>
      <c r="N43" s="226"/>
      <c r="O43" s="45">
        <f t="shared" si="4"/>
        <v>772.95</v>
      </c>
      <c r="P43" s="230">
        <f>SUM(O43:O45)</f>
        <v>2833.87</v>
      </c>
    </row>
    <row r="44" spans="1:16" x14ac:dyDescent="0.25">
      <c r="A44" s="116" t="s">
        <v>184</v>
      </c>
      <c r="B44" s="115"/>
      <c r="C44" s="115">
        <v>1857.74</v>
      </c>
      <c r="D44" s="115"/>
      <c r="E44" s="115"/>
      <c r="F44" s="115"/>
      <c r="G44" s="115"/>
      <c r="H44" s="115"/>
      <c r="I44" s="115"/>
      <c r="J44" s="115"/>
      <c r="K44" s="115"/>
      <c r="L44" s="115"/>
      <c r="M44" s="115"/>
      <c r="N44" s="226"/>
      <c r="O44" s="45">
        <f t="shared" si="4"/>
        <v>1857.74</v>
      </c>
      <c r="P44" s="231"/>
    </row>
    <row r="45" spans="1:16" x14ac:dyDescent="0.25">
      <c r="A45" s="116" t="s">
        <v>104</v>
      </c>
      <c r="B45" s="115"/>
      <c r="C45" s="115"/>
      <c r="D45" s="115"/>
      <c r="E45" s="115">
        <v>128.59</v>
      </c>
      <c r="F45" s="115">
        <v>14.67</v>
      </c>
      <c r="G45" s="115">
        <v>54.6</v>
      </c>
      <c r="H45" s="115"/>
      <c r="I45" s="115">
        <v>4.26</v>
      </c>
      <c r="J45" s="115">
        <v>1.06</v>
      </c>
      <c r="K45" s="115"/>
      <c r="L45" s="115"/>
      <c r="M45" s="115"/>
      <c r="N45" s="226"/>
      <c r="O45" s="45">
        <f t="shared" si="4"/>
        <v>203.17999999999998</v>
      </c>
      <c r="P45" s="231"/>
    </row>
    <row r="46" spans="1:16" x14ac:dyDescent="0.25">
      <c r="A46" s="117" t="s">
        <v>192</v>
      </c>
      <c r="B46" s="117"/>
      <c r="C46" s="118">
        <v>2938.86</v>
      </c>
      <c r="D46" s="118">
        <f>306.92+27.88</f>
        <v>334.8</v>
      </c>
      <c r="E46" s="118"/>
      <c r="F46" s="118"/>
      <c r="G46" s="118"/>
      <c r="H46" s="118">
        <v>95.27</v>
      </c>
      <c r="I46" s="118">
        <v>25.45</v>
      </c>
      <c r="J46" s="118"/>
      <c r="K46" s="118"/>
      <c r="L46" s="118"/>
      <c r="M46" s="118"/>
      <c r="N46" s="226"/>
      <c r="O46" s="45">
        <f t="shared" si="4"/>
        <v>3394.38</v>
      </c>
      <c r="P46" s="230">
        <f>SUM(O46:O48)</f>
        <v>6220.51</v>
      </c>
    </row>
    <row r="47" spans="1:16" x14ac:dyDescent="0.25">
      <c r="A47" s="119" t="s">
        <v>184</v>
      </c>
      <c r="B47" s="117"/>
      <c r="C47" s="118">
        <v>363.07</v>
      </c>
      <c r="D47" s="118"/>
      <c r="E47" s="118">
        <v>1523.21</v>
      </c>
      <c r="F47" s="118"/>
      <c r="G47" s="118"/>
      <c r="H47" s="118">
        <v>184.72</v>
      </c>
      <c r="I47" s="118">
        <v>12.71</v>
      </c>
      <c r="J47" s="118">
        <v>558.79999999999995</v>
      </c>
      <c r="K47" s="118"/>
      <c r="L47" s="118"/>
      <c r="M47" s="118"/>
      <c r="N47" s="226"/>
      <c r="O47" s="45">
        <f t="shared" si="4"/>
        <v>2642.51</v>
      </c>
      <c r="P47" s="231"/>
    </row>
    <row r="48" spans="1:16" x14ac:dyDescent="0.25">
      <c r="A48" s="119" t="s">
        <v>104</v>
      </c>
      <c r="B48" s="117"/>
      <c r="C48" s="118"/>
      <c r="D48" s="118"/>
      <c r="E48" s="118">
        <v>92.33</v>
      </c>
      <c r="F48" s="118">
        <v>22.93</v>
      </c>
      <c r="G48" s="118">
        <v>67.34</v>
      </c>
      <c r="H48" s="118"/>
      <c r="I48" s="118">
        <v>1.02</v>
      </c>
      <c r="J48" s="118"/>
      <c r="K48" s="118"/>
      <c r="L48" s="118"/>
      <c r="M48" s="118"/>
      <c r="N48" s="226"/>
      <c r="O48" s="45">
        <f t="shared" si="4"/>
        <v>183.62</v>
      </c>
      <c r="P48" s="231"/>
    </row>
    <row r="49" spans="1:16" x14ac:dyDescent="0.25">
      <c r="A49" s="123" t="s">
        <v>193</v>
      </c>
      <c r="B49" s="124">
        <v>307.39999999999998</v>
      </c>
      <c r="C49" s="124"/>
      <c r="D49" s="124"/>
      <c r="E49" s="124"/>
      <c r="F49" s="124"/>
      <c r="G49" s="124"/>
      <c r="H49" s="124"/>
      <c r="I49" s="124"/>
      <c r="J49" s="124"/>
      <c r="K49" s="124"/>
      <c r="L49" s="124"/>
      <c r="M49" s="124"/>
      <c r="N49" s="226"/>
      <c r="O49" s="45">
        <f t="shared" si="4"/>
        <v>307.39999999999998</v>
      </c>
      <c r="P49" s="230">
        <f>SUM(O49:O51)</f>
        <v>4571.1099999999997</v>
      </c>
    </row>
    <row r="50" spans="1:16" x14ac:dyDescent="0.25">
      <c r="A50" s="125" t="s">
        <v>184</v>
      </c>
      <c r="B50" s="124">
        <v>511.88</v>
      </c>
      <c r="C50" s="124">
        <v>3366</v>
      </c>
      <c r="D50" s="124"/>
      <c r="E50" s="124"/>
      <c r="F50" s="124"/>
      <c r="G50" s="124"/>
      <c r="H50" s="124"/>
      <c r="I50" s="124"/>
      <c r="J50" s="124">
        <v>186.14</v>
      </c>
      <c r="K50" s="124"/>
      <c r="L50" s="124"/>
      <c r="M50" s="124"/>
      <c r="N50" s="226"/>
      <c r="O50" s="45">
        <f t="shared" si="4"/>
        <v>4064.02</v>
      </c>
      <c r="P50" s="231"/>
    </row>
    <row r="51" spans="1:16" x14ac:dyDescent="0.25">
      <c r="A51" s="125" t="s">
        <v>104</v>
      </c>
      <c r="B51" s="124"/>
      <c r="C51" s="124"/>
      <c r="D51" s="124"/>
      <c r="E51" s="124">
        <v>94.22</v>
      </c>
      <c r="F51" s="124">
        <v>20.62</v>
      </c>
      <c r="G51" s="124">
        <v>81.78</v>
      </c>
      <c r="H51" s="124"/>
      <c r="I51" s="124"/>
      <c r="J51" s="124">
        <v>3.07</v>
      </c>
      <c r="K51" s="124"/>
      <c r="L51" s="124"/>
      <c r="M51" s="124"/>
      <c r="N51" s="226"/>
      <c r="O51" s="45">
        <f t="shared" si="4"/>
        <v>199.69</v>
      </c>
      <c r="P51" s="231"/>
    </row>
    <row r="52" spans="1:16" x14ac:dyDescent="0.25">
      <c r="A52" s="101" t="s">
        <v>194</v>
      </c>
      <c r="B52" s="101"/>
      <c r="C52" s="102"/>
      <c r="D52" s="102">
        <v>63.7</v>
      </c>
      <c r="E52" s="102"/>
      <c r="F52" s="102"/>
      <c r="G52" s="102"/>
      <c r="H52" s="102"/>
      <c r="I52" s="102"/>
      <c r="J52" s="102"/>
      <c r="K52" s="102"/>
      <c r="L52" s="102"/>
      <c r="M52" s="102"/>
      <c r="N52" s="226"/>
      <c r="O52" s="45">
        <f t="shared" si="4"/>
        <v>63.7</v>
      </c>
      <c r="P52" s="230">
        <f>SUM(O52:O54)</f>
        <v>96.81</v>
      </c>
    </row>
    <row r="53" spans="1:16" x14ac:dyDescent="0.25">
      <c r="A53" s="103" t="s">
        <v>184</v>
      </c>
      <c r="B53" s="101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  <c r="N53" s="226"/>
      <c r="O53" s="45">
        <f t="shared" si="4"/>
        <v>0</v>
      </c>
      <c r="P53" s="231"/>
    </row>
    <row r="54" spans="1:16" x14ac:dyDescent="0.25">
      <c r="A54" s="103" t="s">
        <v>104</v>
      </c>
      <c r="B54" s="101"/>
      <c r="C54" s="102"/>
      <c r="D54" s="102"/>
      <c r="E54" s="102"/>
      <c r="F54" s="102">
        <v>7.4</v>
      </c>
      <c r="G54" s="102">
        <v>25.71</v>
      </c>
      <c r="H54" s="102"/>
      <c r="I54" s="102"/>
      <c r="J54" s="102"/>
      <c r="K54" s="102"/>
      <c r="L54" s="102"/>
      <c r="M54" s="102"/>
      <c r="N54" s="226"/>
      <c r="O54" s="45">
        <f t="shared" si="4"/>
        <v>33.11</v>
      </c>
      <c r="P54" s="231"/>
    </row>
    <row r="55" spans="1:16" x14ac:dyDescent="0.25">
      <c r="A55" s="126" t="s">
        <v>195</v>
      </c>
      <c r="B55" s="120"/>
      <c r="C55" s="121"/>
      <c r="D55" s="121"/>
      <c r="E55" s="121"/>
      <c r="F55" s="121"/>
      <c r="G55" s="121"/>
      <c r="H55" s="121"/>
      <c r="I55" s="121">
        <v>60.9</v>
      </c>
      <c r="J55" s="121"/>
      <c r="K55" s="121"/>
      <c r="L55" s="121"/>
      <c r="M55" s="121"/>
      <c r="N55" s="226"/>
      <c r="O55" s="45">
        <f t="shared" si="4"/>
        <v>60.9</v>
      </c>
      <c r="P55" s="230">
        <f>SUM(O55:O57)</f>
        <v>1326.54</v>
      </c>
    </row>
    <row r="56" spans="1:16" x14ac:dyDescent="0.25">
      <c r="A56" s="122" t="s">
        <v>184</v>
      </c>
      <c r="B56" s="120"/>
      <c r="C56" s="121"/>
      <c r="D56" s="121"/>
      <c r="E56" s="121"/>
      <c r="F56" s="121"/>
      <c r="G56" s="121"/>
      <c r="H56" s="121"/>
      <c r="I56" s="121">
        <v>124.46</v>
      </c>
      <c r="J56" s="121">
        <v>567.61</v>
      </c>
      <c r="K56" s="121"/>
      <c r="L56" s="121">
        <v>402.74</v>
      </c>
      <c r="M56" s="121"/>
      <c r="N56" s="226"/>
      <c r="O56" s="45">
        <f t="shared" si="4"/>
        <v>1094.81</v>
      </c>
      <c r="P56" s="231"/>
    </row>
    <row r="57" spans="1:16" x14ac:dyDescent="0.25">
      <c r="A57" s="122" t="s">
        <v>104</v>
      </c>
      <c r="B57" s="120"/>
      <c r="C57" s="121"/>
      <c r="D57" s="121"/>
      <c r="E57" s="121">
        <v>54.06</v>
      </c>
      <c r="F57" s="121">
        <v>9.67</v>
      </c>
      <c r="G57" s="121">
        <v>107.1</v>
      </c>
      <c r="H57" s="121"/>
      <c r="I57" s="121"/>
      <c r="J57" s="121"/>
      <c r="K57" s="121"/>
      <c r="L57" s="121"/>
      <c r="M57" s="121"/>
      <c r="N57" s="226"/>
      <c r="O57" s="45">
        <f t="shared" si="4"/>
        <v>170.82999999999998</v>
      </c>
      <c r="P57" s="231"/>
    </row>
    <row r="58" spans="1:16" x14ac:dyDescent="0.25">
      <c r="A58" s="108" t="s">
        <v>196</v>
      </c>
      <c r="B58" s="109">
        <v>328.37</v>
      </c>
      <c r="C58" s="109">
        <v>440.83</v>
      </c>
      <c r="D58" s="109"/>
      <c r="E58" s="109"/>
      <c r="F58" s="109"/>
      <c r="G58" s="109"/>
      <c r="H58" s="109"/>
      <c r="I58" s="109"/>
      <c r="J58" s="109"/>
      <c r="K58" s="109"/>
      <c r="L58" s="109"/>
      <c r="M58" s="109"/>
      <c r="N58" s="226"/>
      <c r="O58" s="45">
        <f t="shared" si="4"/>
        <v>769.2</v>
      </c>
      <c r="P58" s="230">
        <f>SUM(O58:O60)</f>
        <v>6385.329999999999</v>
      </c>
    </row>
    <row r="59" spans="1:16" x14ac:dyDescent="0.25">
      <c r="A59" s="110" t="s">
        <v>184</v>
      </c>
      <c r="B59" s="109">
        <v>1308.81</v>
      </c>
      <c r="C59" s="109">
        <v>1155.82</v>
      </c>
      <c r="D59" s="109"/>
      <c r="E59" s="109">
        <v>1067.5999999999999</v>
      </c>
      <c r="F59" s="109">
        <v>1146.08</v>
      </c>
      <c r="G59" s="109">
        <v>500.61</v>
      </c>
      <c r="H59" s="109"/>
      <c r="I59" s="109"/>
      <c r="J59" s="109">
        <v>323.07</v>
      </c>
      <c r="K59" s="109"/>
      <c r="L59" s="109"/>
      <c r="M59" s="109"/>
      <c r="N59" s="96"/>
      <c r="O59" s="45">
        <f t="shared" si="4"/>
        <v>5501.9899999999989</v>
      </c>
      <c r="P59" s="231"/>
    </row>
    <row r="60" spans="1:16" x14ac:dyDescent="0.25">
      <c r="A60" s="110" t="s">
        <v>104</v>
      </c>
      <c r="B60" s="109"/>
      <c r="C60" s="109">
        <v>0.09</v>
      </c>
      <c r="D60" s="109"/>
      <c r="E60" s="109">
        <v>49.02</v>
      </c>
      <c r="F60" s="109"/>
      <c r="G60" s="109">
        <v>63.46</v>
      </c>
      <c r="H60" s="109"/>
      <c r="I60" s="109"/>
      <c r="J60" s="109">
        <v>1.57</v>
      </c>
      <c r="K60" s="109"/>
      <c r="L60" s="109"/>
      <c r="M60" s="109"/>
      <c r="N60" s="96"/>
      <c r="O60" s="45">
        <f t="shared" si="4"/>
        <v>114.14</v>
      </c>
      <c r="P60" s="231"/>
    </row>
    <row r="61" spans="1:16" x14ac:dyDescent="0.25">
      <c r="A61" s="44" t="s">
        <v>81</v>
      </c>
      <c r="B61" s="50">
        <f t="shared" ref="B61:J61" si="5">SUM(B25:B60)</f>
        <v>4693.8599999999997</v>
      </c>
      <c r="C61" s="50">
        <f t="shared" si="5"/>
        <v>14864.68</v>
      </c>
      <c r="D61" s="50">
        <f t="shared" si="5"/>
        <v>1343.64</v>
      </c>
      <c r="E61" s="50">
        <f t="shared" si="5"/>
        <v>6011.6900000000023</v>
      </c>
      <c r="F61" s="50">
        <f t="shared" si="5"/>
        <v>2475.92</v>
      </c>
      <c r="G61" s="50">
        <f t="shared" si="5"/>
        <v>1990.5599999999995</v>
      </c>
      <c r="H61" s="50">
        <f t="shared" si="5"/>
        <v>629.99</v>
      </c>
      <c r="I61" s="50">
        <f t="shared" si="5"/>
        <v>505.64999999999992</v>
      </c>
      <c r="J61" s="50">
        <f t="shared" si="5"/>
        <v>3207.1700000000005</v>
      </c>
      <c r="K61" s="50"/>
      <c r="L61" s="50">
        <f>SUM(L25:L60)</f>
        <v>402.74</v>
      </c>
      <c r="M61" s="50">
        <f>SUM(M25:M60)</f>
        <v>35.57</v>
      </c>
      <c r="N61" s="50">
        <f>SUBTOTAL(9,B61:M61)</f>
        <v>36161.47</v>
      </c>
      <c r="O61" s="45">
        <f t="shared" si="4"/>
        <v>36161.47</v>
      </c>
      <c r="P61" s="127">
        <f>SUM(P25:P60)</f>
        <v>36161.47</v>
      </c>
    </row>
    <row r="62" spans="1:16" x14ac:dyDescent="0.25">
      <c r="A62" s="89" t="s">
        <v>38</v>
      </c>
      <c r="B62" s="4">
        <f>900*14.1</f>
        <v>12690</v>
      </c>
      <c r="C62" s="4">
        <f>1000*11.44</f>
        <v>11440</v>
      </c>
      <c r="D62" s="4">
        <f>3503*8.45</f>
        <v>29600.35</v>
      </c>
      <c r="E62" s="4">
        <f>1100*27.09</f>
        <v>29799</v>
      </c>
      <c r="F62" s="4">
        <f>1000*40.31</f>
        <v>40310</v>
      </c>
      <c r="G62" s="4">
        <f>2000*18.22</f>
        <v>36440</v>
      </c>
      <c r="H62" s="4">
        <f>1400*9.2</f>
        <v>12879.999999999998</v>
      </c>
      <c r="I62" s="4">
        <f>1900*7.83</f>
        <v>14877</v>
      </c>
      <c r="J62" s="4">
        <f>1100*28.67</f>
        <v>31537.000000000004</v>
      </c>
      <c r="K62" s="4"/>
      <c r="L62" s="4">
        <f>1200*20.51</f>
        <v>24612.000000000004</v>
      </c>
      <c r="M62" s="4">
        <f>1500*18.97</f>
        <v>28455</v>
      </c>
      <c r="N62" s="4"/>
    </row>
    <row r="63" spans="1:16" x14ac:dyDescent="0.25">
      <c r="A63" s="89" t="s">
        <v>175</v>
      </c>
      <c r="B63" s="80">
        <f>B61/B62</f>
        <v>0.36988652482269502</v>
      </c>
      <c r="C63" s="80">
        <f t="shared" ref="C63:M63" si="6">C61/C62</f>
        <v>1.29936013986014</v>
      </c>
      <c r="D63" s="80">
        <f t="shared" si="6"/>
        <v>4.5392706505159572E-2</v>
      </c>
      <c r="E63" s="80">
        <f t="shared" si="6"/>
        <v>0.2017413336017988</v>
      </c>
      <c r="F63" s="80">
        <f t="shared" si="6"/>
        <v>6.142197965765319E-2</v>
      </c>
      <c r="G63" s="80">
        <f t="shared" si="6"/>
        <v>5.4625686059275508E-2</v>
      </c>
      <c r="H63" s="80">
        <f t="shared" si="6"/>
        <v>4.891226708074535E-2</v>
      </c>
      <c r="I63" s="80">
        <f t="shared" si="6"/>
        <v>3.3988707400685617E-2</v>
      </c>
      <c r="J63" s="80">
        <f t="shared" si="6"/>
        <v>0.10169546881440848</v>
      </c>
      <c r="K63" s="80"/>
      <c r="L63" s="80">
        <f t="shared" si="6"/>
        <v>1.6363562489842352E-2</v>
      </c>
      <c r="M63" s="80">
        <f t="shared" si="6"/>
        <v>1.2500439290107188E-3</v>
      </c>
      <c r="N63" s="4"/>
    </row>
    <row r="66" spans="1:18" x14ac:dyDescent="0.25">
      <c r="A66" s="221" t="s">
        <v>197</v>
      </c>
      <c r="B66" s="227" t="s">
        <v>23</v>
      </c>
      <c r="C66" s="227"/>
      <c r="D66" s="227"/>
      <c r="E66" s="227"/>
      <c r="F66" s="227"/>
      <c r="G66" s="227"/>
      <c r="H66" s="87"/>
      <c r="I66" s="87"/>
      <c r="J66" s="87"/>
      <c r="K66" s="87"/>
      <c r="L66" s="87"/>
      <c r="M66" s="87"/>
      <c r="N66" s="4"/>
      <c r="O66" s="133" t="s">
        <v>234</v>
      </c>
    </row>
    <row r="67" spans="1:18" x14ac:dyDescent="0.25">
      <c r="A67" s="222"/>
      <c r="B67" s="18" t="s">
        <v>9</v>
      </c>
      <c r="C67" s="18" t="s">
        <v>158</v>
      </c>
      <c r="D67" s="18" t="s">
        <v>6</v>
      </c>
      <c r="E67" s="18" t="s">
        <v>7</v>
      </c>
      <c r="F67" s="18" t="s">
        <v>123</v>
      </c>
      <c r="G67" s="18" t="s">
        <v>124</v>
      </c>
      <c r="H67" s="18" t="s">
        <v>94</v>
      </c>
      <c r="I67" s="18" t="s">
        <v>76</v>
      </c>
      <c r="J67" s="18" t="s">
        <v>160</v>
      </c>
      <c r="K67" s="18" t="s">
        <v>182</v>
      </c>
      <c r="L67" s="18" t="s">
        <v>173</v>
      </c>
      <c r="M67" s="18" t="s">
        <v>174</v>
      </c>
      <c r="N67" s="4"/>
      <c r="O67" s="133">
        <f>O72+O75+O78+O81+O84+O87+O90+O93+O96+O99+O102+O105</f>
        <v>968.63999999999987</v>
      </c>
    </row>
    <row r="68" spans="1:18" x14ac:dyDescent="0.25">
      <c r="A68" s="19" t="s">
        <v>37</v>
      </c>
      <c r="B68" s="18">
        <v>900</v>
      </c>
      <c r="C68" s="18">
        <v>1000</v>
      </c>
      <c r="D68" s="18">
        <v>3503</v>
      </c>
      <c r="E68" s="18">
        <v>1100</v>
      </c>
      <c r="F68" s="18">
        <v>1000</v>
      </c>
      <c r="G68" s="18">
        <v>2100</v>
      </c>
      <c r="H68" s="18">
        <v>1400</v>
      </c>
      <c r="I68" s="18">
        <v>1900</v>
      </c>
      <c r="J68" s="18">
        <v>1100</v>
      </c>
      <c r="K68" s="92">
        <v>10000</v>
      </c>
      <c r="L68" s="18">
        <v>1200</v>
      </c>
      <c r="M68" s="18">
        <v>1500</v>
      </c>
      <c r="N68" s="4"/>
    </row>
    <row r="69" spans="1:18" x14ac:dyDescent="0.25">
      <c r="A69" s="19" t="s">
        <v>233</v>
      </c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4"/>
      <c r="P69" s="45"/>
    </row>
    <row r="70" spans="1:18" x14ac:dyDescent="0.25">
      <c r="A70" s="4" t="s">
        <v>185</v>
      </c>
      <c r="B70" s="88"/>
      <c r="C70" s="88">
        <v>63.12</v>
      </c>
      <c r="D70" s="88">
        <v>70.069999999999993</v>
      </c>
      <c r="E70" s="88"/>
      <c r="F70" s="88"/>
      <c r="G70" s="88"/>
      <c r="H70" s="88"/>
      <c r="I70" s="88"/>
      <c r="J70" s="88"/>
      <c r="K70" s="88"/>
      <c r="L70" s="88"/>
      <c r="M70" s="88"/>
      <c r="N70" s="226" t="s">
        <v>36</v>
      </c>
      <c r="O70" s="134">
        <f t="shared" ref="O70:O106" si="7">SUM(B70:M70)</f>
        <v>133.19</v>
      </c>
      <c r="P70" s="228">
        <f>SUM(O70:O72)</f>
        <v>3286.39</v>
      </c>
    </row>
    <row r="71" spans="1:18" x14ac:dyDescent="0.25">
      <c r="A71" s="97" t="s">
        <v>184</v>
      </c>
      <c r="B71" s="88"/>
      <c r="C71" s="88">
        <v>1600.19</v>
      </c>
      <c r="D71" s="88"/>
      <c r="E71" s="88">
        <v>1468.8</v>
      </c>
      <c r="F71" s="88"/>
      <c r="G71" s="88"/>
      <c r="H71" s="88"/>
      <c r="I71" s="88"/>
      <c r="J71" s="88"/>
      <c r="K71" s="88"/>
      <c r="L71" s="88"/>
      <c r="M71" s="88"/>
      <c r="N71" s="226"/>
      <c r="O71" s="134">
        <f t="shared" si="7"/>
        <v>3068.99</v>
      </c>
      <c r="P71" s="229"/>
    </row>
    <row r="72" spans="1:18" x14ac:dyDescent="0.25">
      <c r="A72" s="97" t="s">
        <v>104</v>
      </c>
      <c r="B72" s="88"/>
      <c r="C72" s="88"/>
      <c r="D72" s="88"/>
      <c r="E72" s="88"/>
      <c r="F72" s="88">
        <v>25.14</v>
      </c>
      <c r="G72" s="88">
        <v>28.6</v>
      </c>
      <c r="H72" s="88"/>
      <c r="I72" s="88"/>
      <c r="J72" s="88"/>
      <c r="K72" s="88">
        <v>30.47</v>
      </c>
      <c r="L72" s="88"/>
      <c r="M72" s="88"/>
      <c r="N72" s="226"/>
      <c r="O72" s="134">
        <f t="shared" si="7"/>
        <v>84.210000000000008</v>
      </c>
      <c r="P72" s="229"/>
      <c r="R72" s="45">
        <f>SUM(O72+O75+O78+O81+O84+O87+O90+O93+O96+O99+O102+O105)</f>
        <v>968.63999999999987</v>
      </c>
    </row>
    <row r="73" spans="1:18" x14ac:dyDescent="0.25">
      <c r="A73" s="101" t="s">
        <v>186</v>
      </c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226"/>
      <c r="O73" s="134">
        <f t="shared" si="7"/>
        <v>0</v>
      </c>
      <c r="P73" s="228">
        <f>SUM(O73:O75)</f>
        <v>24.409999999999997</v>
      </c>
    </row>
    <row r="74" spans="1:18" x14ac:dyDescent="0.25">
      <c r="A74" s="103" t="s">
        <v>184</v>
      </c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226"/>
      <c r="O74" s="134">
        <f t="shared" si="7"/>
        <v>0</v>
      </c>
      <c r="P74" s="229"/>
    </row>
    <row r="75" spans="1:18" x14ac:dyDescent="0.25">
      <c r="A75" s="103" t="s">
        <v>104</v>
      </c>
      <c r="B75" s="102"/>
      <c r="C75" s="102">
        <f>0.58-0.13</f>
        <v>0.44999999999999996</v>
      </c>
      <c r="D75" s="102"/>
      <c r="E75" s="102">
        <v>2.4700000000000002</v>
      </c>
      <c r="F75" s="102">
        <v>6.85</v>
      </c>
      <c r="G75" s="104"/>
      <c r="H75" s="102"/>
      <c r="I75" s="102"/>
      <c r="J75" s="102">
        <f>8.26-1.85-1.65</f>
        <v>4.76</v>
      </c>
      <c r="K75" s="102">
        <v>7.41</v>
      </c>
      <c r="L75" s="102">
        <f>3.08-0.61</f>
        <v>2.4700000000000002</v>
      </c>
      <c r="M75" s="102"/>
      <c r="N75" s="226"/>
      <c r="O75" s="134">
        <f t="shared" si="7"/>
        <v>24.409999999999997</v>
      </c>
      <c r="P75" s="229"/>
    </row>
    <row r="76" spans="1:18" x14ac:dyDescent="0.25">
      <c r="A76" s="98" t="s">
        <v>187</v>
      </c>
      <c r="B76" s="99"/>
      <c r="C76" s="99"/>
      <c r="D76" s="99">
        <v>419.83</v>
      </c>
      <c r="E76" s="99"/>
      <c r="F76" s="99"/>
      <c r="G76" s="99"/>
      <c r="H76" s="99">
        <v>117.18</v>
      </c>
      <c r="I76" s="99"/>
      <c r="J76" s="99">
        <v>862.41</v>
      </c>
      <c r="K76" s="99"/>
      <c r="L76" s="99"/>
      <c r="M76" s="99"/>
      <c r="N76" s="226"/>
      <c r="O76" s="134">
        <f t="shared" si="7"/>
        <v>1399.42</v>
      </c>
      <c r="P76" s="228">
        <f>SUM(O76:O78)</f>
        <v>2242.77</v>
      </c>
    </row>
    <row r="77" spans="1:18" x14ac:dyDescent="0.25">
      <c r="A77" s="100" t="s">
        <v>184</v>
      </c>
      <c r="B77" s="99"/>
      <c r="C77" s="99"/>
      <c r="D77" s="99"/>
      <c r="E77" s="99"/>
      <c r="F77" s="99"/>
      <c r="G77" s="99"/>
      <c r="H77" s="99">
        <v>316.82</v>
      </c>
      <c r="I77" s="99"/>
      <c r="J77" s="99">
        <v>274.26</v>
      </c>
      <c r="K77" s="99"/>
      <c r="L77" s="99"/>
      <c r="M77" s="99"/>
      <c r="N77" s="226"/>
      <c r="O77" s="134">
        <f t="shared" si="7"/>
        <v>591.07999999999993</v>
      </c>
      <c r="P77" s="229"/>
    </row>
    <row r="78" spans="1:18" x14ac:dyDescent="0.25">
      <c r="A78" s="100" t="s">
        <v>104</v>
      </c>
      <c r="B78" s="99"/>
      <c r="C78" s="99">
        <v>0.35</v>
      </c>
      <c r="D78" s="99"/>
      <c r="E78" s="99">
        <v>3.69</v>
      </c>
      <c r="F78" s="99">
        <v>34.33</v>
      </c>
      <c r="G78" s="99">
        <v>113.19</v>
      </c>
      <c r="H78" s="99"/>
      <c r="I78" s="99">
        <v>1.57</v>
      </c>
      <c r="J78" s="99">
        <v>2.9</v>
      </c>
      <c r="K78" s="99">
        <v>96.24</v>
      </c>
      <c r="L78" s="99"/>
      <c r="M78" s="99"/>
      <c r="N78" s="226"/>
      <c r="O78" s="134">
        <f t="shared" si="7"/>
        <v>252.26999999999998</v>
      </c>
      <c r="P78" s="229"/>
    </row>
    <row r="79" spans="1:18" x14ac:dyDescent="0.25">
      <c r="A79" s="105" t="s">
        <v>188</v>
      </c>
      <c r="B79" s="106"/>
      <c r="C79" s="106"/>
      <c r="D79" s="106">
        <v>70.06</v>
      </c>
      <c r="E79" s="106"/>
      <c r="F79" s="106"/>
      <c r="G79" s="106"/>
      <c r="H79" s="106"/>
      <c r="I79" s="106"/>
      <c r="J79" s="106"/>
      <c r="K79" s="106"/>
      <c r="L79" s="106">
        <v>635.77</v>
      </c>
      <c r="M79" s="106"/>
      <c r="N79" s="226"/>
      <c r="O79" s="134">
        <f t="shared" si="7"/>
        <v>705.82999999999993</v>
      </c>
      <c r="P79" s="228">
        <f>SUM(O79:O81)</f>
        <v>821.42</v>
      </c>
    </row>
    <row r="80" spans="1:18" x14ac:dyDescent="0.25">
      <c r="A80" s="107" t="s">
        <v>184</v>
      </c>
      <c r="B80" s="106"/>
      <c r="C80" s="106"/>
      <c r="D80" s="106"/>
      <c r="E80" s="106"/>
      <c r="F80" s="106"/>
      <c r="G80" s="106"/>
      <c r="H80" s="106"/>
      <c r="I80" s="106"/>
      <c r="J80" s="106"/>
      <c r="K80" s="106"/>
      <c r="L80" s="106"/>
      <c r="M80" s="106"/>
      <c r="N80" s="226"/>
      <c r="O80" s="134">
        <f t="shared" si="7"/>
        <v>0</v>
      </c>
      <c r="P80" s="229"/>
    </row>
    <row r="81" spans="1:16" x14ac:dyDescent="0.25">
      <c r="A81" s="107" t="s">
        <v>104</v>
      </c>
      <c r="B81" s="106">
        <v>8.93</v>
      </c>
      <c r="C81" s="106">
        <v>0.31</v>
      </c>
      <c r="D81" s="106"/>
      <c r="E81" s="106">
        <v>2.62</v>
      </c>
      <c r="F81" s="106">
        <v>23.04</v>
      </c>
      <c r="G81" s="106">
        <v>76.37</v>
      </c>
      <c r="H81" s="106">
        <v>1.36</v>
      </c>
      <c r="I81" s="106">
        <v>2.83</v>
      </c>
      <c r="J81" s="106">
        <v>0.09</v>
      </c>
      <c r="K81" s="106"/>
      <c r="L81" s="106"/>
      <c r="M81" s="106">
        <v>0.04</v>
      </c>
      <c r="N81" s="226"/>
      <c r="O81" s="134">
        <f t="shared" si="7"/>
        <v>115.59000000000002</v>
      </c>
      <c r="P81" s="229"/>
    </row>
    <row r="82" spans="1:16" x14ac:dyDescent="0.25">
      <c r="A82" s="108" t="s">
        <v>189</v>
      </c>
      <c r="B82" s="109"/>
      <c r="C82" s="109"/>
      <c r="D82" s="109"/>
      <c r="E82" s="109"/>
      <c r="F82" s="109"/>
      <c r="G82" s="109"/>
      <c r="H82" s="109"/>
      <c r="I82" s="109">
        <v>196.92</v>
      </c>
      <c r="J82" s="109"/>
      <c r="K82" s="109"/>
      <c r="L82" s="109"/>
      <c r="M82" s="109"/>
      <c r="N82" s="226"/>
      <c r="O82" s="134">
        <f t="shared" si="7"/>
        <v>196.92</v>
      </c>
      <c r="P82" s="228">
        <f>SUM(O82:O84)</f>
        <v>3947.8</v>
      </c>
    </row>
    <row r="83" spans="1:16" x14ac:dyDescent="0.25">
      <c r="A83" s="110" t="s">
        <v>184</v>
      </c>
      <c r="B83" s="109"/>
      <c r="C83" s="109">
        <v>1425.45</v>
      </c>
      <c r="D83" s="109"/>
      <c r="E83" s="109"/>
      <c r="F83" s="109"/>
      <c r="G83" s="109"/>
      <c r="H83" s="109"/>
      <c r="I83" s="109">
        <v>2114.9699999999998</v>
      </c>
      <c r="J83" s="109"/>
      <c r="K83" s="109"/>
      <c r="L83" s="109"/>
      <c r="M83" s="109"/>
      <c r="N83" s="226"/>
      <c r="O83" s="134">
        <f t="shared" si="7"/>
        <v>3540.42</v>
      </c>
      <c r="P83" s="229"/>
    </row>
    <row r="84" spans="1:16" x14ac:dyDescent="0.25">
      <c r="A84" s="110" t="s">
        <v>104</v>
      </c>
      <c r="B84" s="109">
        <v>19.89</v>
      </c>
      <c r="C84" s="109">
        <v>0.14000000000000001</v>
      </c>
      <c r="D84" s="109"/>
      <c r="E84" s="109">
        <v>83.59</v>
      </c>
      <c r="F84" s="109">
        <v>7.83</v>
      </c>
      <c r="G84" s="109">
        <v>74.33</v>
      </c>
      <c r="H84" s="109">
        <v>0.09</v>
      </c>
      <c r="I84" s="109"/>
      <c r="J84" s="109">
        <v>1.1000000000000001</v>
      </c>
      <c r="K84" s="109">
        <v>23.49</v>
      </c>
      <c r="L84" s="109"/>
      <c r="M84" s="109"/>
      <c r="N84" s="226"/>
      <c r="O84" s="134">
        <f t="shared" si="7"/>
        <v>210.46</v>
      </c>
      <c r="P84" s="229"/>
    </row>
    <row r="85" spans="1:16" x14ac:dyDescent="0.25">
      <c r="A85" s="111" t="s">
        <v>190</v>
      </c>
      <c r="B85" s="112">
        <v>675.24</v>
      </c>
      <c r="C85" s="112"/>
      <c r="D85" s="112"/>
      <c r="E85" s="112"/>
      <c r="F85" s="112"/>
      <c r="G85" s="112">
        <v>1600</v>
      </c>
      <c r="H85" s="112"/>
      <c r="I85" s="112"/>
      <c r="J85" s="112">
        <v>928.5</v>
      </c>
      <c r="K85" s="112"/>
      <c r="L85" s="112"/>
      <c r="M85" s="112">
        <v>1628.28</v>
      </c>
      <c r="N85" s="226"/>
      <c r="O85" s="134">
        <f t="shared" si="7"/>
        <v>4832.0199999999995</v>
      </c>
      <c r="P85" s="228">
        <f>SUM(O85:O87)</f>
        <v>6113.3</v>
      </c>
    </row>
    <row r="86" spans="1:16" x14ac:dyDescent="0.25">
      <c r="A86" s="113" t="s">
        <v>184</v>
      </c>
      <c r="B86" s="112"/>
      <c r="C86" s="112">
        <v>915.2</v>
      </c>
      <c r="D86" s="112"/>
      <c r="E86" s="112"/>
      <c r="F86" s="112"/>
      <c r="G86" s="112"/>
      <c r="H86" s="112"/>
      <c r="I86" s="112">
        <v>143.47</v>
      </c>
      <c r="J86" s="112">
        <v>135.31</v>
      </c>
      <c r="K86" s="112"/>
      <c r="L86" s="112"/>
      <c r="M86" s="112"/>
      <c r="N86" s="226"/>
      <c r="O86" s="134">
        <f t="shared" si="7"/>
        <v>1193.98</v>
      </c>
      <c r="P86" s="229"/>
    </row>
    <row r="87" spans="1:16" x14ac:dyDescent="0.25">
      <c r="A87" s="113" t="s">
        <v>104</v>
      </c>
      <c r="B87" s="112"/>
      <c r="C87" s="112">
        <v>9.0500000000000007</v>
      </c>
      <c r="D87" s="112"/>
      <c r="E87" s="112">
        <v>32.26</v>
      </c>
      <c r="F87" s="112">
        <v>22.11</v>
      </c>
      <c r="G87" s="112">
        <v>0.39</v>
      </c>
      <c r="H87" s="112">
        <v>0.13</v>
      </c>
      <c r="I87" s="112">
        <v>1.81</v>
      </c>
      <c r="J87" s="112">
        <v>1.1599999999999999</v>
      </c>
      <c r="K87" s="112">
        <v>20.39</v>
      </c>
      <c r="L87" s="112"/>
      <c r="M87" s="112"/>
      <c r="N87" s="226"/>
      <c r="O87" s="134">
        <f t="shared" si="7"/>
        <v>87.3</v>
      </c>
      <c r="P87" s="229"/>
    </row>
    <row r="88" spans="1:16" x14ac:dyDescent="0.25">
      <c r="A88" s="114" t="s">
        <v>191</v>
      </c>
      <c r="B88" s="115"/>
      <c r="C88" s="115"/>
      <c r="D88" s="115">
        <v>70.06</v>
      </c>
      <c r="E88" s="115"/>
      <c r="F88" s="115">
        <v>208.35</v>
      </c>
      <c r="G88" s="115"/>
      <c r="H88" s="115"/>
      <c r="I88" s="115"/>
      <c r="J88" s="115"/>
      <c r="K88" s="115"/>
      <c r="L88" s="115"/>
      <c r="M88" s="115"/>
      <c r="N88" s="226"/>
      <c r="O88" s="134">
        <f t="shared" si="7"/>
        <v>278.40999999999997</v>
      </c>
      <c r="P88" s="228">
        <f>SUM(O88:O90)</f>
        <v>309.47999999999996</v>
      </c>
    </row>
    <row r="89" spans="1:16" x14ac:dyDescent="0.25">
      <c r="A89" s="116" t="s">
        <v>184</v>
      </c>
      <c r="B89" s="115"/>
      <c r="C89" s="115"/>
      <c r="D89" s="115"/>
      <c r="E89" s="115"/>
      <c r="F89" s="115"/>
      <c r="G89" s="115"/>
      <c r="H89" s="115"/>
      <c r="I89" s="115"/>
      <c r="J89" s="115"/>
      <c r="K89" s="115"/>
      <c r="L89" s="115"/>
      <c r="M89" s="115"/>
      <c r="N89" s="226"/>
      <c r="O89" s="134">
        <f t="shared" si="7"/>
        <v>0</v>
      </c>
      <c r="P89" s="229"/>
    </row>
    <row r="90" spans="1:16" x14ac:dyDescent="0.25">
      <c r="A90" s="116" t="s">
        <v>104</v>
      </c>
      <c r="B90" s="115"/>
      <c r="C90" s="115"/>
      <c r="D90" s="115"/>
      <c r="E90" s="115">
        <v>17.059999999999999</v>
      </c>
      <c r="F90" s="115">
        <v>9.35</v>
      </c>
      <c r="G90" s="115"/>
      <c r="H90" s="115"/>
      <c r="I90" s="115">
        <v>2.58</v>
      </c>
      <c r="J90" s="115">
        <v>2.08</v>
      </c>
      <c r="K90" s="115"/>
      <c r="L90" s="115"/>
      <c r="M90" s="115"/>
      <c r="N90" s="226"/>
      <c r="O90" s="134">
        <f t="shared" si="7"/>
        <v>31.069999999999993</v>
      </c>
      <c r="P90" s="229"/>
    </row>
    <row r="91" spans="1:16" x14ac:dyDescent="0.25">
      <c r="A91" s="117" t="s">
        <v>192</v>
      </c>
      <c r="B91" s="117"/>
      <c r="C91" s="118">
        <v>568.32000000000005</v>
      </c>
      <c r="D91" s="118">
        <v>570.79999999999995</v>
      </c>
      <c r="E91" s="118">
        <v>586.9</v>
      </c>
      <c r="F91" s="118"/>
      <c r="G91" s="118"/>
      <c r="H91" s="118">
        <v>132.72</v>
      </c>
      <c r="I91" s="118"/>
      <c r="J91" s="118">
        <v>612.1</v>
      </c>
      <c r="K91" s="118"/>
      <c r="L91" s="118"/>
      <c r="M91" s="118"/>
      <c r="N91" s="226"/>
      <c r="O91" s="134">
        <f t="shared" si="7"/>
        <v>2470.84</v>
      </c>
      <c r="P91" s="228">
        <f>SUM(O91:O93)</f>
        <v>3554.92</v>
      </c>
    </row>
    <row r="92" spans="1:16" x14ac:dyDescent="0.25">
      <c r="A92" s="119" t="s">
        <v>184</v>
      </c>
      <c r="B92" s="117"/>
      <c r="C92" s="118">
        <v>278.16000000000003</v>
      </c>
      <c r="D92" s="118"/>
      <c r="E92" s="118">
        <v>393.51</v>
      </c>
      <c r="F92" s="118"/>
      <c r="G92" s="118"/>
      <c r="H92" s="118">
        <v>203.28</v>
      </c>
      <c r="I92" s="118"/>
      <c r="J92" s="118">
        <v>172.89</v>
      </c>
      <c r="K92" s="118"/>
      <c r="L92" s="118"/>
      <c r="M92" s="118"/>
      <c r="N92" s="226"/>
      <c r="O92" s="134">
        <f t="shared" si="7"/>
        <v>1047.8400000000001</v>
      </c>
      <c r="P92" s="229"/>
    </row>
    <row r="93" spans="1:16" x14ac:dyDescent="0.25">
      <c r="A93" s="119" t="s">
        <v>104</v>
      </c>
      <c r="B93" s="117"/>
      <c r="C93" s="118">
        <v>0.35</v>
      </c>
      <c r="D93" s="118"/>
      <c r="E93" s="118">
        <v>30.07</v>
      </c>
      <c r="F93" s="118"/>
      <c r="G93" s="118"/>
      <c r="H93" s="118"/>
      <c r="I93" s="118">
        <v>3</v>
      </c>
      <c r="J93" s="118">
        <v>2.82</v>
      </c>
      <c r="K93" s="118"/>
      <c r="L93" s="118"/>
      <c r="M93" s="118"/>
      <c r="N93" s="226"/>
      <c r="O93" s="134">
        <f t="shared" si="7"/>
        <v>36.24</v>
      </c>
      <c r="P93" s="229"/>
    </row>
    <row r="94" spans="1:16" x14ac:dyDescent="0.25">
      <c r="A94" s="123" t="s">
        <v>193</v>
      </c>
      <c r="B94" s="124">
        <v>387.91</v>
      </c>
      <c r="C94" s="124"/>
      <c r="D94" s="124"/>
      <c r="E94" s="124"/>
      <c r="F94" s="124"/>
      <c r="G94" s="124"/>
      <c r="H94" s="124"/>
      <c r="I94" s="124"/>
      <c r="J94" s="124">
        <v>312.47000000000003</v>
      </c>
      <c r="K94" s="124"/>
      <c r="L94" s="124"/>
      <c r="M94" s="124"/>
      <c r="N94" s="226"/>
      <c r="O94" s="134">
        <f t="shared" si="7"/>
        <v>700.38000000000011</v>
      </c>
      <c r="P94" s="228">
        <f>SUM(O94:O96)</f>
        <v>3487.7000000000007</v>
      </c>
    </row>
    <row r="95" spans="1:16" x14ac:dyDescent="0.25">
      <c r="A95" s="125" t="s">
        <v>184</v>
      </c>
      <c r="B95" s="124"/>
      <c r="C95" s="124">
        <v>946.78</v>
      </c>
      <c r="D95" s="124"/>
      <c r="E95" s="124"/>
      <c r="F95" s="124">
        <v>1783.44</v>
      </c>
      <c r="G95" s="124"/>
      <c r="H95" s="124"/>
      <c r="I95" s="124">
        <v>36.090000000000003</v>
      </c>
      <c r="J95" s="124"/>
      <c r="K95" s="124"/>
      <c r="L95" s="124"/>
      <c r="M95" s="124"/>
      <c r="N95" s="226"/>
      <c r="O95" s="134">
        <f t="shared" si="7"/>
        <v>2766.3100000000004</v>
      </c>
      <c r="P95" s="229"/>
    </row>
    <row r="96" spans="1:16" x14ac:dyDescent="0.25">
      <c r="A96" s="125" t="s">
        <v>104</v>
      </c>
      <c r="B96" s="124"/>
      <c r="C96" s="124">
        <v>2.63</v>
      </c>
      <c r="D96" s="124"/>
      <c r="E96" s="124"/>
      <c r="F96" s="124">
        <v>18.14</v>
      </c>
      <c r="G96" s="124"/>
      <c r="H96" s="124">
        <v>0.24</v>
      </c>
      <c r="I96" s="124"/>
      <c r="J96" s="124"/>
      <c r="K96" s="124"/>
      <c r="L96" s="124"/>
      <c r="M96" s="124"/>
      <c r="N96" s="226"/>
      <c r="O96" s="134">
        <f t="shared" si="7"/>
        <v>21.009999999999998</v>
      </c>
      <c r="P96" s="229"/>
    </row>
    <row r="97" spans="1:16" x14ac:dyDescent="0.25">
      <c r="A97" s="101" t="s">
        <v>194</v>
      </c>
      <c r="B97" s="101"/>
      <c r="C97" s="102"/>
      <c r="D97" s="102">
        <v>489.76</v>
      </c>
      <c r="E97" s="102"/>
      <c r="F97" s="102"/>
      <c r="G97" s="102">
        <v>302.06</v>
      </c>
      <c r="H97" s="102"/>
      <c r="I97" s="102"/>
      <c r="J97" s="102"/>
      <c r="K97" s="102"/>
      <c r="L97" s="102"/>
      <c r="M97" s="102"/>
      <c r="N97" s="226"/>
      <c r="O97" s="134">
        <f t="shared" si="7"/>
        <v>791.81999999999994</v>
      </c>
      <c r="P97" s="228">
        <f>SUM(O97:O99)</f>
        <v>838.32999999999993</v>
      </c>
    </row>
    <row r="98" spans="1:16" x14ac:dyDescent="0.25">
      <c r="A98" s="103" t="s">
        <v>184</v>
      </c>
      <c r="B98" s="101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226"/>
      <c r="O98" s="134">
        <f t="shared" si="7"/>
        <v>0</v>
      </c>
      <c r="P98" s="229"/>
    </row>
    <row r="99" spans="1:16" x14ac:dyDescent="0.25">
      <c r="A99" s="103" t="s">
        <v>104</v>
      </c>
      <c r="B99" s="101"/>
      <c r="C99" s="102">
        <v>0.12</v>
      </c>
      <c r="D99" s="102"/>
      <c r="E99" s="102">
        <v>27.24</v>
      </c>
      <c r="F99" s="102">
        <v>17.510000000000002</v>
      </c>
      <c r="G99" s="102"/>
      <c r="H99" s="102"/>
      <c r="I99" s="102">
        <v>1.64</v>
      </c>
      <c r="J99" s="102"/>
      <c r="K99" s="102"/>
      <c r="L99" s="102"/>
      <c r="M99" s="102"/>
      <c r="N99" s="226"/>
      <c r="O99" s="134">
        <f t="shared" si="7"/>
        <v>46.510000000000005</v>
      </c>
      <c r="P99" s="229"/>
    </row>
    <row r="100" spans="1:16" x14ac:dyDescent="0.25">
      <c r="A100" s="126" t="s">
        <v>195</v>
      </c>
      <c r="B100" s="120"/>
      <c r="C100" s="121">
        <v>310.64999999999998</v>
      </c>
      <c r="D100" s="121"/>
      <c r="E100" s="121"/>
      <c r="F100" s="121"/>
      <c r="G100" s="121"/>
      <c r="H100" s="121"/>
      <c r="I100" s="121"/>
      <c r="J100" s="121">
        <v>641.62</v>
      </c>
      <c r="K100" s="121"/>
      <c r="L100" s="121"/>
      <c r="M100" s="121"/>
      <c r="N100" s="226"/>
      <c r="O100" s="134">
        <f t="shared" si="7"/>
        <v>952.27</v>
      </c>
      <c r="P100" s="228">
        <f>SUM(O100:O102)</f>
        <v>1305.2900000000002</v>
      </c>
    </row>
    <row r="101" spans="1:16" x14ac:dyDescent="0.25">
      <c r="A101" s="122" t="s">
        <v>184</v>
      </c>
      <c r="B101" s="120"/>
      <c r="C101" s="121">
        <v>209.18</v>
      </c>
      <c r="D101" s="121"/>
      <c r="E101" s="121"/>
      <c r="F101" s="121"/>
      <c r="G101" s="121"/>
      <c r="H101" s="121"/>
      <c r="I101" s="121"/>
      <c r="J101" s="121">
        <v>112.18</v>
      </c>
      <c r="K101" s="121"/>
      <c r="L101" s="121"/>
      <c r="M101" s="121"/>
      <c r="N101" s="226"/>
      <c r="O101" s="134">
        <f t="shared" si="7"/>
        <v>321.36</v>
      </c>
      <c r="P101" s="229"/>
    </row>
    <row r="102" spans="1:16" x14ac:dyDescent="0.25">
      <c r="A102" s="122" t="s">
        <v>104</v>
      </c>
      <c r="B102" s="120"/>
      <c r="C102" s="121">
        <v>0.56999999999999995</v>
      </c>
      <c r="D102" s="121"/>
      <c r="E102" s="121">
        <v>18.36</v>
      </c>
      <c r="F102" s="121">
        <v>11.58</v>
      </c>
      <c r="G102" s="121"/>
      <c r="H102" s="121">
        <v>0.9</v>
      </c>
      <c r="I102" s="121">
        <v>0.25</v>
      </c>
      <c r="J102" s="121"/>
      <c r="K102" s="121"/>
      <c r="L102" s="121"/>
      <c r="M102" s="121"/>
      <c r="N102" s="226"/>
      <c r="O102" s="134">
        <f t="shared" si="7"/>
        <v>31.659999999999997</v>
      </c>
      <c r="P102" s="229"/>
    </row>
    <row r="103" spans="1:16" x14ac:dyDescent="0.25">
      <c r="A103" s="108" t="s">
        <v>196</v>
      </c>
      <c r="B103" s="109">
        <f>385.66+647.57</f>
        <v>1033.23</v>
      </c>
      <c r="C103" s="109"/>
      <c r="D103" s="109"/>
      <c r="E103" s="109">
        <v>544.12</v>
      </c>
      <c r="F103" s="109"/>
      <c r="G103" s="109">
        <v>474.06</v>
      </c>
      <c r="H103" s="109"/>
      <c r="I103" s="109">
        <v>35.799999999999997</v>
      </c>
      <c r="J103" s="109">
        <v>320.06</v>
      </c>
      <c r="K103" s="109"/>
      <c r="L103" s="109">
        <v>89.53</v>
      </c>
      <c r="M103" s="109"/>
      <c r="N103" s="226"/>
      <c r="O103" s="134">
        <f t="shared" si="7"/>
        <v>2496.8000000000002</v>
      </c>
      <c r="P103" s="228">
        <f>SUM(O103:O105)</f>
        <v>4667.87</v>
      </c>
    </row>
    <row r="104" spans="1:16" x14ac:dyDescent="0.25">
      <c r="A104" s="110" t="s">
        <v>184</v>
      </c>
      <c r="B104" s="109"/>
      <c r="C104" s="109">
        <v>1122.67</v>
      </c>
      <c r="D104" s="109"/>
      <c r="E104" s="109">
        <v>13.01</v>
      </c>
      <c r="F104" s="109">
        <v>940.27</v>
      </c>
      <c r="G104" s="109"/>
      <c r="H104" s="109"/>
      <c r="I104" s="109">
        <v>67.209999999999994</v>
      </c>
      <c r="J104" s="109"/>
      <c r="K104" s="109"/>
      <c r="L104" s="109"/>
      <c r="M104" s="109"/>
      <c r="N104" s="96"/>
      <c r="O104" s="134">
        <f t="shared" si="7"/>
        <v>2143.16</v>
      </c>
      <c r="P104" s="229"/>
    </row>
    <row r="105" spans="1:16" x14ac:dyDescent="0.25">
      <c r="A105" s="110" t="s">
        <v>104</v>
      </c>
      <c r="B105" s="109"/>
      <c r="C105" s="109">
        <v>0.88</v>
      </c>
      <c r="D105" s="109"/>
      <c r="E105" s="109">
        <v>11.61</v>
      </c>
      <c r="F105" s="109">
        <v>5.26</v>
      </c>
      <c r="G105" s="109"/>
      <c r="H105" s="109">
        <v>2.04</v>
      </c>
      <c r="I105" s="109">
        <v>0.77</v>
      </c>
      <c r="J105" s="109">
        <v>0.93</v>
      </c>
      <c r="K105" s="109"/>
      <c r="L105" s="109">
        <v>6.22</v>
      </c>
      <c r="M105" s="109">
        <v>0.2</v>
      </c>
      <c r="N105" s="96"/>
      <c r="O105" s="134">
        <f t="shared" si="7"/>
        <v>27.909999999999997</v>
      </c>
      <c r="P105" s="229"/>
    </row>
    <row r="106" spans="1:16" x14ac:dyDescent="0.25">
      <c r="A106" s="44" t="s">
        <v>81</v>
      </c>
      <c r="B106" s="50">
        <f t="shared" ref="B106:L106" si="8">SUM(B70:B105)</f>
        <v>2125.1999999999998</v>
      </c>
      <c r="C106" s="50">
        <f t="shared" si="8"/>
        <v>7454.57</v>
      </c>
      <c r="D106" s="50">
        <f t="shared" si="8"/>
        <v>1690.58</v>
      </c>
      <c r="E106" s="50">
        <f t="shared" si="8"/>
        <v>3235.31</v>
      </c>
      <c r="F106" s="50">
        <f t="shared" si="8"/>
        <v>3113.2000000000003</v>
      </c>
      <c r="G106" s="50">
        <f t="shared" si="8"/>
        <v>2669</v>
      </c>
      <c r="H106" s="50">
        <f t="shared" si="8"/>
        <v>774.75999999999988</v>
      </c>
      <c r="I106" s="50">
        <f t="shared" si="8"/>
        <v>2608.91</v>
      </c>
      <c r="J106" s="50">
        <f t="shared" si="8"/>
        <v>4387.6399999999994</v>
      </c>
      <c r="K106" s="50">
        <f t="shared" si="8"/>
        <v>178</v>
      </c>
      <c r="L106" s="50">
        <f t="shared" si="8"/>
        <v>733.99</v>
      </c>
      <c r="M106" s="50">
        <f>SUM(M70:M105)</f>
        <v>1628.52</v>
      </c>
      <c r="N106" s="50">
        <f>SUBTOTAL(9,B106:M106)</f>
        <v>30599.68</v>
      </c>
      <c r="O106" s="45">
        <f t="shared" si="7"/>
        <v>30599.68</v>
      </c>
      <c r="P106" s="127">
        <f>SUM(P70:P105)</f>
        <v>30599.679999999997</v>
      </c>
    </row>
    <row r="107" spans="1:16" x14ac:dyDescent="0.25">
      <c r="A107" s="89" t="s">
        <v>38</v>
      </c>
      <c r="B107" s="4">
        <f>900*14.1</f>
        <v>12690</v>
      </c>
      <c r="C107" s="4">
        <f>1000*11.44</f>
        <v>11440</v>
      </c>
      <c r="D107" s="4">
        <f>3503*8.45</f>
        <v>29600.35</v>
      </c>
      <c r="E107" s="4">
        <f>1100*27.09</f>
        <v>29799</v>
      </c>
      <c r="F107" s="4">
        <f>1000*40.31</f>
        <v>40310</v>
      </c>
      <c r="G107" s="4">
        <f>2000*18.22</f>
        <v>36440</v>
      </c>
      <c r="H107" s="4">
        <f>1400*9.2</f>
        <v>12879.999999999998</v>
      </c>
      <c r="I107" s="4">
        <f>1900*7.83</f>
        <v>14877</v>
      </c>
      <c r="J107" s="4">
        <f>1100*28.67</f>
        <v>31537.000000000004</v>
      </c>
      <c r="K107" s="4">
        <v>16000</v>
      </c>
      <c r="L107" s="4">
        <f>1200*20.51</f>
        <v>24612.000000000004</v>
      </c>
      <c r="M107" s="4">
        <f>1500*18.97</f>
        <v>28455</v>
      </c>
      <c r="N107" s="4"/>
      <c r="O107" s="45"/>
      <c r="P107" s="45"/>
    </row>
    <row r="108" spans="1:16" x14ac:dyDescent="0.25">
      <c r="A108" s="89" t="s">
        <v>175</v>
      </c>
      <c r="B108" s="80">
        <f>B106/B107</f>
        <v>0.16747044917257681</v>
      </c>
      <c r="C108" s="80">
        <f t="shared" ref="C108:M108" si="9">C106/C107</f>
        <v>0.65162325174825175</v>
      </c>
      <c r="D108" s="80">
        <f t="shared" si="9"/>
        <v>5.7113513860477999E-2</v>
      </c>
      <c r="E108" s="80">
        <f t="shared" si="9"/>
        <v>0.10857109298969764</v>
      </c>
      <c r="F108" s="80">
        <f t="shared" si="9"/>
        <v>7.7231456214338884E-2</v>
      </c>
      <c r="G108" s="80">
        <f t="shared" si="9"/>
        <v>7.3243688254665207E-2</v>
      </c>
      <c r="H108" s="80">
        <f t="shared" si="9"/>
        <v>6.0152173913043477E-2</v>
      </c>
      <c r="I108" s="80">
        <f t="shared" si="9"/>
        <v>0.17536532903139074</v>
      </c>
      <c r="J108" s="80">
        <f t="shared" si="9"/>
        <v>0.13912674001965941</v>
      </c>
      <c r="K108" s="80">
        <f t="shared" si="9"/>
        <v>1.1124999999999999E-2</v>
      </c>
      <c r="L108" s="80">
        <f t="shared" si="9"/>
        <v>2.982244433609621E-2</v>
      </c>
      <c r="M108" s="80">
        <f t="shared" si="9"/>
        <v>5.7231418028466E-2</v>
      </c>
      <c r="N108" s="4"/>
    </row>
    <row r="109" spans="1:16" x14ac:dyDescent="0.25">
      <c r="A109" s="89" t="s">
        <v>232</v>
      </c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</row>
    <row r="110" spans="1:16" x14ac:dyDescent="0.25">
      <c r="B110" s="45"/>
    </row>
    <row r="112" spans="1:16" x14ac:dyDescent="0.25">
      <c r="A112" s="221" t="s">
        <v>253</v>
      </c>
      <c r="B112" s="227" t="s">
        <v>23</v>
      </c>
      <c r="C112" s="227"/>
      <c r="D112" s="227"/>
      <c r="E112" s="227"/>
      <c r="F112" s="227"/>
      <c r="G112" s="227"/>
      <c r="H112" s="87"/>
      <c r="I112" s="87"/>
      <c r="J112" s="87"/>
      <c r="K112" s="87"/>
      <c r="L112" s="87"/>
      <c r="M112" s="87"/>
      <c r="N112" s="4"/>
      <c r="O112" s="133" t="s">
        <v>234</v>
      </c>
    </row>
    <row r="113" spans="1:16" x14ac:dyDescent="0.25">
      <c r="A113" s="222"/>
      <c r="B113" s="18" t="s">
        <v>9</v>
      </c>
      <c r="C113" s="18" t="s">
        <v>158</v>
      </c>
      <c r="D113" s="18" t="s">
        <v>6</v>
      </c>
      <c r="E113" s="18" t="s">
        <v>7</v>
      </c>
      <c r="F113" s="18" t="s">
        <v>123</v>
      </c>
      <c r="G113" s="18" t="s">
        <v>124</v>
      </c>
      <c r="H113" s="18" t="s">
        <v>94</v>
      </c>
      <c r="I113" s="18" t="s">
        <v>76</v>
      </c>
      <c r="J113" s="18" t="s">
        <v>160</v>
      </c>
      <c r="K113" s="18" t="s">
        <v>75</v>
      </c>
      <c r="L113" s="18" t="s">
        <v>173</v>
      </c>
      <c r="M113" s="18" t="s">
        <v>174</v>
      </c>
      <c r="N113" s="4"/>
      <c r="O113" s="133">
        <f>O118+O121+O124+O127+O130+O133+O136+O139+O142+O145+O148+O151</f>
        <v>31.880000000000003</v>
      </c>
    </row>
    <row r="114" spans="1:16" x14ac:dyDescent="0.25">
      <c r="A114" s="19" t="s">
        <v>37</v>
      </c>
      <c r="B114" s="18">
        <v>900</v>
      </c>
      <c r="C114" s="18">
        <v>1000</v>
      </c>
      <c r="D114" s="18">
        <v>3503</v>
      </c>
      <c r="E114" s="18">
        <v>1100</v>
      </c>
      <c r="F114" s="18">
        <v>1000</v>
      </c>
      <c r="G114" s="18">
        <v>2100</v>
      </c>
      <c r="H114" s="18">
        <v>1400</v>
      </c>
      <c r="I114" s="18">
        <v>1900</v>
      </c>
      <c r="J114" s="18">
        <v>1100</v>
      </c>
      <c r="K114" s="92">
        <v>2500</v>
      </c>
      <c r="L114" s="18">
        <v>1200</v>
      </c>
      <c r="M114" s="18">
        <v>1500</v>
      </c>
      <c r="N114" s="4"/>
    </row>
    <row r="115" spans="1:16" x14ac:dyDescent="0.25">
      <c r="A115" s="19" t="s">
        <v>233</v>
      </c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4"/>
      <c r="P115" s="45"/>
    </row>
    <row r="116" spans="1:16" x14ac:dyDescent="0.25">
      <c r="A116" s="4" t="s">
        <v>185</v>
      </c>
      <c r="B116" s="88"/>
      <c r="C116" s="88"/>
      <c r="D116" s="88"/>
      <c r="E116" s="88"/>
      <c r="F116" s="88"/>
      <c r="G116" s="88"/>
      <c r="H116" s="88"/>
      <c r="I116" s="88"/>
      <c r="J116" s="88"/>
      <c r="K116" s="88"/>
      <c r="L116" s="88"/>
      <c r="M116" s="88"/>
      <c r="N116" s="226" t="s">
        <v>36</v>
      </c>
      <c r="O116" s="134">
        <f t="shared" ref="O116:O152" si="10">SUM(B116:M116)</f>
        <v>0</v>
      </c>
      <c r="P116" s="228">
        <f>SUM(O116:O118)</f>
        <v>728.02</v>
      </c>
    </row>
    <row r="117" spans="1:16" x14ac:dyDescent="0.25">
      <c r="A117" s="97" t="s">
        <v>184</v>
      </c>
      <c r="B117" s="88"/>
      <c r="C117" s="88"/>
      <c r="D117" s="88"/>
      <c r="E117" s="88">
        <v>728.02</v>
      </c>
      <c r="F117" s="88"/>
      <c r="G117" s="88"/>
      <c r="H117" s="88"/>
      <c r="I117" s="88"/>
      <c r="J117" s="88"/>
      <c r="K117" s="88"/>
      <c r="L117" s="88"/>
      <c r="M117" s="88"/>
      <c r="N117" s="226"/>
      <c r="O117" s="134">
        <f t="shared" si="10"/>
        <v>728.02</v>
      </c>
      <c r="P117" s="229"/>
    </row>
    <row r="118" spans="1:16" x14ac:dyDescent="0.25">
      <c r="A118" s="97" t="s">
        <v>104</v>
      </c>
      <c r="B118" s="88"/>
      <c r="C118" s="88"/>
      <c r="D118" s="88"/>
      <c r="E118" s="88"/>
      <c r="F118" s="88"/>
      <c r="G118" s="88"/>
      <c r="H118" s="88"/>
      <c r="I118" s="88"/>
      <c r="J118" s="88"/>
      <c r="K118" s="88"/>
      <c r="L118" s="88"/>
      <c r="M118" s="88"/>
      <c r="N118" s="226"/>
      <c r="O118" s="134">
        <f t="shared" si="10"/>
        <v>0</v>
      </c>
      <c r="P118" s="229"/>
    </row>
    <row r="119" spans="1:16" x14ac:dyDescent="0.25">
      <c r="A119" s="101" t="s">
        <v>186</v>
      </c>
      <c r="B119" s="102"/>
      <c r="C119" s="102">
        <v>364.98</v>
      </c>
      <c r="D119" s="102"/>
      <c r="E119" s="102"/>
      <c r="F119" s="102"/>
      <c r="G119" s="102"/>
      <c r="H119" s="102"/>
      <c r="I119" s="102"/>
      <c r="J119" s="102"/>
      <c r="K119" s="102"/>
      <c r="L119" s="102"/>
      <c r="M119" s="102"/>
      <c r="N119" s="226"/>
      <c r="O119" s="134">
        <f t="shared" si="10"/>
        <v>364.98</v>
      </c>
      <c r="P119" s="228">
        <f>SUM(O119:O121)</f>
        <v>608.27</v>
      </c>
    </row>
    <row r="120" spans="1:16" x14ac:dyDescent="0.25">
      <c r="A120" s="103" t="s">
        <v>184</v>
      </c>
      <c r="B120" s="102"/>
      <c r="C120" s="102">
        <v>243.29</v>
      </c>
      <c r="D120" s="102"/>
      <c r="E120" s="102"/>
      <c r="F120" s="102"/>
      <c r="G120" s="102"/>
      <c r="H120" s="102"/>
      <c r="I120" s="102"/>
      <c r="J120" s="102"/>
      <c r="K120" s="102"/>
      <c r="L120" s="102"/>
      <c r="M120" s="102"/>
      <c r="N120" s="226"/>
      <c r="O120" s="134">
        <f t="shared" si="10"/>
        <v>243.29</v>
      </c>
      <c r="P120" s="229"/>
    </row>
    <row r="121" spans="1:16" x14ac:dyDescent="0.25">
      <c r="A121" s="103" t="s">
        <v>104</v>
      </c>
      <c r="B121" s="102"/>
      <c r="C121" s="102"/>
      <c r="D121" s="102"/>
      <c r="E121" s="102"/>
      <c r="F121" s="102"/>
      <c r="G121" s="104"/>
      <c r="H121" s="102"/>
      <c r="I121" s="102"/>
      <c r="J121" s="102"/>
      <c r="K121" s="102"/>
      <c r="L121" s="102"/>
      <c r="M121" s="102"/>
      <c r="N121" s="226"/>
      <c r="O121" s="134">
        <f t="shared" si="10"/>
        <v>0</v>
      </c>
      <c r="P121" s="229"/>
    </row>
    <row r="122" spans="1:16" x14ac:dyDescent="0.25">
      <c r="A122" s="98" t="s">
        <v>187</v>
      </c>
      <c r="B122" s="99"/>
      <c r="C122" s="99"/>
      <c r="D122" s="99">
        <f>153.34+153.34+346.88+0.04+251.6</f>
        <v>905.19999999999993</v>
      </c>
      <c r="E122" s="99"/>
      <c r="F122" s="99"/>
      <c r="G122" s="99"/>
      <c r="H122" s="99">
        <f>71.19+85.61</f>
        <v>156.80000000000001</v>
      </c>
      <c r="I122" s="99"/>
      <c r="J122" s="99">
        <v>383.39</v>
      </c>
      <c r="K122" s="99"/>
      <c r="L122" s="99"/>
      <c r="M122" s="99"/>
      <c r="N122" s="226"/>
      <c r="O122" s="134">
        <f t="shared" si="10"/>
        <v>1445.3899999999999</v>
      </c>
      <c r="P122" s="228">
        <f>SUM(O122:O124)</f>
        <v>3667.7999999999997</v>
      </c>
    </row>
    <row r="123" spans="1:16" x14ac:dyDescent="0.25">
      <c r="A123" s="100" t="s">
        <v>184</v>
      </c>
      <c r="B123" s="99"/>
      <c r="C123" s="99">
        <v>685.04</v>
      </c>
      <c r="D123" s="99">
        <v>1120.26</v>
      </c>
      <c r="E123" s="99"/>
      <c r="F123" s="99"/>
      <c r="G123" s="99"/>
      <c r="H123" s="99">
        <v>417.11</v>
      </c>
      <c r="I123" s="99"/>
      <c r="J123" s="99"/>
      <c r="K123" s="99"/>
      <c r="L123" s="99"/>
      <c r="M123" s="99"/>
      <c r="N123" s="226"/>
      <c r="O123" s="134">
        <f t="shared" si="10"/>
        <v>2222.41</v>
      </c>
      <c r="P123" s="229"/>
    </row>
    <row r="124" spans="1:16" x14ac:dyDescent="0.25">
      <c r="A124" s="100" t="s">
        <v>104</v>
      </c>
      <c r="B124" s="99"/>
      <c r="C124" s="99"/>
      <c r="D124" s="99"/>
      <c r="E124" s="99"/>
      <c r="F124" s="99"/>
      <c r="G124" s="99"/>
      <c r="H124" s="99"/>
      <c r="I124" s="99"/>
      <c r="J124" s="99"/>
      <c r="K124" s="99"/>
      <c r="L124" s="99"/>
      <c r="M124" s="99"/>
      <c r="N124" s="226"/>
      <c r="O124" s="134">
        <f t="shared" si="10"/>
        <v>0</v>
      </c>
      <c r="P124" s="229"/>
    </row>
    <row r="125" spans="1:16" x14ac:dyDescent="0.25">
      <c r="A125" s="105" t="s">
        <v>188</v>
      </c>
      <c r="B125" s="106"/>
      <c r="C125" s="106"/>
      <c r="D125" s="106">
        <v>74.56</v>
      </c>
      <c r="E125" s="106"/>
      <c r="F125" s="106"/>
      <c r="G125" s="106"/>
      <c r="H125" s="106"/>
      <c r="I125" s="106"/>
      <c r="J125" s="106"/>
      <c r="K125" s="106"/>
      <c r="L125" s="106">
        <f>(540.83+601.2)</f>
        <v>1142.0300000000002</v>
      </c>
      <c r="M125" s="106"/>
      <c r="N125" s="226"/>
      <c r="O125" s="134">
        <f t="shared" si="10"/>
        <v>1216.5900000000001</v>
      </c>
      <c r="P125" s="228">
        <f>SUM(O125:O127)</f>
        <v>1531.5100000000002</v>
      </c>
    </row>
    <row r="126" spans="1:16" x14ac:dyDescent="0.25">
      <c r="A126" s="107" t="s">
        <v>184</v>
      </c>
      <c r="B126" s="106"/>
      <c r="C126" s="106"/>
      <c r="D126" s="106"/>
      <c r="E126" s="106"/>
      <c r="F126" s="106"/>
      <c r="G126" s="106">
        <v>309.98</v>
      </c>
      <c r="H126" s="106"/>
      <c r="I126" s="106"/>
      <c r="J126" s="106"/>
      <c r="K126" s="106"/>
      <c r="L126" s="106"/>
      <c r="M126" s="106"/>
      <c r="N126" s="226"/>
      <c r="O126" s="134">
        <f t="shared" si="10"/>
        <v>309.98</v>
      </c>
      <c r="P126" s="229"/>
    </row>
    <row r="127" spans="1:16" x14ac:dyDescent="0.25">
      <c r="A127" s="107" t="s">
        <v>104</v>
      </c>
      <c r="B127" s="106"/>
      <c r="C127" s="106">
        <v>0.44</v>
      </c>
      <c r="D127" s="106"/>
      <c r="E127" s="106"/>
      <c r="F127" s="106">
        <v>2.4</v>
      </c>
      <c r="G127" s="106"/>
      <c r="H127" s="106">
        <v>2.1</v>
      </c>
      <c r="I127" s="106"/>
      <c r="J127" s="106"/>
      <c r="K127" s="106"/>
      <c r="L127" s="106"/>
      <c r="M127" s="106"/>
      <c r="N127" s="226"/>
      <c r="O127" s="134">
        <f t="shared" si="10"/>
        <v>4.9399999999999995</v>
      </c>
      <c r="P127" s="229"/>
    </row>
    <row r="128" spans="1:16" x14ac:dyDescent="0.25">
      <c r="A128" s="108" t="s">
        <v>189</v>
      </c>
      <c r="B128" s="109"/>
      <c r="C128" s="109"/>
      <c r="D128" s="109"/>
      <c r="E128" s="109"/>
      <c r="F128" s="109"/>
      <c r="G128" s="109"/>
      <c r="H128" s="109"/>
      <c r="I128" s="109">
        <v>170.06</v>
      </c>
      <c r="J128" s="109"/>
      <c r="K128" s="109"/>
      <c r="L128" s="109"/>
      <c r="M128" s="109"/>
      <c r="N128" s="226"/>
      <c r="O128" s="134">
        <f t="shared" si="10"/>
        <v>170.06</v>
      </c>
      <c r="P128" s="228">
        <f>SUM(O128:O130)</f>
        <v>2977.54</v>
      </c>
    </row>
    <row r="129" spans="1:16" x14ac:dyDescent="0.25">
      <c r="A129" s="110" t="s">
        <v>184</v>
      </c>
      <c r="B129" s="109"/>
      <c r="C129" s="109">
        <v>1443.88</v>
      </c>
      <c r="D129" s="109"/>
      <c r="E129" s="109">
        <v>1246.19</v>
      </c>
      <c r="F129" s="109"/>
      <c r="G129" s="109"/>
      <c r="H129" s="109"/>
      <c r="I129" s="109">
        <v>107.02</v>
      </c>
      <c r="J129" s="109"/>
      <c r="K129" s="109"/>
      <c r="L129" s="109"/>
      <c r="M129" s="109"/>
      <c r="N129" s="226"/>
      <c r="O129" s="134">
        <f t="shared" si="10"/>
        <v>2797.09</v>
      </c>
      <c r="P129" s="229"/>
    </row>
    <row r="130" spans="1:16" x14ac:dyDescent="0.25">
      <c r="A130" s="110" t="s">
        <v>104</v>
      </c>
      <c r="B130" s="109"/>
      <c r="C130" s="109">
        <v>0.74</v>
      </c>
      <c r="D130" s="109"/>
      <c r="E130" s="109">
        <v>0.26</v>
      </c>
      <c r="F130" s="109">
        <v>9.32</v>
      </c>
      <c r="G130" s="109"/>
      <c r="H130" s="109">
        <v>7.0000000000000007E-2</v>
      </c>
      <c r="I130" s="109"/>
      <c r="J130" s="109"/>
      <c r="K130" s="109"/>
      <c r="L130" s="109"/>
      <c r="M130" s="109"/>
      <c r="N130" s="226"/>
      <c r="O130" s="134">
        <f t="shared" si="10"/>
        <v>10.39</v>
      </c>
      <c r="P130" s="229"/>
    </row>
    <row r="131" spans="1:16" x14ac:dyDescent="0.25">
      <c r="A131" s="111" t="s">
        <v>190</v>
      </c>
      <c r="B131" s="112">
        <v>162.41999999999999</v>
      </c>
      <c r="C131" s="112"/>
      <c r="D131" s="112"/>
      <c r="E131" s="112">
        <v>393.26</v>
      </c>
      <c r="F131" s="112"/>
      <c r="G131" s="112"/>
      <c r="H131" s="112"/>
      <c r="I131" s="112"/>
      <c r="J131" s="112">
        <f>381.93+548.21</f>
        <v>930.1400000000001</v>
      </c>
      <c r="K131" s="112"/>
      <c r="L131" s="112"/>
      <c r="M131" s="112">
        <f>1148.32+783.87</f>
        <v>1932.19</v>
      </c>
      <c r="N131" s="226"/>
      <c r="O131" s="134">
        <f t="shared" si="10"/>
        <v>3418.01</v>
      </c>
      <c r="P131" s="228">
        <f>SUM(O131:O133)</f>
        <v>5393.82</v>
      </c>
    </row>
    <row r="132" spans="1:16" x14ac:dyDescent="0.25">
      <c r="A132" s="113" t="s">
        <v>184</v>
      </c>
      <c r="B132" s="112"/>
      <c r="C132" s="112">
        <v>1453.68</v>
      </c>
      <c r="D132" s="112"/>
      <c r="E132" s="112"/>
      <c r="F132" s="112"/>
      <c r="G132" s="112"/>
      <c r="H132" s="112"/>
      <c r="I132" s="112">
        <v>159.61000000000001</v>
      </c>
      <c r="J132" s="112">
        <v>362.52</v>
      </c>
      <c r="K132" s="112"/>
      <c r="L132" s="112"/>
      <c r="M132" s="112"/>
      <c r="N132" s="226"/>
      <c r="O132" s="134">
        <f t="shared" si="10"/>
        <v>1975.81</v>
      </c>
      <c r="P132" s="229"/>
    </row>
    <row r="133" spans="1:16" x14ac:dyDescent="0.25">
      <c r="A133" s="113" t="s">
        <v>104</v>
      </c>
      <c r="B133" s="112"/>
      <c r="C133" s="112"/>
      <c r="D133" s="112"/>
      <c r="E133" s="112"/>
      <c r="F133" s="112"/>
      <c r="G133" s="112"/>
      <c r="H133" s="112"/>
      <c r="I133" s="112"/>
      <c r="J133" s="112"/>
      <c r="K133" s="112"/>
      <c r="L133" s="112"/>
      <c r="M133" s="112"/>
      <c r="N133" s="226"/>
      <c r="O133" s="134">
        <f t="shared" si="10"/>
        <v>0</v>
      </c>
      <c r="P133" s="229"/>
    </row>
    <row r="134" spans="1:16" x14ac:dyDescent="0.25">
      <c r="A134" s="114" t="s">
        <v>191</v>
      </c>
      <c r="B134" s="115"/>
      <c r="C134" s="115"/>
      <c r="D134" s="115">
        <v>74.56</v>
      </c>
      <c r="E134" s="115"/>
      <c r="F134" s="115"/>
      <c r="G134" s="115"/>
      <c r="H134" s="115"/>
      <c r="I134" s="115"/>
      <c r="J134" s="115"/>
      <c r="K134" s="115"/>
      <c r="L134" s="115"/>
      <c r="M134" s="115"/>
      <c r="N134" s="226"/>
      <c r="O134" s="134">
        <f t="shared" si="10"/>
        <v>74.56</v>
      </c>
      <c r="P134" s="228">
        <f>SUM(O134:O136)</f>
        <v>1293.3599999999999</v>
      </c>
    </row>
    <row r="135" spans="1:16" x14ac:dyDescent="0.25">
      <c r="A135" s="116" t="s">
        <v>184</v>
      </c>
      <c r="B135" s="115"/>
      <c r="C135" s="115"/>
      <c r="D135" s="115"/>
      <c r="E135" s="115"/>
      <c r="F135" s="115">
        <v>1218.8</v>
      </c>
      <c r="G135" s="115"/>
      <c r="H135" s="115"/>
      <c r="I135" s="115"/>
      <c r="J135" s="115"/>
      <c r="K135" s="115"/>
      <c r="L135" s="115"/>
      <c r="M135" s="115"/>
      <c r="N135" s="226"/>
      <c r="O135" s="134">
        <f t="shared" si="10"/>
        <v>1218.8</v>
      </c>
      <c r="P135" s="229"/>
    </row>
    <row r="136" spans="1:16" x14ac:dyDescent="0.25">
      <c r="A136" s="116" t="s">
        <v>104</v>
      </c>
      <c r="B136" s="115"/>
      <c r="C136" s="115"/>
      <c r="D136" s="115"/>
      <c r="E136" s="115"/>
      <c r="F136" s="115"/>
      <c r="G136" s="115"/>
      <c r="H136" s="115"/>
      <c r="I136" s="115"/>
      <c r="J136" s="115"/>
      <c r="K136" s="115"/>
      <c r="L136" s="115"/>
      <c r="M136" s="115"/>
      <c r="N136" s="226"/>
      <c r="O136" s="134">
        <f t="shared" si="10"/>
        <v>0</v>
      </c>
      <c r="P136" s="229"/>
    </row>
    <row r="137" spans="1:16" x14ac:dyDescent="0.25">
      <c r="A137" s="117" t="s">
        <v>192</v>
      </c>
      <c r="B137" s="117"/>
      <c r="C137" s="118"/>
      <c r="D137" s="118">
        <v>521.59</v>
      </c>
      <c r="E137" s="118"/>
      <c r="F137" s="118"/>
      <c r="G137" s="118"/>
      <c r="H137" s="118"/>
      <c r="I137" s="118"/>
      <c r="J137" s="118">
        <v>558.08000000000004</v>
      </c>
      <c r="K137" s="118">
        <v>40.32</v>
      </c>
      <c r="L137" s="118"/>
      <c r="M137" s="118"/>
      <c r="N137" s="226"/>
      <c r="O137" s="134">
        <f t="shared" si="10"/>
        <v>1119.99</v>
      </c>
      <c r="P137" s="228">
        <f>SUM(O137:O139)</f>
        <v>2323.4300000000003</v>
      </c>
    </row>
    <row r="138" spans="1:16" x14ac:dyDescent="0.25">
      <c r="A138" s="119" t="s">
        <v>184</v>
      </c>
      <c r="B138" s="117"/>
      <c r="C138" s="118">
        <v>443.38</v>
      </c>
      <c r="D138" s="118"/>
      <c r="E138" s="118"/>
      <c r="F138" s="118"/>
      <c r="G138" s="118"/>
      <c r="H138" s="118">
        <v>406</v>
      </c>
      <c r="I138" s="118"/>
      <c r="J138" s="118">
        <v>348.27</v>
      </c>
      <c r="K138" s="118"/>
      <c r="L138" s="118"/>
      <c r="M138" s="118"/>
      <c r="N138" s="226"/>
      <c r="O138" s="134">
        <f t="shared" si="10"/>
        <v>1197.6500000000001</v>
      </c>
      <c r="P138" s="229"/>
    </row>
    <row r="139" spans="1:16" x14ac:dyDescent="0.25">
      <c r="A139" s="119" t="s">
        <v>104</v>
      </c>
      <c r="B139" s="117"/>
      <c r="C139" s="118"/>
      <c r="D139" s="118"/>
      <c r="E139" s="118">
        <v>1.33</v>
      </c>
      <c r="F139" s="118">
        <v>1.6</v>
      </c>
      <c r="G139" s="118"/>
      <c r="H139" s="118">
        <v>2.86</v>
      </c>
      <c r="I139" s="118"/>
      <c r="J139" s="118"/>
      <c r="K139" s="118"/>
      <c r="L139" s="118"/>
      <c r="M139" s="118"/>
      <c r="N139" s="226"/>
      <c r="O139" s="134">
        <f t="shared" si="10"/>
        <v>5.79</v>
      </c>
      <c r="P139" s="229"/>
    </row>
    <row r="140" spans="1:16" x14ac:dyDescent="0.25">
      <c r="A140" s="123" t="s">
        <v>193</v>
      </c>
      <c r="B140" s="124">
        <v>167.06</v>
      </c>
      <c r="C140" s="124"/>
      <c r="D140" s="124"/>
      <c r="E140" s="124"/>
      <c r="F140" s="124"/>
      <c r="G140" s="124"/>
      <c r="H140" s="124"/>
      <c r="I140" s="124"/>
      <c r="J140" s="124"/>
      <c r="K140" s="124">
        <v>40.32</v>
      </c>
      <c r="L140" s="124"/>
      <c r="M140" s="124"/>
      <c r="N140" s="226"/>
      <c r="O140" s="134">
        <f t="shared" si="10"/>
        <v>207.38</v>
      </c>
      <c r="P140" s="228">
        <f>SUM(O140:O142)</f>
        <v>749.87</v>
      </c>
    </row>
    <row r="141" spans="1:16" x14ac:dyDescent="0.25">
      <c r="A141" s="125" t="s">
        <v>184</v>
      </c>
      <c r="B141" s="124"/>
      <c r="C141" s="124">
        <v>510.58</v>
      </c>
      <c r="D141" s="124"/>
      <c r="E141" s="124"/>
      <c r="F141" s="124"/>
      <c r="G141" s="124"/>
      <c r="H141" s="124"/>
      <c r="I141" s="124">
        <v>27.84</v>
      </c>
      <c r="J141" s="124"/>
      <c r="K141" s="124"/>
      <c r="L141" s="124"/>
      <c r="M141" s="124"/>
      <c r="N141" s="226"/>
      <c r="O141" s="134">
        <f t="shared" si="10"/>
        <v>538.41999999999996</v>
      </c>
      <c r="P141" s="229"/>
    </row>
    <row r="142" spans="1:16" x14ac:dyDescent="0.25">
      <c r="A142" s="125" t="s">
        <v>104</v>
      </c>
      <c r="B142" s="124"/>
      <c r="C142" s="124">
        <v>0.85</v>
      </c>
      <c r="D142" s="124"/>
      <c r="E142" s="124">
        <v>1.49</v>
      </c>
      <c r="F142" s="124"/>
      <c r="G142" s="124"/>
      <c r="H142" s="124"/>
      <c r="I142" s="124"/>
      <c r="J142" s="124"/>
      <c r="K142" s="124"/>
      <c r="L142" s="124">
        <v>1.73</v>
      </c>
      <c r="M142" s="124"/>
      <c r="N142" s="226"/>
      <c r="O142" s="134">
        <f t="shared" si="10"/>
        <v>4.07</v>
      </c>
      <c r="P142" s="229"/>
    </row>
    <row r="143" spans="1:16" x14ac:dyDescent="0.25">
      <c r="A143" s="101" t="s">
        <v>194</v>
      </c>
      <c r="B143" s="101"/>
      <c r="C143" s="102"/>
      <c r="D143" s="102">
        <v>74.56</v>
      </c>
      <c r="E143" s="102"/>
      <c r="F143" s="102"/>
      <c r="G143" s="102">
        <v>602.23</v>
      </c>
      <c r="H143" s="102"/>
      <c r="I143" s="102"/>
      <c r="J143" s="102"/>
      <c r="K143" s="102">
        <v>40.32</v>
      </c>
      <c r="L143" s="102"/>
      <c r="M143" s="102"/>
      <c r="N143" s="226"/>
      <c r="O143" s="134">
        <f t="shared" si="10"/>
        <v>717.11</v>
      </c>
      <c r="P143" s="228">
        <f>SUM(O143:O145)</f>
        <v>719.64</v>
      </c>
    </row>
    <row r="144" spans="1:16" x14ac:dyDescent="0.25">
      <c r="A144" s="103" t="s">
        <v>184</v>
      </c>
      <c r="B144" s="101"/>
      <c r="C144" s="102"/>
      <c r="D144" s="102"/>
      <c r="E144" s="102"/>
      <c r="F144" s="102"/>
      <c r="G144" s="102"/>
      <c r="H144" s="102"/>
      <c r="I144" s="102"/>
      <c r="J144" s="102"/>
      <c r="K144" s="102"/>
      <c r="L144" s="102"/>
      <c r="M144" s="102"/>
      <c r="N144" s="226"/>
      <c r="O144" s="134">
        <f t="shared" si="10"/>
        <v>0</v>
      </c>
      <c r="P144" s="229"/>
    </row>
    <row r="145" spans="1:16" x14ac:dyDescent="0.25">
      <c r="A145" s="103" t="s">
        <v>104</v>
      </c>
      <c r="B145" s="101"/>
      <c r="C145" s="102">
        <v>0.36</v>
      </c>
      <c r="D145" s="102"/>
      <c r="E145" s="102">
        <v>1.01</v>
      </c>
      <c r="F145" s="102">
        <v>0.82</v>
      </c>
      <c r="G145" s="102"/>
      <c r="H145" s="102">
        <v>0.34</v>
      </c>
      <c r="I145" s="102"/>
      <c r="J145" s="102"/>
      <c r="K145" s="102"/>
      <c r="L145" s="102"/>
      <c r="M145" s="102"/>
      <c r="N145" s="226"/>
      <c r="O145" s="134">
        <f t="shared" si="10"/>
        <v>2.5299999999999998</v>
      </c>
      <c r="P145" s="229"/>
    </row>
    <row r="146" spans="1:16" x14ac:dyDescent="0.25">
      <c r="A146" s="126" t="s">
        <v>195</v>
      </c>
      <c r="B146" s="120"/>
      <c r="C146" s="121"/>
      <c r="D146" s="121"/>
      <c r="E146" s="121"/>
      <c r="F146" s="121"/>
      <c r="G146" s="121"/>
      <c r="H146" s="121"/>
      <c r="I146" s="121"/>
      <c r="J146" s="121"/>
      <c r="K146" s="121">
        <v>40.32</v>
      </c>
      <c r="L146" s="121"/>
      <c r="M146" s="121"/>
      <c r="N146" s="226"/>
      <c r="O146" s="134">
        <f t="shared" si="10"/>
        <v>40.32</v>
      </c>
      <c r="P146" s="228">
        <f>SUM(O146:O148)</f>
        <v>1277.79</v>
      </c>
    </row>
    <row r="147" spans="1:16" x14ac:dyDescent="0.25">
      <c r="A147" s="122" t="s">
        <v>184</v>
      </c>
      <c r="B147" s="120"/>
      <c r="C147" s="121">
        <v>464.68</v>
      </c>
      <c r="D147" s="121"/>
      <c r="E147" s="121">
        <v>656.32</v>
      </c>
      <c r="F147" s="121"/>
      <c r="G147" s="121"/>
      <c r="H147" s="121"/>
      <c r="I147" s="121"/>
      <c r="J147" s="121"/>
      <c r="K147" s="121"/>
      <c r="L147" s="121">
        <v>112.31</v>
      </c>
      <c r="M147" s="121"/>
      <c r="N147" s="226"/>
      <c r="O147" s="134">
        <f t="shared" si="10"/>
        <v>1233.31</v>
      </c>
      <c r="P147" s="229"/>
    </row>
    <row r="148" spans="1:16" x14ac:dyDescent="0.25">
      <c r="A148" s="122" t="s">
        <v>104</v>
      </c>
      <c r="B148" s="120"/>
      <c r="C148" s="121">
        <v>0.35</v>
      </c>
      <c r="D148" s="121"/>
      <c r="E148" s="121">
        <v>1.36</v>
      </c>
      <c r="F148" s="121">
        <v>1.32</v>
      </c>
      <c r="G148" s="121"/>
      <c r="H148" s="121"/>
      <c r="I148" s="121"/>
      <c r="J148" s="121"/>
      <c r="K148" s="121">
        <v>0.1</v>
      </c>
      <c r="L148" s="121">
        <v>1.03</v>
      </c>
      <c r="M148" s="121"/>
      <c r="N148" s="226"/>
      <c r="O148" s="134">
        <f t="shared" si="10"/>
        <v>4.16</v>
      </c>
      <c r="P148" s="229"/>
    </row>
    <row r="149" spans="1:16" x14ac:dyDescent="0.25">
      <c r="A149" s="108" t="s">
        <v>196</v>
      </c>
      <c r="B149" s="109">
        <f>167.06+1113.75</f>
        <v>1280.81</v>
      </c>
      <c r="C149" s="109"/>
      <c r="D149" s="109"/>
      <c r="E149" s="109"/>
      <c r="F149" s="109"/>
      <c r="G149" s="109">
        <v>381.83</v>
      </c>
      <c r="H149" s="109"/>
      <c r="I149" s="109">
        <v>98.46</v>
      </c>
      <c r="J149" s="109">
        <f>269.88+60.15+903.78</f>
        <v>1233.81</v>
      </c>
      <c r="K149" s="109">
        <v>40.320999999999998</v>
      </c>
      <c r="L149" s="109"/>
      <c r="M149" s="109"/>
      <c r="N149" s="226"/>
      <c r="O149" s="134">
        <f t="shared" si="10"/>
        <v>3035.2309999999998</v>
      </c>
      <c r="P149" s="228">
        <f>SUM(O149:O151)</f>
        <v>5281.1909999999998</v>
      </c>
    </row>
    <row r="150" spans="1:16" x14ac:dyDescent="0.25">
      <c r="A150" s="110" t="s">
        <v>184</v>
      </c>
      <c r="B150" s="109"/>
      <c r="C150" s="109">
        <f>1551.74+526.6</f>
        <v>2078.34</v>
      </c>
      <c r="D150" s="109"/>
      <c r="E150" s="109"/>
      <c r="F150" s="109"/>
      <c r="G150" s="109"/>
      <c r="H150" s="109"/>
      <c r="I150" s="109">
        <v>167.62</v>
      </c>
      <c r="J150" s="109"/>
      <c r="K150" s="109"/>
      <c r="L150" s="109"/>
      <c r="M150" s="109"/>
      <c r="N150" s="96"/>
      <c r="O150" s="134">
        <f t="shared" si="10"/>
        <v>2245.96</v>
      </c>
      <c r="P150" s="229"/>
    </row>
    <row r="151" spans="1:16" x14ac:dyDescent="0.25">
      <c r="A151" s="110" t="s">
        <v>104</v>
      </c>
      <c r="B151" s="109"/>
      <c r="C151" s="109"/>
      <c r="D151" s="109"/>
      <c r="E151" s="109"/>
      <c r="F151" s="109"/>
      <c r="G151" s="109"/>
      <c r="H151" s="109"/>
      <c r="I151" s="109"/>
      <c r="J151" s="109"/>
      <c r="K151" s="109"/>
      <c r="L151" s="109"/>
      <c r="M151" s="109"/>
      <c r="N151" s="96"/>
      <c r="O151" s="134">
        <f t="shared" si="10"/>
        <v>0</v>
      </c>
      <c r="P151" s="229"/>
    </row>
    <row r="152" spans="1:16" x14ac:dyDescent="0.25">
      <c r="A152" s="44" t="s">
        <v>81</v>
      </c>
      <c r="B152" s="50">
        <f t="shared" ref="B152:L152" si="11">SUM(B116:B151)</f>
        <v>1610.29</v>
      </c>
      <c r="C152" s="50">
        <f t="shared" si="11"/>
        <v>7690.5900000000011</v>
      </c>
      <c r="D152" s="50">
        <f t="shared" si="11"/>
        <v>2770.73</v>
      </c>
      <c r="E152" s="50">
        <f t="shared" si="11"/>
        <v>3029.2400000000002</v>
      </c>
      <c r="F152" s="50">
        <f t="shared" si="11"/>
        <v>1234.2599999999998</v>
      </c>
      <c r="G152" s="50">
        <f t="shared" si="11"/>
        <v>1294.04</v>
      </c>
      <c r="H152" s="50">
        <f t="shared" si="11"/>
        <v>985.2800000000002</v>
      </c>
      <c r="I152" s="50">
        <f t="shared" si="11"/>
        <v>730.61</v>
      </c>
      <c r="J152" s="50">
        <f t="shared" si="11"/>
        <v>3816.21</v>
      </c>
      <c r="K152" s="50">
        <f t="shared" si="11"/>
        <v>201.70099999999999</v>
      </c>
      <c r="L152" s="50">
        <f t="shared" si="11"/>
        <v>1257.1000000000001</v>
      </c>
      <c r="M152" s="50">
        <f>SUM(M116:M151)</f>
        <v>1932.19</v>
      </c>
      <c r="N152" s="50">
        <f>SUBTOTAL(9,B152:M152)</f>
        <v>26552.240999999998</v>
      </c>
      <c r="O152" s="45">
        <f t="shared" si="10"/>
        <v>26552.240999999998</v>
      </c>
      <c r="P152" s="127">
        <f>SUM(P116:P151)</f>
        <v>26552.240999999998</v>
      </c>
    </row>
    <row r="153" spans="1:16" x14ac:dyDescent="0.25">
      <c r="A153" s="89" t="s">
        <v>38</v>
      </c>
      <c r="B153" s="27">
        <f>'Carteira ações'!O6</f>
        <v>12690</v>
      </c>
      <c r="C153" s="27">
        <f>'Carteira ações'!O11</f>
        <v>11440</v>
      </c>
      <c r="D153" s="27">
        <f>'Carteira ações'!O4</f>
        <v>29600.35</v>
      </c>
      <c r="E153" s="27">
        <f>'Carteira ações'!O9</f>
        <v>29799</v>
      </c>
      <c r="F153" s="27">
        <f>'Carteira ações'!O8</f>
        <v>40310</v>
      </c>
      <c r="G153" s="27">
        <f>'Carteira ações'!O12</f>
        <v>36435</v>
      </c>
      <c r="H153" s="27">
        <f>'Carteira ações'!O10</f>
        <v>12879.999999999998</v>
      </c>
      <c r="I153" s="27">
        <f>'Carteira ações'!O7</f>
        <v>14877</v>
      </c>
      <c r="J153" s="27">
        <f>'Carteira ações'!O2</f>
        <v>31537.000000000004</v>
      </c>
      <c r="K153" s="27">
        <f>'Carteira ações'!O13</f>
        <v>32550</v>
      </c>
      <c r="L153" s="27">
        <f>'Carteira ações'!O3</f>
        <v>24612.000000000004</v>
      </c>
      <c r="M153" s="27">
        <f>'Carteira ações'!O5</f>
        <v>28455</v>
      </c>
      <c r="N153" s="194">
        <f>SUM(B153:M153)</f>
        <v>305185.35000000003</v>
      </c>
      <c r="O153" s="45"/>
      <c r="P153" s="45"/>
    </row>
    <row r="154" spans="1:16" x14ac:dyDescent="0.25">
      <c r="A154" s="89" t="s">
        <v>175</v>
      </c>
      <c r="B154" s="80">
        <f>B152/B153</f>
        <v>0.12689440504334121</v>
      </c>
      <c r="C154" s="80">
        <f t="shared" ref="C154:M154" si="12">C152/C153</f>
        <v>0.67225437062937077</v>
      </c>
      <c r="D154" s="80">
        <f t="shared" si="12"/>
        <v>9.3604636431663821E-2</v>
      </c>
      <c r="E154" s="80">
        <f t="shared" si="12"/>
        <v>0.10165576026041143</v>
      </c>
      <c r="F154" s="80">
        <f t="shared" si="12"/>
        <v>3.0619201190771515E-2</v>
      </c>
      <c r="G154" s="80">
        <f t="shared" si="12"/>
        <v>3.5516399066831343E-2</v>
      </c>
      <c r="H154" s="80">
        <f t="shared" si="12"/>
        <v>7.6496894409937913E-2</v>
      </c>
      <c r="I154" s="80">
        <f t="shared" si="12"/>
        <v>4.9110035625462123E-2</v>
      </c>
      <c r="J154" s="80">
        <f t="shared" si="12"/>
        <v>0.12100738814725559</v>
      </c>
      <c r="K154" s="80">
        <f t="shared" si="12"/>
        <v>6.1966513056835636E-3</v>
      </c>
      <c r="L154" s="80">
        <f t="shared" si="12"/>
        <v>5.1076710547700306E-2</v>
      </c>
      <c r="M154" s="80">
        <f t="shared" si="12"/>
        <v>6.7903356176418905E-2</v>
      </c>
      <c r="N154" s="195">
        <f>O152/N153</f>
        <v>8.7003655319627879E-2</v>
      </c>
    </row>
    <row r="155" spans="1:16" x14ac:dyDescent="0.25">
      <c r="A155" s="89" t="s">
        <v>232</v>
      </c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</row>
  </sheetData>
  <mergeCells count="48">
    <mergeCell ref="A66:A67"/>
    <mergeCell ref="B66:G66"/>
    <mergeCell ref="N70:N103"/>
    <mergeCell ref="P70:P72"/>
    <mergeCell ref="P73:P75"/>
    <mergeCell ref="P76:P78"/>
    <mergeCell ref="P79:P81"/>
    <mergeCell ref="P82:P84"/>
    <mergeCell ref="P85:P87"/>
    <mergeCell ref="P88:P90"/>
    <mergeCell ref="P91:P93"/>
    <mergeCell ref="P94:P96"/>
    <mergeCell ref="P97:P99"/>
    <mergeCell ref="P100:P102"/>
    <mergeCell ref="P103:P105"/>
    <mergeCell ref="P58:P60"/>
    <mergeCell ref="P25:P27"/>
    <mergeCell ref="P28:P30"/>
    <mergeCell ref="P31:P33"/>
    <mergeCell ref="P34:P36"/>
    <mergeCell ref="P37:P39"/>
    <mergeCell ref="P40:P42"/>
    <mergeCell ref="P43:P45"/>
    <mergeCell ref="P46:P48"/>
    <mergeCell ref="P49:P51"/>
    <mergeCell ref="P52:P54"/>
    <mergeCell ref="P55:P57"/>
    <mergeCell ref="N25:N58"/>
    <mergeCell ref="A1:A2"/>
    <mergeCell ref="B1:M1"/>
    <mergeCell ref="N5:N16"/>
    <mergeCell ref="A22:A23"/>
    <mergeCell ref="B22:G22"/>
    <mergeCell ref="A112:A113"/>
    <mergeCell ref="B112:G112"/>
    <mergeCell ref="N116:N149"/>
    <mergeCell ref="P116:P118"/>
    <mergeCell ref="P119:P121"/>
    <mergeCell ref="P122:P124"/>
    <mergeCell ref="P125:P127"/>
    <mergeCell ref="P128:P130"/>
    <mergeCell ref="P131:P133"/>
    <mergeCell ref="P134:P136"/>
    <mergeCell ref="P137:P139"/>
    <mergeCell ref="P140:P142"/>
    <mergeCell ref="P143:P145"/>
    <mergeCell ref="P146:P148"/>
    <mergeCell ref="P149:P151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8AF45-EA83-4CBB-AB96-A255DD48B7C2}">
  <dimension ref="A1:J154"/>
  <sheetViews>
    <sheetView topLeftCell="A119" zoomScale="60" zoomScaleNormal="60" workbookViewId="0">
      <selection activeCell="E149" sqref="E149"/>
    </sheetView>
  </sheetViews>
  <sheetFormatPr defaultRowHeight="15" x14ac:dyDescent="0.25"/>
  <cols>
    <col min="1" max="1" width="13.28515625" customWidth="1"/>
    <col min="2" max="2" width="17.5703125" customWidth="1"/>
    <col min="3" max="3" width="16.42578125" customWidth="1"/>
    <col min="4" max="4" width="28.28515625" customWidth="1"/>
    <col min="5" max="5" width="18.7109375" customWidth="1"/>
    <col min="6" max="6" width="28.42578125" customWidth="1"/>
    <col min="7" max="7" width="13.5703125" customWidth="1"/>
    <col min="8" max="8" width="14.42578125" bestFit="1" customWidth="1"/>
    <col min="9" max="9" width="16.85546875" customWidth="1"/>
    <col min="10" max="10" width="14.28515625" bestFit="1" customWidth="1"/>
  </cols>
  <sheetData>
    <row r="1" spans="1:9" x14ac:dyDescent="0.25">
      <c r="A1" s="221" t="s">
        <v>176</v>
      </c>
      <c r="B1" s="90"/>
      <c r="C1" s="90"/>
      <c r="D1" s="90"/>
      <c r="E1" s="90"/>
      <c r="F1" s="90"/>
      <c r="G1" s="90"/>
      <c r="H1" s="4"/>
    </row>
    <row r="2" spans="1:9" x14ac:dyDescent="0.25">
      <c r="A2" s="232"/>
      <c r="B2" s="91"/>
      <c r="C2" s="91"/>
      <c r="D2" s="91"/>
      <c r="E2" s="91"/>
      <c r="F2" s="91"/>
      <c r="G2" s="91"/>
      <c r="H2" s="4"/>
      <c r="I2" s="56" t="s">
        <v>77</v>
      </c>
    </row>
    <row r="3" spans="1:9" x14ac:dyDescent="0.25">
      <c r="A3" s="19" t="s">
        <v>37</v>
      </c>
      <c r="B3" s="18"/>
      <c r="C3" s="18"/>
      <c r="D3" s="18"/>
      <c r="E3" s="18"/>
      <c r="F3" s="18"/>
      <c r="G3" s="18"/>
      <c r="H3" s="4"/>
    </row>
    <row r="4" spans="1:9" x14ac:dyDescent="0.25">
      <c r="A4" s="19" t="s">
        <v>179</v>
      </c>
      <c r="B4" s="18"/>
      <c r="C4" s="18"/>
      <c r="D4" s="18"/>
      <c r="E4" s="18"/>
      <c r="F4" s="18"/>
      <c r="G4" s="18"/>
      <c r="H4" s="4"/>
    </row>
    <row r="5" spans="1:9" x14ac:dyDescent="0.25">
      <c r="A5" s="4" t="s">
        <v>24</v>
      </c>
      <c r="B5" s="4"/>
      <c r="C5" s="4"/>
      <c r="D5" s="4"/>
      <c r="E5" s="4"/>
      <c r="F5" s="4"/>
      <c r="G5" s="4"/>
      <c r="H5" s="226" t="s">
        <v>36</v>
      </c>
      <c r="I5" s="88">
        <f t="shared" ref="I5:I16" si="0">SUM(B5:B5)</f>
        <v>0</v>
      </c>
    </row>
    <row r="6" spans="1:9" x14ac:dyDescent="0.25">
      <c r="A6" s="4" t="s">
        <v>25</v>
      </c>
      <c r="B6" s="4"/>
      <c r="C6" s="4"/>
      <c r="D6" s="4"/>
      <c r="E6" s="4"/>
      <c r="F6" s="4"/>
      <c r="G6" s="4"/>
      <c r="H6" s="226"/>
      <c r="I6" s="88">
        <f t="shared" si="0"/>
        <v>0</v>
      </c>
    </row>
    <row r="7" spans="1:9" x14ac:dyDescent="0.25">
      <c r="A7" s="4" t="s">
        <v>26</v>
      </c>
      <c r="B7" s="4"/>
      <c r="C7" s="4"/>
      <c r="D7" s="4"/>
      <c r="E7" s="4"/>
      <c r="F7" s="4"/>
      <c r="G7" s="4"/>
      <c r="H7" s="226"/>
      <c r="I7" s="88">
        <f t="shared" si="0"/>
        <v>0</v>
      </c>
    </row>
    <row r="8" spans="1:9" x14ac:dyDescent="0.25">
      <c r="A8" s="4" t="s">
        <v>27</v>
      </c>
      <c r="B8" s="4"/>
      <c r="C8" s="4"/>
      <c r="D8" s="4"/>
      <c r="E8" s="4"/>
      <c r="F8" s="4"/>
      <c r="G8" s="4"/>
      <c r="H8" s="226"/>
      <c r="I8" s="88">
        <f t="shared" si="0"/>
        <v>0</v>
      </c>
    </row>
    <row r="9" spans="1:9" x14ac:dyDescent="0.25">
      <c r="A9" s="4" t="s">
        <v>28</v>
      </c>
      <c r="B9" s="4"/>
      <c r="C9" s="4"/>
      <c r="D9" s="4"/>
      <c r="E9" s="4"/>
      <c r="F9" s="4"/>
      <c r="G9" s="4"/>
      <c r="H9" s="226"/>
      <c r="I9" s="88">
        <f t="shared" si="0"/>
        <v>0</v>
      </c>
    </row>
    <row r="10" spans="1:9" x14ac:dyDescent="0.25">
      <c r="A10" s="4" t="s">
        <v>29</v>
      </c>
      <c r="B10" s="4"/>
      <c r="C10" s="4"/>
      <c r="D10" s="4"/>
      <c r="E10" s="4"/>
      <c r="F10" s="4"/>
      <c r="G10" s="4"/>
      <c r="H10" s="226"/>
      <c r="I10" s="88">
        <f t="shared" si="0"/>
        <v>0</v>
      </c>
    </row>
    <row r="11" spans="1:9" x14ac:dyDescent="0.25">
      <c r="A11" s="4" t="s">
        <v>30</v>
      </c>
      <c r="B11" s="4"/>
      <c r="C11" s="4"/>
      <c r="D11" s="4"/>
      <c r="E11" s="4"/>
      <c r="F11" s="4"/>
      <c r="G11" s="4"/>
      <c r="H11" s="226"/>
      <c r="I11" s="88">
        <f t="shared" si="0"/>
        <v>0</v>
      </c>
    </row>
    <row r="12" spans="1:9" x14ac:dyDescent="0.25">
      <c r="A12" s="4" t="s">
        <v>31</v>
      </c>
      <c r="B12" s="4"/>
      <c r="C12" s="4"/>
      <c r="D12" s="4"/>
      <c r="E12" s="4"/>
      <c r="F12" s="4"/>
      <c r="G12" s="4"/>
      <c r="H12" s="226"/>
      <c r="I12" s="88">
        <f t="shared" si="0"/>
        <v>0</v>
      </c>
    </row>
    <row r="13" spans="1:9" x14ac:dyDescent="0.25">
      <c r="A13" s="4" t="s">
        <v>32</v>
      </c>
      <c r="B13" s="4"/>
      <c r="C13" s="4"/>
      <c r="D13" s="4"/>
      <c r="E13" s="4"/>
      <c r="F13" s="4"/>
      <c r="G13" s="4"/>
      <c r="H13" s="226"/>
      <c r="I13" s="88">
        <f t="shared" si="0"/>
        <v>0</v>
      </c>
    </row>
    <row r="14" spans="1:9" x14ac:dyDescent="0.25">
      <c r="A14" s="4" t="s">
        <v>33</v>
      </c>
      <c r="B14" s="4"/>
      <c r="C14" s="4"/>
      <c r="D14" s="4"/>
      <c r="E14" s="4"/>
      <c r="F14" s="4"/>
      <c r="G14" s="4"/>
      <c r="H14" s="226"/>
      <c r="I14" s="88">
        <f t="shared" si="0"/>
        <v>0</v>
      </c>
    </row>
    <row r="15" spans="1:9" x14ac:dyDescent="0.25">
      <c r="A15" s="4" t="s">
        <v>34</v>
      </c>
      <c r="B15" s="4"/>
      <c r="C15" s="4"/>
      <c r="D15" s="4"/>
      <c r="E15" s="4"/>
      <c r="F15" s="4"/>
      <c r="G15" s="4"/>
      <c r="H15" s="226"/>
      <c r="I15" s="88">
        <f t="shared" si="0"/>
        <v>0</v>
      </c>
    </row>
    <row r="16" spans="1:9" x14ac:dyDescent="0.25">
      <c r="A16" s="4" t="s">
        <v>35</v>
      </c>
      <c r="B16" s="4"/>
      <c r="C16" s="4"/>
      <c r="D16" s="4"/>
      <c r="E16" s="4"/>
      <c r="F16" s="4"/>
      <c r="G16" s="4"/>
      <c r="H16" s="226"/>
      <c r="I16" s="88">
        <f t="shared" si="0"/>
        <v>0</v>
      </c>
    </row>
    <row r="17" spans="1:10" x14ac:dyDescent="0.25">
      <c r="A17" s="44" t="s">
        <v>81</v>
      </c>
      <c r="B17" s="50"/>
      <c r="C17" s="50"/>
      <c r="D17" s="50"/>
      <c r="E17" s="50"/>
      <c r="F17" s="50"/>
      <c r="G17" s="50"/>
      <c r="H17" s="50" t="e">
        <f>SUBTOTAL(9,#REF!)</f>
        <v>#REF!</v>
      </c>
      <c r="I17" s="45"/>
    </row>
    <row r="18" spans="1:10" x14ac:dyDescent="0.25">
      <c r="A18" s="89" t="s">
        <v>38</v>
      </c>
      <c r="B18" s="4"/>
      <c r="C18" s="4"/>
      <c r="D18" s="4"/>
      <c r="E18" s="4"/>
      <c r="F18" s="4"/>
      <c r="G18" s="4"/>
      <c r="H18" s="4"/>
    </row>
    <row r="19" spans="1:10" x14ac:dyDescent="0.25">
      <c r="A19" s="89" t="s">
        <v>92</v>
      </c>
      <c r="B19" s="4"/>
      <c r="C19" s="4"/>
      <c r="D19" s="4"/>
      <c r="E19" s="4"/>
      <c r="F19" s="4"/>
      <c r="G19" s="4"/>
      <c r="H19" s="4"/>
    </row>
    <row r="20" spans="1:10" x14ac:dyDescent="0.25">
      <c r="A20" s="89" t="s">
        <v>175</v>
      </c>
      <c r="B20" s="80"/>
      <c r="C20" s="80"/>
      <c r="D20" s="80"/>
      <c r="E20" s="80"/>
      <c r="F20" s="80"/>
      <c r="G20" s="80"/>
      <c r="H20" s="4"/>
    </row>
    <row r="22" spans="1:10" x14ac:dyDescent="0.25">
      <c r="A22" s="221" t="s">
        <v>177</v>
      </c>
      <c r="B22" s="87"/>
      <c r="C22" s="87"/>
      <c r="D22" s="87"/>
      <c r="E22" s="87"/>
      <c r="F22" s="87"/>
      <c r="G22" s="87"/>
      <c r="H22" s="4"/>
    </row>
    <row r="23" spans="1:10" x14ac:dyDescent="0.25">
      <c r="A23" s="232"/>
      <c r="B23" s="18" t="s">
        <v>178</v>
      </c>
      <c r="C23" s="18"/>
      <c r="D23" s="18" t="s">
        <v>181</v>
      </c>
      <c r="E23" s="18"/>
      <c r="F23" s="18"/>
      <c r="G23" s="18" t="s">
        <v>180</v>
      </c>
      <c r="H23" s="4"/>
      <c r="I23" s="45"/>
    </row>
    <row r="24" spans="1:10" x14ac:dyDescent="0.25">
      <c r="A24" s="19" t="s">
        <v>37</v>
      </c>
      <c r="B24" s="18"/>
      <c r="C24" s="18"/>
      <c r="D24" s="18"/>
      <c r="E24" s="18"/>
      <c r="F24" s="18"/>
      <c r="G24" s="18"/>
      <c r="H24" s="4"/>
    </row>
    <row r="25" spans="1:10" x14ac:dyDescent="0.25">
      <c r="A25" s="4" t="s">
        <v>185</v>
      </c>
      <c r="B25" s="88"/>
      <c r="C25" s="88"/>
      <c r="D25" s="88"/>
      <c r="E25" s="88"/>
      <c r="F25" s="88"/>
      <c r="G25" s="88"/>
      <c r="H25" s="226" t="s">
        <v>36</v>
      </c>
      <c r="I25" s="45">
        <f t="shared" ref="I25:I61" si="1">SUM(B25:G25)</f>
        <v>0</v>
      </c>
      <c r="J25" s="230">
        <f>SUM(I25:I27)</f>
        <v>0</v>
      </c>
    </row>
    <row r="26" spans="1:10" x14ac:dyDescent="0.25">
      <c r="A26" s="97" t="s">
        <v>184</v>
      </c>
      <c r="B26" s="88"/>
      <c r="C26" s="88"/>
      <c r="D26" s="88"/>
      <c r="E26" s="88"/>
      <c r="F26" s="88"/>
      <c r="G26" s="88"/>
      <c r="H26" s="226"/>
      <c r="I26" s="45">
        <f t="shared" si="1"/>
        <v>0</v>
      </c>
      <c r="J26" s="231"/>
    </row>
    <row r="27" spans="1:10" x14ac:dyDescent="0.25">
      <c r="A27" s="97" t="s">
        <v>104</v>
      </c>
      <c r="B27" s="88"/>
      <c r="C27" s="88"/>
      <c r="D27" s="88"/>
      <c r="E27" s="88"/>
      <c r="F27" s="88"/>
      <c r="G27" s="88"/>
      <c r="H27" s="226"/>
      <c r="I27" s="45">
        <f t="shared" si="1"/>
        <v>0</v>
      </c>
      <c r="J27" s="231"/>
    </row>
    <row r="28" spans="1:10" x14ac:dyDescent="0.25">
      <c r="A28" s="101" t="s">
        <v>186</v>
      </c>
      <c r="B28" s="102"/>
      <c r="C28" s="102"/>
      <c r="D28" s="102"/>
      <c r="E28" s="102"/>
      <c r="F28" s="102"/>
      <c r="G28" s="102"/>
      <c r="H28" s="226"/>
      <c r="I28" s="45">
        <f t="shared" si="1"/>
        <v>0</v>
      </c>
      <c r="J28" s="230">
        <f>SUM(I28:I30)</f>
        <v>0</v>
      </c>
    </row>
    <row r="29" spans="1:10" x14ac:dyDescent="0.25">
      <c r="A29" s="103" t="s">
        <v>184</v>
      </c>
      <c r="B29" s="102"/>
      <c r="C29" s="102"/>
      <c r="D29" s="102"/>
      <c r="E29" s="102"/>
      <c r="F29" s="102"/>
      <c r="G29" s="102"/>
      <c r="H29" s="226"/>
      <c r="I29" s="45">
        <f t="shared" si="1"/>
        <v>0</v>
      </c>
      <c r="J29" s="231"/>
    </row>
    <row r="30" spans="1:10" x14ac:dyDescent="0.25">
      <c r="A30" s="103" t="s">
        <v>104</v>
      </c>
      <c r="B30" s="102"/>
      <c r="C30" s="102"/>
      <c r="D30" s="102"/>
      <c r="E30" s="102"/>
      <c r="F30" s="102"/>
      <c r="G30" s="102"/>
      <c r="H30" s="226"/>
      <c r="I30" s="45">
        <f t="shared" si="1"/>
        <v>0</v>
      </c>
      <c r="J30" s="231"/>
    </row>
    <row r="31" spans="1:10" x14ac:dyDescent="0.25">
      <c r="A31" s="98" t="s">
        <v>187</v>
      </c>
      <c r="B31" s="99"/>
      <c r="C31" s="99"/>
      <c r="D31" s="99"/>
      <c r="E31" s="99"/>
      <c r="F31" s="99"/>
      <c r="G31" s="99"/>
      <c r="H31" s="226"/>
      <c r="I31" s="45">
        <f t="shared" si="1"/>
        <v>0</v>
      </c>
      <c r="J31" s="230">
        <f>SUM(I31:I33)</f>
        <v>0</v>
      </c>
    </row>
    <row r="32" spans="1:10" x14ac:dyDescent="0.25">
      <c r="A32" s="100" t="s">
        <v>184</v>
      </c>
      <c r="B32" s="99"/>
      <c r="C32" s="99"/>
      <c r="D32" s="99"/>
      <c r="E32" s="99"/>
      <c r="F32" s="99"/>
      <c r="G32" s="99"/>
      <c r="H32" s="226"/>
      <c r="I32" s="45">
        <f t="shared" si="1"/>
        <v>0</v>
      </c>
      <c r="J32" s="231"/>
    </row>
    <row r="33" spans="1:10" x14ac:dyDescent="0.25">
      <c r="A33" s="100" t="s">
        <v>104</v>
      </c>
      <c r="B33" s="99"/>
      <c r="C33" s="99"/>
      <c r="D33" s="99"/>
      <c r="E33" s="99"/>
      <c r="F33" s="99"/>
      <c r="G33" s="99"/>
      <c r="H33" s="226"/>
      <c r="I33" s="45">
        <f t="shared" si="1"/>
        <v>0</v>
      </c>
      <c r="J33" s="231"/>
    </row>
    <row r="34" spans="1:10" x14ac:dyDescent="0.25">
      <c r="A34" s="105" t="s">
        <v>188</v>
      </c>
      <c r="B34" s="106"/>
      <c r="C34" s="106"/>
      <c r="D34" s="106"/>
      <c r="E34" s="106"/>
      <c r="F34" s="106"/>
      <c r="G34" s="106"/>
      <c r="H34" s="226"/>
      <c r="I34" s="45">
        <f t="shared" si="1"/>
        <v>0</v>
      </c>
      <c r="J34" s="230">
        <f>SUM(I34:I36)</f>
        <v>0</v>
      </c>
    </row>
    <row r="35" spans="1:10" x14ac:dyDescent="0.25">
      <c r="A35" s="107" t="s">
        <v>184</v>
      </c>
      <c r="B35" s="106"/>
      <c r="C35" s="106"/>
      <c r="D35" s="106"/>
      <c r="E35" s="106"/>
      <c r="F35" s="106"/>
      <c r="G35" s="106"/>
      <c r="H35" s="226"/>
      <c r="I35" s="45">
        <f t="shared" si="1"/>
        <v>0</v>
      </c>
      <c r="J35" s="231"/>
    </row>
    <row r="36" spans="1:10" x14ac:dyDescent="0.25">
      <c r="A36" s="107" t="s">
        <v>104</v>
      </c>
      <c r="B36" s="106"/>
      <c r="C36" s="106"/>
      <c r="D36" s="106"/>
      <c r="E36" s="106"/>
      <c r="F36" s="106"/>
      <c r="G36" s="106"/>
      <c r="H36" s="226"/>
      <c r="I36" s="45">
        <f t="shared" si="1"/>
        <v>0</v>
      </c>
      <c r="J36" s="231"/>
    </row>
    <row r="37" spans="1:10" x14ac:dyDescent="0.25">
      <c r="A37" s="108" t="s">
        <v>189</v>
      </c>
      <c r="B37" s="109">
        <v>941.39</v>
      </c>
      <c r="C37" s="109"/>
      <c r="D37" s="109"/>
      <c r="E37" s="109"/>
      <c r="F37" s="109"/>
      <c r="G37" s="109"/>
      <c r="H37" s="226"/>
      <c r="I37" s="45">
        <f t="shared" si="1"/>
        <v>941.39</v>
      </c>
      <c r="J37" s="230">
        <f>SUM(I37:I39)</f>
        <v>941.39</v>
      </c>
    </row>
    <row r="38" spans="1:10" x14ac:dyDescent="0.25">
      <c r="A38" s="110" t="s">
        <v>184</v>
      </c>
      <c r="B38" s="109"/>
      <c r="C38" s="109"/>
      <c r="D38" s="109"/>
      <c r="E38" s="109"/>
      <c r="F38" s="109"/>
      <c r="G38" s="109"/>
      <c r="H38" s="226"/>
      <c r="I38" s="45">
        <f t="shared" si="1"/>
        <v>0</v>
      </c>
      <c r="J38" s="231"/>
    </row>
    <row r="39" spans="1:10" x14ac:dyDescent="0.25">
      <c r="A39" s="110" t="s">
        <v>104</v>
      </c>
      <c r="B39" s="109"/>
      <c r="C39" s="109"/>
      <c r="D39" s="109"/>
      <c r="E39" s="109"/>
      <c r="F39" s="109"/>
      <c r="G39" s="109"/>
      <c r="H39" s="226"/>
      <c r="I39" s="45">
        <f t="shared" si="1"/>
        <v>0</v>
      </c>
      <c r="J39" s="231"/>
    </row>
    <row r="40" spans="1:10" x14ac:dyDescent="0.25">
      <c r="A40" s="111" t="s">
        <v>190</v>
      </c>
      <c r="B40" s="112"/>
      <c r="C40" s="112"/>
      <c r="D40" s="112"/>
      <c r="E40" s="112"/>
      <c r="F40" s="112"/>
      <c r="G40" s="112"/>
      <c r="H40" s="226"/>
      <c r="I40" s="45">
        <f t="shared" si="1"/>
        <v>0</v>
      </c>
      <c r="J40" s="230">
        <f>SUM(I40:I42)</f>
        <v>0</v>
      </c>
    </row>
    <row r="41" spans="1:10" x14ac:dyDescent="0.25">
      <c r="A41" s="113" t="s">
        <v>184</v>
      </c>
      <c r="B41" s="112"/>
      <c r="C41" s="112"/>
      <c r="D41" s="112"/>
      <c r="E41" s="112"/>
      <c r="F41" s="112"/>
      <c r="G41" s="112"/>
      <c r="H41" s="226"/>
      <c r="I41" s="45">
        <f t="shared" si="1"/>
        <v>0</v>
      </c>
      <c r="J41" s="231"/>
    </row>
    <row r="42" spans="1:10" x14ac:dyDescent="0.25">
      <c r="A42" s="113" t="s">
        <v>104</v>
      </c>
      <c r="B42" s="112"/>
      <c r="C42" s="112"/>
      <c r="D42" s="112"/>
      <c r="E42" s="112"/>
      <c r="F42" s="112"/>
      <c r="G42" s="112"/>
      <c r="H42" s="226"/>
      <c r="I42" s="45">
        <f t="shared" si="1"/>
        <v>0</v>
      </c>
      <c r="J42" s="231"/>
    </row>
    <row r="43" spans="1:10" x14ac:dyDescent="0.25">
      <c r="A43" s="114" t="s">
        <v>191</v>
      </c>
      <c r="B43" s="115"/>
      <c r="C43" s="115"/>
      <c r="D43" s="115"/>
      <c r="E43" s="115"/>
      <c r="F43" s="115"/>
      <c r="G43" s="115"/>
      <c r="H43" s="226"/>
      <c r="I43" s="45">
        <f t="shared" si="1"/>
        <v>0</v>
      </c>
      <c r="J43" s="230">
        <f>SUM(I43:I45)</f>
        <v>0</v>
      </c>
    </row>
    <row r="44" spans="1:10" x14ac:dyDescent="0.25">
      <c r="A44" s="116" t="s">
        <v>184</v>
      </c>
      <c r="B44" s="115"/>
      <c r="C44" s="115"/>
      <c r="D44" s="115"/>
      <c r="E44" s="115"/>
      <c r="F44" s="115"/>
      <c r="G44" s="115"/>
      <c r="H44" s="226"/>
      <c r="I44" s="45">
        <f t="shared" si="1"/>
        <v>0</v>
      </c>
      <c r="J44" s="231"/>
    </row>
    <row r="45" spans="1:10" x14ac:dyDescent="0.25">
      <c r="A45" s="116" t="s">
        <v>104</v>
      </c>
      <c r="B45" s="115"/>
      <c r="C45" s="115"/>
      <c r="D45" s="115"/>
      <c r="E45" s="115"/>
      <c r="F45" s="115"/>
      <c r="G45" s="115"/>
      <c r="H45" s="226"/>
      <c r="I45" s="45">
        <f t="shared" si="1"/>
        <v>0</v>
      </c>
      <c r="J45" s="231"/>
    </row>
    <row r="46" spans="1:10" x14ac:dyDescent="0.25">
      <c r="A46" s="117" t="s">
        <v>192</v>
      </c>
      <c r="B46" s="118"/>
      <c r="C46" s="118"/>
      <c r="D46" s="118"/>
      <c r="E46" s="118"/>
      <c r="F46" s="118"/>
      <c r="G46" s="118">
        <v>588.52</v>
      </c>
      <c r="H46" s="226"/>
      <c r="I46" s="45">
        <f t="shared" si="1"/>
        <v>588.52</v>
      </c>
      <c r="J46" s="230">
        <f>SUM(I46:I48)</f>
        <v>588.52</v>
      </c>
    </row>
    <row r="47" spans="1:10" x14ac:dyDescent="0.25">
      <c r="A47" s="119" t="s">
        <v>184</v>
      </c>
      <c r="B47" s="118"/>
      <c r="C47" s="118"/>
      <c r="D47" s="118"/>
      <c r="E47" s="118"/>
      <c r="F47" s="118"/>
      <c r="G47" s="118"/>
      <c r="H47" s="226"/>
      <c r="I47" s="45">
        <f t="shared" si="1"/>
        <v>0</v>
      </c>
      <c r="J47" s="231"/>
    </row>
    <row r="48" spans="1:10" x14ac:dyDescent="0.25">
      <c r="A48" s="119" t="s">
        <v>104</v>
      </c>
      <c r="B48" s="118"/>
      <c r="C48" s="118"/>
      <c r="D48" s="118"/>
      <c r="E48" s="118"/>
      <c r="F48" s="118"/>
      <c r="G48" s="118"/>
      <c r="H48" s="226"/>
      <c r="I48" s="45">
        <f t="shared" si="1"/>
        <v>0</v>
      </c>
      <c r="J48" s="231"/>
    </row>
    <row r="49" spans="1:10" x14ac:dyDescent="0.25">
      <c r="A49" s="123" t="s">
        <v>193</v>
      </c>
      <c r="B49" s="124"/>
      <c r="C49" s="124"/>
      <c r="D49" s="124"/>
      <c r="E49" s="124"/>
      <c r="F49" s="124"/>
      <c r="G49" s="124"/>
      <c r="H49" s="226"/>
      <c r="I49" s="45">
        <f t="shared" si="1"/>
        <v>0</v>
      </c>
      <c r="J49" s="230">
        <f>SUM(I49:I51)</f>
        <v>0</v>
      </c>
    </row>
    <row r="50" spans="1:10" x14ac:dyDescent="0.25">
      <c r="A50" s="125" t="s">
        <v>184</v>
      </c>
      <c r="B50" s="124"/>
      <c r="C50" s="124"/>
      <c r="D50" s="124"/>
      <c r="E50" s="124"/>
      <c r="F50" s="124"/>
      <c r="G50" s="124"/>
      <c r="H50" s="226"/>
      <c r="I50" s="45">
        <f t="shared" si="1"/>
        <v>0</v>
      </c>
      <c r="J50" s="231"/>
    </row>
    <row r="51" spans="1:10" x14ac:dyDescent="0.25">
      <c r="A51" s="125" t="s">
        <v>104</v>
      </c>
      <c r="B51" s="124"/>
      <c r="C51" s="124"/>
      <c r="D51" s="124"/>
      <c r="E51" s="124"/>
      <c r="F51" s="124"/>
      <c r="G51" s="124"/>
      <c r="H51" s="226"/>
      <c r="I51" s="45">
        <f t="shared" si="1"/>
        <v>0</v>
      </c>
      <c r="J51" s="231"/>
    </row>
    <row r="52" spans="1:10" x14ac:dyDescent="0.25">
      <c r="A52" s="101" t="s">
        <v>194</v>
      </c>
      <c r="B52" s="102"/>
      <c r="C52" s="102"/>
      <c r="D52" s="102">
        <v>614.11</v>
      </c>
      <c r="E52" s="102"/>
      <c r="F52" s="102"/>
      <c r="G52" s="102"/>
      <c r="H52" s="226"/>
      <c r="I52" s="45">
        <f t="shared" si="1"/>
        <v>614.11</v>
      </c>
      <c r="J52" s="230">
        <f>SUM(I52:I54)</f>
        <v>614.11</v>
      </c>
    </row>
    <row r="53" spans="1:10" x14ac:dyDescent="0.25">
      <c r="A53" s="103" t="s">
        <v>184</v>
      </c>
      <c r="B53" s="102"/>
      <c r="C53" s="102"/>
      <c r="D53" s="102"/>
      <c r="E53" s="102"/>
      <c r="F53" s="102"/>
      <c r="G53" s="102"/>
      <c r="H53" s="226"/>
      <c r="I53" s="45">
        <f t="shared" si="1"/>
        <v>0</v>
      </c>
      <c r="J53" s="231"/>
    </row>
    <row r="54" spans="1:10" x14ac:dyDescent="0.25">
      <c r="A54" s="103" t="s">
        <v>104</v>
      </c>
      <c r="B54" s="102"/>
      <c r="C54" s="102"/>
      <c r="D54" s="102"/>
      <c r="E54" s="102"/>
      <c r="F54" s="102"/>
      <c r="G54" s="102"/>
      <c r="H54" s="226"/>
      <c r="I54" s="45">
        <f t="shared" si="1"/>
        <v>0</v>
      </c>
      <c r="J54" s="231"/>
    </row>
    <row r="55" spans="1:10" x14ac:dyDescent="0.25">
      <c r="A55" s="126" t="s">
        <v>195</v>
      </c>
      <c r="B55" s="121">
        <v>964.87</v>
      </c>
      <c r="C55" s="121"/>
      <c r="D55" s="121"/>
      <c r="E55" s="121"/>
      <c r="F55" s="121"/>
      <c r="G55" s="121"/>
      <c r="H55" s="226"/>
      <c r="I55" s="45">
        <f t="shared" si="1"/>
        <v>964.87</v>
      </c>
      <c r="J55" s="230">
        <f>SUM(I55:I57)</f>
        <v>964.87</v>
      </c>
    </row>
    <row r="56" spans="1:10" x14ac:dyDescent="0.25">
      <c r="A56" s="122" t="s">
        <v>184</v>
      </c>
      <c r="B56" s="121"/>
      <c r="C56" s="121"/>
      <c r="D56" s="121"/>
      <c r="E56" s="121"/>
      <c r="F56" s="121"/>
      <c r="G56" s="121"/>
      <c r="H56" s="226"/>
      <c r="I56" s="45">
        <f t="shared" si="1"/>
        <v>0</v>
      </c>
      <c r="J56" s="231"/>
    </row>
    <row r="57" spans="1:10" x14ac:dyDescent="0.25">
      <c r="A57" s="122" t="s">
        <v>104</v>
      </c>
      <c r="B57" s="121"/>
      <c r="C57" s="121"/>
      <c r="D57" s="121"/>
      <c r="E57" s="121"/>
      <c r="F57" s="121"/>
      <c r="G57" s="121"/>
      <c r="H57" s="226"/>
      <c r="I57" s="45">
        <f t="shared" si="1"/>
        <v>0</v>
      </c>
      <c r="J57" s="231"/>
    </row>
    <row r="58" spans="1:10" x14ac:dyDescent="0.25">
      <c r="A58" s="108" t="s">
        <v>196</v>
      </c>
      <c r="B58" s="109"/>
      <c r="C58" s="109"/>
      <c r="D58" s="109">
        <v>432.58</v>
      </c>
      <c r="E58" s="109"/>
      <c r="F58" s="109"/>
      <c r="G58" s="109"/>
      <c r="H58" s="226"/>
      <c r="I58" s="45">
        <f t="shared" si="1"/>
        <v>432.58</v>
      </c>
      <c r="J58" s="230">
        <f>SUM(I58:I60)</f>
        <v>432.58</v>
      </c>
    </row>
    <row r="59" spans="1:10" x14ac:dyDescent="0.25">
      <c r="A59" s="110" t="s">
        <v>184</v>
      </c>
      <c r="B59" s="109"/>
      <c r="C59" s="109"/>
      <c r="D59" s="109"/>
      <c r="E59" s="109"/>
      <c r="F59" s="109"/>
      <c r="G59" s="109"/>
      <c r="H59" s="96"/>
      <c r="I59" s="45">
        <f t="shared" si="1"/>
        <v>0</v>
      </c>
      <c r="J59" s="231"/>
    </row>
    <row r="60" spans="1:10" x14ac:dyDescent="0.25">
      <c r="A60" s="110" t="s">
        <v>104</v>
      </c>
      <c r="B60" s="109"/>
      <c r="C60" s="109"/>
      <c r="D60" s="109"/>
      <c r="E60" s="109"/>
      <c r="F60" s="109"/>
      <c r="G60" s="109"/>
      <c r="H60" s="96"/>
      <c r="I60" s="45">
        <f t="shared" si="1"/>
        <v>0</v>
      </c>
      <c r="J60" s="231"/>
    </row>
    <row r="61" spans="1:10" x14ac:dyDescent="0.25">
      <c r="A61" s="44" t="s">
        <v>81</v>
      </c>
      <c r="B61" s="50">
        <f>SUM(B25:B60)</f>
        <v>1906.26</v>
      </c>
      <c r="C61" s="50"/>
      <c r="D61" s="50">
        <f>SUM(D25:D60)</f>
        <v>1046.69</v>
      </c>
      <c r="E61" s="50"/>
      <c r="F61" s="50"/>
      <c r="G61" s="50">
        <f>SUM(G25:G60)</f>
        <v>588.52</v>
      </c>
      <c r="H61" s="50">
        <f>SUBTOTAL(9,B61:G61)</f>
        <v>3541.47</v>
      </c>
      <c r="I61" s="45">
        <f t="shared" si="1"/>
        <v>3541.47</v>
      </c>
      <c r="J61" s="127">
        <f>SUM(J25:J60)</f>
        <v>3541.47</v>
      </c>
    </row>
    <row r="62" spans="1:10" x14ac:dyDescent="0.25">
      <c r="A62" s="89" t="s">
        <v>38</v>
      </c>
      <c r="B62" s="4"/>
      <c r="C62" s="4"/>
      <c r="D62" s="4"/>
      <c r="E62" s="4"/>
      <c r="F62" s="4"/>
      <c r="G62" s="4"/>
      <c r="H62" s="4"/>
    </row>
    <row r="63" spans="1:10" x14ac:dyDescent="0.25">
      <c r="A63" s="89" t="s">
        <v>175</v>
      </c>
      <c r="B63" s="80"/>
      <c r="C63" s="80"/>
      <c r="D63" s="80"/>
      <c r="E63" s="80"/>
      <c r="F63" s="80"/>
      <c r="G63" s="80"/>
      <c r="H63" s="4"/>
    </row>
    <row r="66" spans="1:10" x14ac:dyDescent="0.25">
      <c r="A66" s="221" t="s">
        <v>197</v>
      </c>
      <c r="B66" s="87"/>
      <c r="C66" s="87"/>
      <c r="D66" s="87"/>
      <c r="E66" s="87"/>
      <c r="F66" s="87"/>
      <c r="G66" s="87"/>
      <c r="H66" s="4"/>
    </row>
    <row r="67" spans="1:10" ht="36" customHeight="1" x14ac:dyDescent="0.25">
      <c r="A67" s="232"/>
      <c r="B67" s="91" t="s">
        <v>178</v>
      </c>
      <c r="C67" s="91" t="s">
        <v>224</v>
      </c>
      <c r="D67" s="91" t="s">
        <v>181</v>
      </c>
      <c r="E67" s="91" t="s">
        <v>225</v>
      </c>
      <c r="F67" s="91" t="s">
        <v>226</v>
      </c>
      <c r="G67" s="91" t="s">
        <v>180</v>
      </c>
      <c r="H67" s="4"/>
    </row>
    <row r="68" spans="1:10" x14ac:dyDescent="0.25">
      <c r="A68" s="19" t="s">
        <v>37</v>
      </c>
      <c r="B68" s="18"/>
      <c r="C68" s="18"/>
      <c r="D68" s="18"/>
      <c r="E68" s="18"/>
      <c r="F68" s="18"/>
      <c r="G68" s="18"/>
      <c r="H68" s="4"/>
    </row>
    <row r="69" spans="1:10" x14ac:dyDescent="0.25">
      <c r="A69" s="19" t="s">
        <v>233</v>
      </c>
      <c r="B69" s="18"/>
      <c r="C69" s="18"/>
      <c r="D69" s="18"/>
      <c r="E69" s="18"/>
      <c r="F69" s="18"/>
      <c r="G69" s="18"/>
      <c r="H69" s="4"/>
      <c r="J69" s="45"/>
    </row>
    <row r="70" spans="1:10" x14ac:dyDescent="0.25">
      <c r="A70" s="4" t="s">
        <v>185</v>
      </c>
      <c r="B70" s="88"/>
      <c r="C70" s="88"/>
      <c r="D70" s="88"/>
      <c r="E70" s="88"/>
      <c r="F70" s="88"/>
      <c r="G70" s="88"/>
      <c r="H70" s="226" t="s">
        <v>36</v>
      </c>
      <c r="I70" s="134">
        <f t="shared" ref="I70:I106" si="2">SUM(B70:G70)</f>
        <v>0</v>
      </c>
      <c r="J70" s="228">
        <f>SUM(I70:I72)</f>
        <v>0</v>
      </c>
    </row>
    <row r="71" spans="1:10" x14ac:dyDescent="0.25">
      <c r="A71" s="97" t="s">
        <v>184</v>
      </c>
      <c r="B71" s="88"/>
      <c r="C71" s="88"/>
      <c r="D71" s="88"/>
      <c r="E71" s="88"/>
      <c r="F71" s="88"/>
      <c r="G71" s="88"/>
      <c r="H71" s="226"/>
      <c r="I71" s="134">
        <f t="shared" si="2"/>
        <v>0</v>
      </c>
      <c r="J71" s="229"/>
    </row>
    <row r="72" spans="1:10" x14ac:dyDescent="0.25">
      <c r="A72" s="97" t="s">
        <v>104</v>
      </c>
      <c r="B72" s="88"/>
      <c r="C72" s="88"/>
      <c r="D72" s="88"/>
      <c r="E72" s="88"/>
      <c r="F72" s="88"/>
      <c r="G72" s="88"/>
      <c r="H72" s="226"/>
      <c r="I72" s="134">
        <f t="shared" si="2"/>
        <v>0</v>
      </c>
      <c r="J72" s="229"/>
    </row>
    <row r="73" spans="1:10" x14ac:dyDescent="0.25">
      <c r="A73" s="101" t="s">
        <v>186</v>
      </c>
      <c r="B73" s="102"/>
      <c r="C73" s="102"/>
      <c r="D73" s="102"/>
      <c r="E73" s="102"/>
      <c r="F73" s="102"/>
      <c r="G73" s="102"/>
      <c r="H73" s="226"/>
      <c r="I73" s="134">
        <f t="shared" si="2"/>
        <v>0</v>
      </c>
      <c r="J73" s="228">
        <f>SUM(I73:I75)</f>
        <v>671.9</v>
      </c>
    </row>
    <row r="74" spans="1:10" x14ac:dyDescent="0.25">
      <c r="A74" s="103" t="s">
        <v>184</v>
      </c>
      <c r="B74" s="102"/>
      <c r="C74" s="102"/>
      <c r="D74" s="102"/>
      <c r="E74" s="102"/>
      <c r="F74" s="102"/>
      <c r="G74" s="102">
        <v>671.9</v>
      </c>
      <c r="H74" s="226"/>
      <c r="I74" s="134">
        <f t="shared" si="2"/>
        <v>671.9</v>
      </c>
      <c r="J74" s="229"/>
    </row>
    <row r="75" spans="1:10" x14ac:dyDescent="0.25">
      <c r="A75" s="103" t="s">
        <v>104</v>
      </c>
      <c r="B75" s="102"/>
      <c r="C75" s="102"/>
      <c r="D75" s="102"/>
      <c r="E75" s="102"/>
      <c r="F75" s="102"/>
      <c r="G75" s="102"/>
      <c r="H75" s="226"/>
      <c r="I75" s="134">
        <f t="shared" si="2"/>
        <v>0</v>
      </c>
      <c r="J75" s="229"/>
    </row>
    <row r="76" spans="1:10" x14ac:dyDescent="0.25">
      <c r="A76" s="98" t="s">
        <v>187</v>
      </c>
      <c r="B76" s="99"/>
      <c r="C76" s="99"/>
      <c r="D76" s="99"/>
      <c r="E76" s="99"/>
      <c r="F76" s="99"/>
      <c r="G76" s="99"/>
      <c r="H76" s="226"/>
      <c r="I76" s="134">
        <f t="shared" si="2"/>
        <v>0</v>
      </c>
      <c r="J76" s="228">
        <f>SUM(I76:I78)</f>
        <v>0</v>
      </c>
    </row>
    <row r="77" spans="1:10" x14ac:dyDescent="0.25">
      <c r="A77" s="100" t="s">
        <v>184</v>
      </c>
      <c r="B77" s="99"/>
      <c r="C77" s="99"/>
      <c r="D77" s="99"/>
      <c r="E77" s="99"/>
      <c r="F77" s="99"/>
      <c r="G77" s="99"/>
      <c r="H77" s="226"/>
      <c r="I77" s="134">
        <f t="shared" si="2"/>
        <v>0</v>
      </c>
      <c r="J77" s="229"/>
    </row>
    <row r="78" spans="1:10" x14ac:dyDescent="0.25">
      <c r="A78" s="100" t="s">
        <v>104</v>
      </c>
      <c r="B78" s="99"/>
      <c r="C78" s="99"/>
      <c r="D78" s="99"/>
      <c r="E78" s="99"/>
      <c r="F78" s="99"/>
      <c r="G78" s="99"/>
      <c r="H78" s="226"/>
      <c r="I78" s="134">
        <f t="shared" si="2"/>
        <v>0</v>
      </c>
      <c r="J78" s="229"/>
    </row>
    <row r="79" spans="1:10" x14ac:dyDescent="0.25">
      <c r="A79" s="105" t="s">
        <v>188</v>
      </c>
      <c r="B79" s="106"/>
      <c r="C79" s="106"/>
      <c r="D79" s="106"/>
      <c r="E79" s="106"/>
      <c r="F79" s="106"/>
      <c r="G79" s="106"/>
      <c r="H79" s="226"/>
      <c r="I79" s="134">
        <f t="shared" si="2"/>
        <v>0</v>
      </c>
      <c r="J79" s="228">
        <f>SUM(I79:I81)</f>
        <v>632.05999999999995</v>
      </c>
    </row>
    <row r="80" spans="1:10" x14ac:dyDescent="0.25">
      <c r="A80" s="107" t="s">
        <v>184</v>
      </c>
      <c r="B80" s="106"/>
      <c r="C80" s="106"/>
      <c r="D80" s="106">
        <v>632.05999999999995</v>
      </c>
      <c r="E80" s="106"/>
      <c r="F80" s="106"/>
      <c r="G80" s="106"/>
      <c r="H80" s="226"/>
      <c r="I80" s="134">
        <f t="shared" si="2"/>
        <v>632.05999999999995</v>
      </c>
      <c r="J80" s="229"/>
    </row>
    <row r="81" spans="1:10" x14ac:dyDescent="0.25">
      <c r="A81" s="107" t="s">
        <v>104</v>
      </c>
      <c r="B81" s="106"/>
      <c r="C81" s="106"/>
      <c r="D81" s="106"/>
      <c r="E81" s="106"/>
      <c r="F81" s="106"/>
      <c r="G81" s="106"/>
      <c r="H81" s="226"/>
      <c r="I81" s="134">
        <f t="shared" si="2"/>
        <v>0</v>
      </c>
      <c r="J81" s="229"/>
    </row>
    <row r="82" spans="1:10" x14ac:dyDescent="0.25">
      <c r="A82" s="108" t="s">
        <v>189</v>
      </c>
      <c r="B82" s="109"/>
      <c r="C82" s="109"/>
      <c r="D82" s="109"/>
      <c r="E82" s="109"/>
      <c r="F82" s="109"/>
      <c r="G82" s="109"/>
      <c r="H82" s="226"/>
      <c r="I82" s="134">
        <f t="shared" si="2"/>
        <v>0</v>
      </c>
      <c r="J82" s="228">
        <f>SUM(I82:I84)</f>
        <v>0</v>
      </c>
    </row>
    <row r="83" spans="1:10" x14ac:dyDescent="0.25">
      <c r="A83" s="110" t="s">
        <v>184</v>
      </c>
      <c r="B83" s="109"/>
      <c r="C83" s="109"/>
      <c r="D83" s="109"/>
      <c r="E83" s="109"/>
      <c r="F83" s="109"/>
      <c r="G83" s="109"/>
      <c r="H83" s="226"/>
      <c r="I83" s="134">
        <f t="shared" si="2"/>
        <v>0</v>
      </c>
      <c r="J83" s="229"/>
    </row>
    <row r="84" spans="1:10" x14ac:dyDescent="0.25">
      <c r="A84" s="110" t="s">
        <v>104</v>
      </c>
      <c r="B84" s="109"/>
      <c r="C84" s="109"/>
      <c r="D84" s="109"/>
      <c r="E84" s="109"/>
      <c r="F84" s="109"/>
      <c r="G84" s="109"/>
      <c r="H84" s="226"/>
      <c r="I84" s="134">
        <f t="shared" si="2"/>
        <v>0</v>
      </c>
      <c r="J84" s="229"/>
    </row>
    <row r="85" spans="1:10" x14ac:dyDescent="0.25">
      <c r="A85" s="111" t="s">
        <v>190</v>
      </c>
      <c r="B85" s="112"/>
      <c r="C85" s="112"/>
      <c r="D85" s="112"/>
      <c r="E85" s="112">
        <v>499.49</v>
      </c>
      <c r="F85" s="112">
        <v>884.48</v>
      </c>
      <c r="G85" s="112"/>
      <c r="H85" s="226"/>
      <c r="I85" s="134">
        <f t="shared" si="2"/>
        <v>1383.97</v>
      </c>
      <c r="J85" s="228">
        <f>SUM(I85:I87)</f>
        <v>1383.97</v>
      </c>
    </row>
    <row r="86" spans="1:10" x14ac:dyDescent="0.25">
      <c r="A86" s="113" t="s">
        <v>184</v>
      </c>
      <c r="B86" s="112"/>
      <c r="C86" s="112"/>
      <c r="D86" s="112"/>
      <c r="E86" s="112"/>
      <c r="F86" s="112"/>
      <c r="G86" s="112"/>
      <c r="H86" s="226"/>
      <c r="I86" s="134">
        <f t="shared" si="2"/>
        <v>0</v>
      </c>
      <c r="J86" s="229"/>
    </row>
    <row r="87" spans="1:10" x14ac:dyDescent="0.25">
      <c r="A87" s="113" t="s">
        <v>104</v>
      </c>
      <c r="B87" s="112"/>
      <c r="C87" s="112"/>
      <c r="D87" s="112"/>
      <c r="E87" s="112"/>
      <c r="F87" s="112"/>
      <c r="G87" s="112"/>
      <c r="H87" s="226"/>
      <c r="I87" s="134">
        <f t="shared" si="2"/>
        <v>0</v>
      </c>
      <c r="J87" s="229"/>
    </row>
    <row r="88" spans="1:10" x14ac:dyDescent="0.25">
      <c r="A88" s="114" t="s">
        <v>191</v>
      </c>
      <c r="B88" s="115"/>
      <c r="C88" s="115"/>
      <c r="D88" s="115"/>
      <c r="E88" s="115"/>
      <c r="F88" s="115"/>
      <c r="G88" s="115"/>
      <c r="H88" s="226"/>
      <c r="I88" s="134">
        <f t="shared" si="2"/>
        <v>0</v>
      </c>
      <c r="J88" s="228">
        <f>SUM(I88:I90)</f>
        <v>1214.5999999999999</v>
      </c>
    </row>
    <row r="89" spans="1:10" x14ac:dyDescent="0.25">
      <c r="A89" s="116" t="s">
        <v>184</v>
      </c>
      <c r="B89" s="115"/>
      <c r="C89" s="115">
        <v>1214.5999999999999</v>
      </c>
      <c r="D89" s="115"/>
      <c r="E89" s="115"/>
      <c r="F89" s="115"/>
      <c r="G89" s="115"/>
      <c r="H89" s="226"/>
      <c r="I89" s="134">
        <f t="shared" si="2"/>
        <v>1214.5999999999999</v>
      </c>
      <c r="J89" s="229"/>
    </row>
    <row r="90" spans="1:10" x14ac:dyDescent="0.25">
      <c r="A90" s="116" t="s">
        <v>104</v>
      </c>
      <c r="B90" s="115"/>
      <c r="C90" s="115"/>
      <c r="D90" s="115"/>
      <c r="E90" s="115"/>
      <c r="F90" s="115"/>
      <c r="G90" s="115"/>
      <c r="H90" s="226"/>
      <c r="I90" s="134">
        <f t="shared" si="2"/>
        <v>0</v>
      </c>
      <c r="J90" s="229"/>
    </row>
    <row r="91" spans="1:10" x14ac:dyDescent="0.25">
      <c r="A91" s="117" t="s">
        <v>192</v>
      </c>
      <c r="B91" s="118"/>
      <c r="C91" s="118"/>
      <c r="D91" s="118"/>
      <c r="E91" s="118"/>
      <c r="F91" s="118"/>
      <c r="G91" s="118"/>
      <c r="H91" s="226"/>
      <c r="I91" s="134">
        <f t="shared" si="2"/>
        <v>0</v>
      </c>
      <c r="J91" s="228">
        <f>SUM(I91:I93)</f>
        <v>661.07</v>
      </c>
    </row>
    <row r="92" spans="1:10" x14ac:dyDescent="0.25">
      <c r="A92" s="119" t="s">
        <v>184</v>
      </c>
      <c r="B92" s="118"/>
      <c r="C92" s="118"/>
      <c r="D92" s="118"/>
      <c r="E92" s="118"/>
      <c r="F92" s="118"/>
      <c r="G92" s="118">
        <v>661.07</v>
      </c>
      <c r="H92" s="226"/>
      <c r="I92" s="134">
        <f t="shared" si="2"/>
        <v>661.07</v>
      </c>
      <c r="J92" s="229"/>
    </row>
    <row r="93" spans="1:10" x14ac:dyDescent="0.25">
      <c r="A93" s="119" t="s">
        <v>104</v>
      </c>
      <c r="B93" s="118"/>
      <c r="C93" s="118"/>
      <c r="D93" s="118"/>
      <c r="E93" s="118"/>
      <c r="F93" s="118"/>
      <c r="G93" s="118"/>
      <c r="H93" s="226"/>
      <c r="I93" s="134">
        <f t="shared" si="2"/>
        <v>0</v>
      </c>
      <c r="J93" s="229"/>
    </row>
    <row r="94" spans="1:10" x14ac:dyDescent="0.25">
      <c r="A94" s="123" t="s">
        <v>193</v>
      </c>
      <c r="B94" s="124"/>
      <c r="C94" s="124"/>
      <c r="D94" s="124"/>
      <c r="E94" s="124"/>
      <c r="F94" s="124"/>
      <c r="G94" s="124"/>
      <c r="H94" s="226"/>
      <c r="I94" s="134">
        <f t="shared" si="2"/>
        <v>0</v>
      </c>
      <c r="J94" s="228">
        <f>SUM(I94:I96)</f>
        <v>0</v>
      </c>
    </row>
    <row r="95" spans="1:10" x14ac:dyDescent="0.25">
      <c r="A95" s="125" t="s">
        <v>184</v>
      </c>
      <c r="B95" s="124"/>
      <c r="C95" s="124"/>
      <c r="D95" s="124"/>
      <c r="E95" s="124"/>
      <c r="F95" s="124"/>
      <c r="G95" s="124"/>
      <c r="H95" s="226"/>
      <c r="I95" s="134">
        <f t="shared" si="2"/>
        <v>0</v>
      </c>
      <c r="J95" s="229"/>
    </row>
    <row r="96" spans="1:10" x14ac:dyDescent="0.25">
      <c r="A96" s="125" t="s">
        <v>104</v>
      </c>
      <c r="B96" s="124"/>
      <c r="C96" s="124"/>
      <c r="D96" s="124"/>
      <c r="E96" s="124"/>
      <c r="F96" s="124"/>
      <c r="G96" s="124"/>
      <c r="H96" s="226"/>
      <c r="I96" s="134">
        <f t="shared" si="2"/>
        <v>0</v>
      </c>
      <c r="J96" s="229"/>
    </row>
    <row r="97" spans="1:10" x14ac:dyDescent="0.25">
      <c r="A97" s="101" t="s">
        <v>194</v>
      </c>
      <c r="B97" s="102"/>
      <c r="C97" s="102"/>
      <c r="D97" s="102"/>
      <c r="E97" s="102"/>
      <c r="F97" s="102"/>
      <c r="G97" s="102"/>
      <c r="H97" s="226"/>
      <c r="I97" s="134">
        <f t="shared" si="2"/>
        <v>0</v>
      </c>
      <c r="J97" s="228">
        <f>SUM(I97:I99)</f>
        <v>640.57000000000005</v>
      </c>
    </row>
    <row r="98" spans="1:10" x14ac:dyDescent="0.25">
      <c r="A98" s="103" t="s">
        <v>184</v>
      </c>
      <c r="B98" s="102"/>
      <c r="C98" s="102"/>
      <c r="D98" s="102">
        <v>640.57000000000005</v>
      </c>
      <c r="E98" s="102"/>
      <c r="F98" s="102"/>
      <c r="G98" s="102"/>
      <c r="H98" s="226"/>
      <c r="I98" s="134">
        <f t="shared" si="2"/>
        <v>640.57000000000005</v>
      </c>
      <c r="J98" s="229"/>
    </row>
    <row r="99" spans="1:10" x14ac:dyDescent="0.25">
      <c r="A99" s="103" t="s">
        <v>104</v>
      </c>
      <c r="B99" s="102"/>
      <c r="C99" s="102"/>
      <c r="D99" s="102"/>
      <c r="E99" s="102"/>
      <c r="F99" s="102"/>
      <c r="G99" s="102"/>
      <c r="H99" s="226"/>
      <c r="I99" s="134">
        <f t="shared" si="2"/>
        <v>0</v>
      </c>
      <c r="J99" s="229"/>
    </row>
    <row r="100" spans="1:10" x14ac:dyDescent="0.25">
      <c r="A100" s="126" t="s">
        <v>195</v>
      </c>
      <c r="B100" s="121"/>
      <c r="C100" s="121"/>
      <c r="D100" s="121"/>
      <c r="E100" s="121"/>
      <c r="F100" s="121"/>
      <c r="G100" s="121"/>
      <c r="H100" s="226"/>
      <c r="I100" s="134">
        <f t="shared" si="2"/>
        <v>0</v>
      </c>
      <c r="J100" s="228">
        <f>SUM(I100:I102)</f>
        <v>0</v>
      </c>
    </row>
    <row r="101" spans="1:10" x14ac:dyDescent="0.25">
      <c r="A101" s="122" t="s">
        <v>184</v>
      </c>
      <c r="B101" s="121"/>
      <c r="C101" s="121"/>
      <c r="D101" s="121"/>
      <c r="E101" s="121"/>
      <c r="F101" s="121"/>
      <c r="G101" s="121"/>
      <c r="H101" s="226"/>
      <c r="I101" s="134">
        <f t="shared" si="2"/>
        <v>0</v>
      </c>
      <c r="J101" s="229"/>
    </row>
    <row r="102" spans="1:10" x14ac:dyDescent="0.25">
      <c r="A102" s="122" t="s">
        <v>104</v>
      </c>
      <c r="B102" s="121"/>
      <c r="C102" s="121"/>
      <c r="D102" s="121"/>
      <c r="E102" s="121"/>
      <c r="F102" s="121"/>
      <c r="G102" s="121"/>
      <c r="H102" s="226"/>
      <c r="I102" s="134">
        <f t="shared" si="2"/>
        <v>0</v>
      </c>
      <c r="J102" s="229"/>
    </row>
    <row r="103" spans="1:10" x14ac:dyDescent="0.25">
      <c r="A103" s="108" t="s">
        <v>196</v>
      </c>
      <c r="B103" s="109"/>
      <c r="C103" s="109"/>
      <c r="D103" s="109"/>
      <c r="E103" s="109"/>
      <c r="F103" s="109"/>
      <c r="G103" s="109"/>
      <c r="H103" s="226"/>
      <c r="I103" s="134">
        <f t="shared" si="2"/>
        <v>0</v>
      </c>
      <c r="J103" s="228">
        <f>SUM(I103:I105)</f>
        <v>1449.26</v>
      </c>
    </row>
    <row r="104" spans="1:10" x14ac:dyDescent="0.25">
      <c r="A104" s="110" t="s">
        <v>184</v>
      </c>
      <c r="B104" s="109"/>
      <c r="C104" s="109"/>
      <c r="D104" s="109"/>
      <c r="E104" s="109">
        <v>533.38</v>
      </c>
      <c r="F104" s="109">
        <v>915.88</v>
      </c>
      <c r="G104" s="109"/>
      <c r="H104" s="96"/>
      <c r="I104" s="134">
        <f t="shared" si="2"/>
        <v>1449.26</v>
      </c>
      <c r="J104" s="229"/>
    </row>
    <row r="105" spans="1:10" x14ac:dyDescent="0.25">
      <c r="A105" s="110" t="s">
        <v>104</v>
      </c>
      <c r="B105" s="109"/>
      <c r="C105" s="109"/>
      <c r="D105" s="109"/>
      <c r="E105" s="109"/>
      <c r="F105" s="109"/>
      <c r="G105" s="109"/>
      <c r="H105" s="96"/>
      <c r="I105" s="134">
        <f t="shared" si="2"/>
        <v>0</v>
      </c>
      <c r="J105" s="229"/>
    </row>
    <row r="106" spans="1:10" x14ac:dyDescent="0.25">
      <c r="A106" s="44" t="s">
        <v>81</v>
      </c>
      <c r="B106" s="50">
        <f>SUM(B70:B105)</f>
        <v>0</v>
      </c>
      <c r="C106" s="50">
        <f>SUM(C70:C105)</f>
        <v>1214.5999999999999</v>
      </c>
      <c r="D106" s="50">
        <f>SUM(D70:D105)</f>
        <v>1272.6300000000001</v>
      </c>
      <c r="E106" s="50">
        <f t="shared" ref="E106:F106" si="3">SUM(E70:E105)</f>
        <v>1032.8699999999999</v>
      </c>
      <c r="F106" s="50">
        <f t="shared" si="3"/>
        <v>1800.3600000000001</v>
      </c>
      <c r="G106" s="50">
        <f>SUM(G70:G105)</f>
        <v>1332.97</v>
      </c>
      <c r="H106" s="50">
        <f>SUBTOTAL(9,B106:G106)</f>
        <v>6653.43</v>
      </c>
      <c r="I106" s="45">
        <f t="shared" si="2"/>
        <v>6653.43</v>
      </c>
      <c r="J106" s="127">
        <f>SUM(J70:J105)</f>
        <v>6653.43</v>
      </c>
    </row>
    <row r="107" spans="1:10" x14ac:dyDescent="0.25">
      <c r="A107" s="89" t="s">
        <v>38</v>
      </c>
      <c r="B107" s="4"/>
      <c r="C107" s="4"/>
      <c r="D107" s="4"/>
      <c r="E107" s="4"/>
      <c r="F107" s="4"/>
      <c r="G107" s="4"/>
      <c r="H107" s="4"/>
      <c r="I107" s="45" t="e">
        <f>I106-I67-G74-D80-E85-F85-C89-#REF!</f>
        <v>#REF!</v>
      </c>
      <c r="J107" s="45"/>
    </row>
    <row r="108" spans="1:10" x14ac:dyDescent="0.25">
      <c r="A108" s="89" t="s">
        <v>175</v>
      </c>
      <c r="B108" s="80"/>
      <c r="C108" s="80"/>
      <c r="D108" s="80"/>
      <c r="E108" s="80"/>
      <c r="F108" s="80"/>
      <c r="G108" s="80"/>
      <c r="H108" s="4"/>
    </row>
    <row r="109" spans="1:10" x14ac:dyDescent="0.25">
      <c r="A109" s="89" t="s">
        <v>232</v>
      </c>
      <c r="B109" s="4"/>
      <c r="C109" s="4"/>
      <c r="D109" s="4"/>
      <c r="E109" s="4"/>
      <c r="F109" s="4"/>
      <c r="G109" s="4"/>
      <c r="H109" s="4"/>
    </row>
    <row r="111" spans="1:10" x14ac:dyDescent="0.25">
      <c r="A111" s="221" t="s">
        <v>253</v>
      </c>
      <c r="B111" s="87"/>
      <c r="C111" s="87"/>
      <c r="D111" s="87"/>
      <c r="E111" s="87"/>
      <c r="F111" s="87"/>
      <c r="G111" s="87"/>
      <c r="H111" s="4"/>
    </row>
    <row r="112" spans="1:10" x14ac:dyDescent="0.25">
      <c r="A112" s="232"/>
      <c r="B112" s="91" t="s">
        <v>178</v>
      </c>
      <c r="C112" s="91" t="s">
        <v>224</v>
      </c>
      <c r="D112" s="91" t="s">
        <v>181</v>
      </c>
      <c r="E112" s="91" t="s">
        <v>225</v>
      </c>
      <c r="F112" s="91" t="s">
        <v>226</v>
      </c>
      <c r="G112" s="91" t="s">
        <v>180</v>
      </c>
      <c r="H112" s="4"/>
    </row>
    <row r="113" spans="1:10" x14ac:dyDescent="0.25">
      <c r="A113" s="19" t="s">
        <v>37</v>
      </c>
      <c r="B113" s="18"/>
      <c r="C113" s="18"/>
      <c r="D113" s="18"/>
      <c r="E113" s="18"/>
      <c r="F113" s="18"/>
      <c r="G113" s="18"/>
      <c r="H113" s="4"/>
    </row>
    <row r="114" spans="1:10" x14ac:dyDescent="0.25">
      <c r="A114" s="19" t="s">
        <v>233</v>
      </c>
      <c r="B114" s="18"/>
      <c r="C114" s="18"/>
      <c r="D114" s="18"/>
      <c r="E114" s="18"/>
      <c r="F114" s="18"/>
      <c r="G114" s="18"/>
      <c r="H114" s="4"/>
      <c r="J114" s="45"/>
    </row>
    <row r="115" spans="1:10" x14ac:dyDescent="0.25">
      <c r="A115" s="4" t="s">
        <v>185</v>
      </c>
      <c r="B115" s="88"/>
      <c r="C115" s="88"/>
      <c r="D115" s="88"/>
      <c r="E115" s="88"/>
      <c r="F115" s="88"/>
      <c r="G115" s="88"/>
      <c r="H115" s="226" t="s">
        <v>36</v>
      </c>
      <c r="I115" s="134">
        <f t="shared" ref="I115:I151" si="4">SUM(B115:G115)</f>
        <v>0</v>
      </c>
      <c r="J115" s="228">
        <f>SUM(I115:I117)</f>
        <v>0</v>
      </c>
    </row>
    <row r="116" spans="1:10" x14ac:dyDescent="0.25">
      <c r="A116" s="97" t="s">
        <v>184</v>
      </c>
      <c r="B116" s="88"/>
      <c r="C116" s="88"/>
      <c r="D116" s="88"/>
      <c r="E116" s="88"/>
      <c r="F116" s="88"/>
      <c r="G116" s="88"/>
      <c r="H116" s="226"/>
      <c r="I116" s="134">
        <f t="shared" si="4"/>
        <v>0</v>
      </c>
      <c r="J116" s="229"/>
    </row>
    <row r="117" spans="1:10" x14ac:dyDescent="0.25">
      <c r="A117" s="97" t="s">
        <v>104</v>
      </c>
      <c r="B117" s="88"/>
      <c r="C117" s="88"/>
      <c r="D117" s="88"/>
      <c r="E117" s="88"/>
      <c r="F117" s="88"/>
      <c r="G117" s="88"/>
      <c r="H117" s="226"/>
      <c r="I117" s="134">
        <f t="shared" si="4"/>
        <v>0</v>
      </c>
      <c r="J117" s="229"/>
    </row>
    <row r="118" spans="1:10" x14ac:dyDescent="0.25">
      <c r="A118" s="101" t="s">
        <v>186</v>
      </c>
      <c r="B118" s="102"/>
      <c r="C118" s="102"/>
      <c r="D118" s="102"/>
      <c r="E118" s="102"/>
      <c r="F118" s="102"/>
      <c r="G118" s="102"/>
      <c r="H118" s="226"/>
      <c r="I118" s="134">
        <f t="shared" si="4"/>
        <v>0</v>
      </c>
      <c r="J118" s="228">
        <f>SUM(I118:I120)</f>
        <v>679.89</v>
      </c>
    </row>
    <row r="119" spans="1:10" x14ac:dyDescent="0.25">
      <c r="A119" s="103" t="s">
        <v>184</v>
      </c>
      <c r="B119" s="102"/>
      <c r="C119" s="102"/>
      <c r="D119" s="102"/>
      <c r="E119" s="102"/>
      <c r="F119" s="102"/>
      <c r="G119" s="102">
        <v>679.89</v>
      </c>
      <c r="H119" s="226"/>
      <c r="I119" s="134">
        <f t="shared" si="4"/>
        <v>679.89</v>
      </c>
      <c r="J119" s="229"/>
    </row>
    <row r="120" spans="1:10" x14ac:dyDescent="0.25">
      <c r="A120" s="103" t="s">
        <v>104</v>
      </c>
      <c r="B120" s="102"/>
      <c r="C120" s="102"/>
      <c r="D120" s="102"/>
      <c r="E120" s="102"/>
      <c r="F120" s="102"/>
      <c r="G120" s="102"/>
      <c r="H120" s="226"/>
      <c r="I120" s="134">
        <f t="shared" si="4"/>
        <v>0</v>
      </c>
      <c r="J120" s="229"/>
    </row>
    <row r="121" spans="1:10" x14ac:dyDescent="0.25">
      <c r="A121" s="98" t="s">
        <v>187</v>
      </c>
      <c r="B121" s="99"/>
      <c r="C121" s="99"/>
      <c r="D121" s="99"/>
      <c r="E121" s="99"/>
      <c r="F121" s="99"/>
      <c r="G121" s="99"/>
      <c r="H121" s="226"/>
      <c r="I121" s="134">
        <f t="shared" si="4"/>
        <v>0</v>
      </c>
      <c r="J121" s="228">
        <f>SUM(I121:I123)</f>
        <v>0</v>
      </c>
    </row>
    <row r="122" spans="1:10" x14ac:dyDescent="0.25">
      <c r="A122" s="100" t="s">
        <v>184</v>
      </c>
      <c r="B122" s="99"/>
      <c r="C122" s="99"/>
      <c r="D122" s="99"/>
      <c r="E122" s="99"/>
      <c r="F122" s="99"/>
      <c r="G122" s="99"/>
      <c r="H122" s="226"/>
      <c r="I122" s="134">
        <f t="shared" si="4"/>
        <v>0</v>
      </c>
      <c r="J122" s="229"/>
    </row>
    <row r="123" spans="1:10" x14ac:dyDescent="0.25">
      <c r="A123" s="100" t="s">
        <v>104</v>
      </c>
      <c r="B123" s="99"/>
      <c r="C123" s="99"/>
      <c r="D123" s="99"/>
      <c r="E123" s="99"/>
      <c r="F123" s="99"/>
      <c r="G123" s="99"/>
      <c r="H123" s="226"/>
      <c r="I123" s="134">
        <f t="shared" si="4"/>
        <v>0</v>
      </c>
      <c r="J123" s="229"/>
    </row>
    <row r="124" spans="1:10" x14ac:dyDescent="0.25">
      <c r="A124" s="105" t="s">
        <v>188</v>
      </c>
      <c r="B124" s="106"/>
      <c r="C124" s="106"/>
      <c r="D124" s="106"/>
      <c r="E124" s="106"/>
      <c r="F124" s="106"/>
      <c r="G124" s="106"/>
      <c r="H124" s="226"/>
      <c r="I124" s="134">
        <f t="shared" si="4"/>
        <v>0</v>
      </c>
      <c r="J124" s="228">
        <f>SUM(I124:I126)</f>
        <v>713.95</v>
      </c>
    </row>
    <row r="125" spans="1:10" x14ac:dyDescent="0.25">
      <c r="A125" s="107" t="s">
        <v>184</v>
      </c>
      <c r="B125" s="106"/>
      <c r="C125" s="106"/>
      <c r="D125" s="106">
        <v>646.21</v>
      </c>
      <c r="E125" s="106"/>
      <c r="F125" s="106">
        <v>67.739999999999995</v>
      </c>
      <c r="G125" s="106"/>
      <c r="H125" s="226"/>
      <c r="I125" s="134">
        <f t="shared" si="4"/>
        <v>713.95</v>
      </c>
      <c r="J125" s="229"/>
    </row>
    <row r="126" spans="1:10" x14ac:dyDescent="0.25">
      <c r="A126" s="107" t="s">
        <v>104</v>
      </c>
      <c r="B126" s="106"/>
      <c r="C126" s="106"/>
      <c r="D126" s="106"/>
      <c r="E126" s="106"/>
      <c r="F126" s="106"/>
      <c r="G126" s="106"/>
      <c r="H126" s="226"/>
      <c r="I126" s="134">
        <f t="shared" si="4"/>
        <v>0</v>
      </c>
      <c r="J126" s="229"/>
    </row>
    <row r="127" spans="1:10" x14ac:dyDescent="0.25">
      <c r="A127" s="108" t="s">
        <v>189</v>
      </c>
      <c r="B127" s="109"/>
      <c r="C127" s="109"/>
      <c r="D127" s="109"/>
      <c r="E127" s="109"/>
      <c r="F127" s="109"/>
      <c r="G127" s="109"/>
      <c r="H127" s="226"/>
      <c r="I127" s="134">
        <f t="shared" si="4"/>
        <v>0</v>
      </c>
      <c r="J127" s="228">
        <f>SUM(I127:I129)</f>
        <v>0</v>
      </c>
    </row>
    <row r="128" spans="1:10" x14ac:dyDescent="0.25">
      <c r="A128" s="110" t="s">
        <v>184</v>
      </c>
      <c r="B128" s="109"/>
      <c r="C128" s="109"/>
      <c r="D128" s="109"/>
      <c r="E128" s="109"/>
      <c r="F128" s="109"/>
      <c r="G128" s="109"/>
      <c r="H128" s="226"/>
      <c r="I128" s="134">
        <f t="shared" si="4"/>
        <v>0</v>
      </c>
      <c r="J128" s="229"/>
    </row>
    <row r="129" spans="1:10" x14ac:dyDescent="0.25">
      <c r="A129" s="110" t="s">
        <v>104</v>
      </c>
      <c r="B129" s="109"/>
      <c r="C129" s="112"/>
      <c r="D129" s="109"/>
      <c r="E129" s="109"/>
      <c r="F129" s="109"/>
      <c r="G129" s="109"/>
      <c r="H129" s="226"/>
      <c r="I129" s="134">
        <f t="shared" si="4"/>
        <v>0</v>
      </c>
      <c r="J129" s="229"/>
    </row>
    <row r="130" spans="1:10" x14ac:dyDescent="0.25">
      <c r="A130" s="111" t="s">
        <v>190</v>
      </c>
      <c r="B130" s="112"/>
      <c r="C130" s="196">
        <v>733.4</v>
      </c>
      <c r="D130" s="112"/>
      <c r="E130" s="112"/>
      <c r="F130" s="112"/>
      <c r="G130" s="112"/>
      <c r="H130" s="226"/>
      <c r="I130" s="134">
        <f t="shared" si="4"/>
        <v>733.4</v>
      </c>
      <c r="J130" s="228">
        <f>SUM(I130:I132)</f>
        <v>2204.33</v>
      </c>
    </row>
    <row r="131" spans="1:10" x14ac:dyDescent="0.25">
      <c r="A131" s="113" t="s">
        <v>184</v>
      </c>
      <c r="B131" s="112"/>
      <c r="C131" s="112">
        <v>129.94999999999999</v>
      </c>
      <c r="D131" s="112"/>
      <c r="E131" s="112">
        <v>421.77</v>
      </c>
      <c r="F131" s="112">
        <v>919.21</v>
      </c>
      <c r="G131" s="112"/>
      <c r="H131" s="226"/>
      <c r="I131" s="134">
        <f t="shared" si="4"/>
        <v>1470.93</v>
      </c>
      <c r="J131" s="229"/>
    </row>
    <row r="132" spans="1:10" x14ac:dyDescent="0.25">
      <c r="A132" s="113" t="s">
        <v>104</v>
      </c>
      <c r="B132" s="112"/>
      <c r="C132" s="112"/>
      <c r="D132" s="112"/>
      <c r="E132" s="112"/>
      <c r="F132" s="112"/>
      <c r="G132" s="112"/>
      <c r="H132" s="226"/>
      <c r="I132" s="134">
        <f t="shared" si="4"/>
        <v>0</v>
      </c>
      <c r="J132" s="229"/>
    </row>
    <row r="133" spans="1:10" x14ac:dyDescent="0.25">
      <c r="A133" s="114" t="s">
        <v>191</v>
      </c>
      <c r="B133" s="115"/>
      <c r="C133" s="115"/>
      <c r="D133" s="115"/>
      <c r="E133" s="115"/>
      <c r="F133" s="115"/>
      <c r="G133" s="115"/>
      <c r="H133" s="226"/>
      <c r="I133" s="134">
        <f t="shared" si="4"/>
        <v>0</v>
      </c>
      <c r="J133" s="228">
        <f>SUM(I133:I135)</f>
        <v>0</v>
      </c>
    </row>
    <row r="134" spans="1:10" x14ac:dyDescent="0.25">
      <c r="A134" s="116" t="s">
        <v>184</v>
      </c>
      <c r="B134" s="115"/>
      <c r="C134" s="115"/>
      <c r="D134" s="115"/>
      <c r="E134" s="115"/>
      <c r="F134" s="115"/>
      <c r="G134" s="115"/>
      <c r="H134" s="226"/>
      <c r="I134" s="134">
        <f t="shared" si="4"/>
        <v>0</v>
      </c>
      <c r="J134" s="229"/>
    </row>
    <row r="135" spans="1:10" x14ac:dyDescent="0.25">
      <c r="A135" s="116" t="s">
        <v>104</v>
      </c>
      <c r="B135" s="115"/>
      <c r="C135" s="115"/>
      <c r="D135" s="115"/>
      <c r="E135" s="115"/>
      <c r="F135" s="115"/>
      <c r="G135" s="115"/>
      <c r="H135" s="226"/>
      <c r="I135" s="134">
        <f t="shared" si="4"/>
        <v>0</v>
      </c>
      <c r="J135" s="229"/>
    </row>
    <row r="136" spans="1:10" x14ac:dyDescent="0.25">
      <c r="A136" s="117" t="s">
        <v>192</v>
      </c>
      <c r="B136" s="118"/>
      <c r="C136" s="118"/>
      <c r="D136" s="118"/>
      <c r="E136" s="118"/>
      <c r="F136" s="118"/>
      <c r="G136" s="118"/>
      <c r="H136" s="226"/>
      <c r="I136" s="134">
        <f t="shared" si="4"/>
        <v>0</v>
      </c>
      <c r="J136" s="228">
        <f>SUM(I136:I138)</f>
        <v>713.62</v>
      </c>
    </row>
    <row r="137" spans="1:10" x14ac:dyDescent="0.25">
      <c r="A137" s="119" t="s">
        <v>184</v>
      </c>
      <c r="B137" s="118"/>
      <c r="C137" s="118"/>
      <c r="D137" s="118"/>
      <c r="E137" s="118"/>
      <c r="F137" s="118"/>
      <c r="G137" s="118">
        <v>713.62</v>
      </c>
      <c r="H137" s="226"/>
      <c r="I137" s="134">
        <f t="shared" si="4"/>
        <v>713.62</v>
      </c>
      <c r="J137" s="229"/>
    </row>
    <row r="138" spans="1:10" x14ac:dyDescent="0.25">
      <c r="A138" s="119" t="s">
        <v>104</v>
      </c>
      <c r="B138" s="118"/>
      <c r="C138" s="118"/>
      <c r="D138" s="118"/>
      <c r="E138" s="118"/>
      <c r="F138" s="118"/>
      <c r="G138" s="118"/>
      <c r="H138" s="226"/>
      <c r="I138" s="134">
        <f t="shared" si="4"/>
        <v>0</v>
      </c>
      <c r="J138" s="229"/>
    </row>
    <row r="139" spans="1:10" x14ac:dyDescent="0.25">
      <c r="A139" s="123" t="s">
        <v>193</v>
      </c>
      <c r="B139" s="124"/>
      <c r="C139" s="124"/>
      <c r="D139" s="124"/>
      <c r="E139" s="124"/>
      <c r="F139" s="124"/>
      <c r="G139" s="124"/>
      <c r="H139" s="226"/>
      <c r="I139" s="134">
        <f t="shared" si="4"/>
        <v>0</v>
      </c>
      <c r="J139" s="228">
        <f>SUM(I139:I141)</f>
        <v>0</v>
      </c>
    </row>
    <row r="140" spans="1:10" x14ac:dyDescent="0.25">
      <c r="A140" s="125" t="s">
        <v>184</v>
      </c>
      <c r="B140" s="124"/>
      <c r="C140" s="124"/>
      <c r="D140" s="124"/>
      <c r="E140" s="124"/>
      <c r="F140" s="124"/>
      <c r="G140" s="124"/>
      <c r="H140" s="226"/>
      <c r="I140" s="134">
        <f t="shared" si="4"/>
        <v>0</v>
      </c>
      <c r="J140" s="229"/>
    </row>
    <row r="141" spans="1:10" x14ac:dyDescent="0.25">
      <c r="A141" s="125" t="s">
        <v>104</v>
      </c>
      <c r="B141" s="124"/>
      <c r="C141" s="124"/>
      <c r="D141" s="124"/>
      <c r="E141" s="124"/>
      <c r="F141" s="124"/>
      <c r="G141" s="124"/>
      <c r="H141" s="226"/>
      <c r="I141" s="134">
        <f t="shared" si="4"/>
        <v>0</v>
      </c>
      <c r="J141" s="229"/>
    </row>
    <row r="142" spans="1:10" x14ac:dyDescent="0.25">
      <c r="A142" s="101" t="s">
        <v>194</v>
      </c>
      <c r="B142" s="102"/>
      <c r="C142" s="102"/>
      <c r="D142" s="102"/>
      <c r="E142" s="102"/>
      <c r="F142" s="102"/>
      <c r="G142" s="102"/>
      <c r="H142" s="226"/>
      <c r="I142" s="134">
        <f t="shared" si="4"/>
        <v>0</v>
      </c>
      <c r="J142" s="228">
        <f>SUM(I142:I144)</f>
        <v>690.83</v>
      </c>
    </row>
    <row r="143" spans="1:10" x14ac:dyDescent="0.25">
      <c r="A143" s="103" t="s">
        <v>184</v>
      </c>
      <c r="B143" s="102"/>
      <c r="C143" s="102"/>
      <c r="D143" s="102">
        <v>690.83</v>
      </c>
      <c r="E143" s="102"/>
      <c r="F143" s="102"/>
      <c r="G143" s="102"/>
      <c r="H143" s="226"/>
      <c r="I143" s="134">
        <f t="shared" si="4"/>
        <v>690.83</v>
      </c>
      <c r="J143" s="229"/>
    </row>
    <row r="144" spans="1:10" x14ac:dyDescent="0.25">
      <c r="A144" s="103" t="s">
        <v>104</v>
      </c>
      <c r="B144" s="102"/>
      <c r="C144" s="102"/>
      <c r="D144" s="102"/>
      <c r="E144" s="102"/>
      <c r="F144" s="102"/>
      <c r="G144" s="102"/>
      <c r="H144" s="226"/>
      <c r="I144" s="134">
        <f t="shared" si="4"/>
        <v>0</v>
      </c>
      <c r="J144" s="229"/>
    </row>
    <row r="145" spans="1:10" x14ac:dyDescent="0.25">
      <c r="A145" s="126" t="s">
        <v>195</v>
      </c>
      <c r="B145" s="121"/>
      <c r="C145" s="121"/>
      <c r="D145" s="121"/>
      <c r="E145" s="121"/>
      <c r="F145" s="121"/>
      <c r="G145" s="121"/>
      <c r="H145" s="226"/>
      <c r="I145" s="134">
        <f t="shared" si="4"/>
        <v>0</v>
      </c>
      <c r="J145" s="228">
        <f>SUM(I145:I147)</f>
        <v>0</v>
      </c>
    </row>
    <row r="146" spans="1:10" x14ac:dyDescent="0.25">
      <c r="A146" s="122" t="s">
        <v>184</v>
      </c>
      <c r="B146" s="121"/>
      <c r="C146" s="121"/>
      <c r="D146" s="121"/>
      <c r="E146" s="121"/>
      <c r="F146" s="121"/>
      <c r="G146" s="121"/>
      <c r="H146" s="226"/>
      <c r="I146" s="134">
        <f t="shared" si="4"/>
        <v>0</v>
      </c>
      <c r="J146" s="229"/>
    </row>
    <row r="147" spans="1:10" x14ac:dyDescent="0.25">
      <c r="A147" s="122" t="s">
        <v>104</v>
      </c>
      <c r="B147" s="121"/>
      <c r="C147" s="121"/>
      <c r="D147" s="121"/>
      <c r="E147" s="121"/>
      <c r="F147" s="121"/>
      <c r="G147" s="121"/>
      <c r="H147" s="226"/>
      <c r="I147" s="134">
        <f t="shared" si="4"/>
        <v>0</v>
      </c>
      <c r="J147" s="229"/>
    </row>
    <row r="148" spans="1:10" x14ac:dyDescent="0.25">
      <c r="A148" s="108" t="s">
        <v>196</v>
      </c>
      <c r="B148" s="109"/>
      <c r="C148" s="109"/>
      <c r="D148" s="109"/>
      <c r="E148" s="109">
        <f>683.47-102.52</f>
        <v>580.95000000000005</v>
      </c>
      <c r="F148" s="109"/>
      <c r="G148" s="109"/>
      <c r="H148" s="226"/>
      <c r="I148" s="134">
        <f t="shared" si="4"/>
        <v>580.95000000000005</v>
      </c>
      <c r="J148" s="228">
        <f>SUM(I148:I150)</f>
        <v>580.95000000000005</v>
      </c>
    </row>
    <row r="149" spans="1:10" x14ac:dyDescent="0.25">
      <c r="A149" s="110" t="s">
        <v>184</v>
      </c>
      <c r="B149" s="109" t="s">
        <v>254</v>
      </c>
      <c r="C149" s="109"/>
      <c r="D149" s="109"/>
      <c r="E149" s="109"/>
      <c r="F149" s="109"/>
      <c r="G149" s="109"/>
      <c r="H149" s="96"/>
      <c r="I149" s="134">
        <f t="shared" si="4"/>
        <v>0</v>
      </c>
      <c r="J149" s="229"/>
    </row>
    <row r="150" spans="1:10" x14ac:dyDescent="0.25">
      <c r="A150" s="110" t="s">
        <v>104</v>
      </c>
      <c r="B150" s="109"/>
      <c r="C150" s="109"/>
      <c r="D150" s="109"/>
      <c r="E150" s="109"/>
      <c r="F150" s="109"/>
      <c r="G150" s="109"/>
      <c r="H150" s="96"/>
      <c r="I150" s="134">
        <f t="shared" si="4"/>
        <v>0</v>
      </c>
      <c r="J150" s="229"/>
    </row>
    <row r="151" spans="1:10" x14ac:dyDescent="0.25">
      <c r="A151" s="44" t="s">
        <v>81</v>
      </c>
      <c r="B151" s="50">
        <f>SUM(B115:B150)</f>
        <v>0</v>
      </c>
      <c r="C151" s="50">
        <f>SUM(C115:C150)</f>
        <v>863.34999999999991</v>
      </c>
      <c r="D151" s="50">
        <f>SUM(D115:D150)</f>
        <v>1337.04</v>
      </c>
      <c r="E151" s="50">
        <f t="shared" ref="E151:F151" si="5">SUM(E115:E150)</f>
        <v>1002.72</v>
      </c>
      <c r="F151" s="50">
        <f t="shared" si="5"/>
        <v>986.95</v>
      </c>
      <c r="G151" s="50">
        <f>SUM(G115:G150)</f>
        <v>1393.51</v>
      </c>
      <c r="H151" s="50">
        <f>SUBTOTAL(9,B151:G151)</f>
        <v>5583.57</v>
      </c>
      <c r="I151" s="45">
        <f t="shared" si="4"/>
        <v>5583.57</v>
      </c>
      <c r="J151" s="127">
        <f>SUM(J115:J150)</f>
        <v>5583.57</v>
      </c>
    </row>
    <row r="152" spans="1:10" x14ac:dyDescent="0.25">
      <c r="A152" s="89" t="s">
        <v>38</v>
      </c>
      <c r="B152" s="4"/>
      <c r="C152" s="4"/>
      <c r="D152" s="4"/>
      <c r="E152" s="4"/>
      <c r="F152" s="4"/>
      <c r="G152" s="4"/>
      <c r="H152" s="4"/>
      <c r="I152" s="45" t="e">
        <f>I151-I112-G119-D125-E130-F130-C134-#REF!</f>
        <v>#REF!</v>
      </c>
      <c r="J152" s="45"/>
    </row>
    <row r="153" spans="1:10" x14ac:dyDescent="0.25">
      <c r="A153" s="89" t="s">
        <v>175</v>
      </c>
      <c r="B153" s="80"/>
      <c r="C153" s="80"/>
      <c r="D153" s="80"/>
      <c r="E153" s="80"/>
      <c r="F153" s="80"/>
      <c r="G153" s="80"/>
      <c r="H153" s="4"/>
    </row>
    <row r="154" spans="1:10" x14ac:dyDescent="0.25">
      <c r="A154" s="89" t="s">
        <v>232</v>
      </c>
      <c r="B154" s="4"/>
      <c r="C154" s="4"/>
      <c r="D154" s="4"/>
      <c r="E154" s="4"/>
      <c r="F154" s="4"/>
      <c r="G154" s="4"/>
      <c r="H154" s="4"/>
    </row>
  </sheetData>
  <mergeCells count="44">
    <mergeCell ref="A22:A23"/>
    <mergeCell ref="A1:A2"/>
    <mergeCell ref="J55:J57"/>
    <mergeCell ref="J58:J60"/>
    <mergeCell ref="J40:J42"/>
    <mergeCell ref="J43:J45"/>
    <mergeCell ref="J46:J48"/>
    <mergeCell ref="J49:J51"/>
    <mergeCell ref="J52:J54"/>
    <mergeCell ref="J25:J27"/>
    <mergeCell ref="J28:J30"/>
    <mergeCell ref="J31:J33"/>
    <mergeCell ref="J34:J36"/>
    <mergeCell ref="J37:J39"/>
    <mergeCell ref="H25:H58"/>
    <mergeCell ref="H5:H16"/>
    <mergeCell ref="A66:A67"/>
    <mergeCell ref="H70:H103"/>
    <mergeCell ref="J70:J72"/>
    <mergeCell ref="J73:J75"/>
    <mergeCell ref="J76:J78"/>
    <mergeCell ref="J79:J81"/>
    <mergeCell ref="J82:J84"/>
    <mergeCell ref="J85:J87"/>
    <mergeCell ref="J88:J90"/>
    <mergeCell ref="J91:J93"/>
    <mergeCell ref="J94:J96"/>
    <mergeCell ref="J97:J99"/>
    <mergeCell ref="J100:J102"/>
    <mergeCell ref="J103:J105"/>
    <mergeCell ref="A111:A112"/>
    <mergeCell ref="H115:H148"/>
    <mergeCell ref="J115:J117"/>
    <mergeCell ref="J118:J120"/>
    <mergeCell ref="J121:J123"/>
    <mergeCell ref="J124:J126"/>
    <mergeCell ref="J127:J129"/>
    <mergeCell ref="J130:J132"/>
    <mergeCell ref="J133:J135"/>
    <mergeCell ref="J136:J138"/>
    <mergeCell ref="J139:J141"/>
    <mergeCell ref="J142:J144"/>
    <mergeCell ref="J145:J147"/>
    <mergeCell ref="J148:J150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C1CEA-266E-4763-AEE0-5090CB019DA8}">
  <dimension ref="A1:J109"/>
  <sheetViews>
    <sheetView zoomScale="60" zoomScaleNormal="60" workbookViewId="0">
      <selection activeCell="D17" sqref="D17"/>
    </sheetView>
  </sheetViews>
  <sheetFormatPr defaultRowHeight="15" x14ac:dyDescent="0.25"/>
  <cols>
    <col min="1" max="1" width="13.28515625" customWidth="1"/>
    <col min="2" max="2" width="15" customWidth="1"/>
    <col min="3" max="3" width="16.42578125" customWidth="1"/>
    <col min="4" max="4" width="28.28515625" customWidth="1"/>
    <col min="5" max="6" width="18.7109375" customWidth="1"/>
    <col min="7" max="7" width="13.5703125" customWidth="1"/>
    <col min="8" max="8" width="14.42578125" bestFit="1" customWidth="1"/>
    <col min="9" max="9" width="16.85546875" customWidth="1"/>
    <col min="10" max="10" width="14.28515625" bestFit="1" customWidth="1"/>
  </cols>
  <sheetData>
    <row r="1" spans="1:9" x14ac:dyDescent="0.25">
      <c r="A1" s="221" t="s">
        <v>197</v>
      </c>
      <c r="B1" s="90">
        <v>2021</v>
      </c>
      <c r="C1" s="90">
        <v>2022</v>
      </c>
      <c r="D1" s="90">
        <v>2023</v>
      </c>
      <c r="E1" s="90"/>
      <c r="F1" s="90"/>
      <c r="G1" s="90"/>
      <c r="H1" s="4"/>
    </row>
    <row r="2" spans="1:9" x14ac:dyDescent="0.25">
      <c r="A2" s="232"/>
      <c r="B2" s="91"/>
      <c r="C2" s="91"/>
      <c r="D2" s="91"/>
      <c r="E2" s="91"/>
      <c r="F2" s="91"/>
      <c r="G2" s="91"/>
      <c r="H2" s="4"/>
      <c r="I2" s="56" t="s">
        <v>77</v>
      </c>
    </row>
    <row r="3" spans="1:9" x14ac:dyDescent="0.25">
      <c r="A3" s="19" t="s">
        <v>37</v>
      </c>
      <c r="B3" s="18"/>
      <c r="C3" s="18"/>
      <c r="D3" s="18"/>
      <c r="E3" s="18"/>
      <c r="F3" s="18"/>
      <c r="G3" s="18"/>
      <c r="H3" s="4"/>
    </row>
    <row r="4" spans="1:9" x14ac:dyDescent="0.25">
      <c r="A4" s="19" t="s">
        <v>179</v>
      </c>
      <c r="B4" s="18"/>
      <c r="C4" s="18"/>
      <c r="D4" s="18"/>
      <c r="E4" s="18"/>
      <c r="F4" s="18"/>
      <c r="G4" s="18"/>
      <c r="H4" s="4"/>
    </row>
    <row r="5" spans="1:9" x14ac:dyDescent="0.25">
      <c r="A5" s="4" t="s">
        <v>24</v>
      </c>
      <c r="B5" s="27"/>
      <c r="C5" s="27">
        <v>349.42</v>
      </c>
      <c r="D5" s="27">
        <v>367.34</v>
      </c>
      <c r="E5" s="4"/>
      <c r="F5" s="4"/>
      <c r="G5" s="4"/>
      <c r="H5" s="226" t="s">
        <v>36</v>
      </c>
      <c r="I5" s="88"/>
    </row>
    <row r="6" spans="1:9" x14ac:dyDescent="0.25">
      <c r="A6" s="4" t="s">
        <v>25</v>
      </c>
      <c r="B6" s="27"/>
      <c r="C6" s="27">
        <v>203.14</v>
      </c>
      <c r="D6" s="27">
        <v>489.85</v>
      </c>
      <c r="E6" s="4"/>
      <c r="F6" s="4"/>
      <c r="G6" s="4"/>
      <c r="H6" s="226"/>
      <c r="I6" s="88"/>
    </row>
    <row r="7" spans="1:9" x14ac:dyDescent="0.25">
      <c r="A7" s="4" t="s">
        <v>26</v>
      </c>
      <c r="B7" s="27"/>
      <c r="C7" s="27">
        <v>706.99</v>
      </c>
      <c r="D7" s="27">
        <v>368.46</v>
      </c>
      <c r="E7" s="4"/>
      <c r="F7" s="4"/>
      <c r="G7" s="4"/>
      <c r="H7" s="226"/>
      <c r="I7" s="88"/>
    </row>
    <row r="8" spans="1:9" x14ac:dyDescent="0.25">
      <c r="A8" s="4" t="s">
        <v>27</v>
      </c>
      <c r="B8" s="27"/>
      <c r="C8" s="27">
        <v>379.71</v>
      </c>
      <c r="D8" s="27">
        <v>393.35</v>
      </c>
      <c r="E8" s="4"/>
      <c r="F8" s="4"/>
      <c r="G8" s="4"/>
      <c r="H8" s="226"/>
      <c r="I8" s="88"/>
    </row>
    <row r="9" spans="1:9" x14ac:dyDescent="0.25">
      <c r="A9" s="4" t="s">
        <v>28</v>
      </c>
      <c r="B9" s="27"/>
      <c r="C9" s="27">
        <v>563.87</v>
      </c>
      <c r="D9" s="27">
        <v>510.51</v>
      </c>
      <c r="E9" s="4"/>
      <c r="F9" s="4"/>
      <c r="G9" s="4"/>
      <c r="H9" s="226"/>
      <c r="I9" s="88"/>
    </row>
    <row r="10" spans="1:9" x14ac:dyDescent="0.25">
      <c r="A10" s="4" t="s">
        <v>29</v>
      </c>
      <c r="B10" s="27"/>
      <c r="C10" s="27">
        <v>1634.96</v>
      </c>
      <c r="D10" s="27">
        <v>397.97</v>
      </c>
      <c r="E10" s="4"/>
      <c r="F10" s="4"/>
      <c r="G10" s="4"/>
      <c r="H10" s="226"/>
      <c r="I10" s="88"/>
    </row>
    <row r="11" spans="1:9" x14ac:dyDescent="0.25">
      <c r="A11" s="4" t="s">
        <v>30</v>
      </c>
      <c r="B11" s="27"/>
      <c r="C11" s="27">
        <v>444.56</v>
      </c>
      <c r="D11" s="27">
        <v>419.3</v>
      </c>
      <c r="E11" s="4"/>
      <c r="F11" s="4"/>
      <c r="G11" s="4"/>
      <c r="H11" s="226"/>
      <c r="I11" s="88"/>
    </row>
    <row r="12" spans="1:9" x14ac:dyDescent="0.25">
      <c r="A12" s="4" t="s">
        <v>31</v>
      </c>
      <c r="B12" s="27"/>
      <c r="C12" s="27">
        <v>514.97</v>
      </c>
      <c r="D12" s="27">
        <v>654.42999999999995</v>
      </c>
      <c r="E12" s="4"/>
      <c r="F12" s="4"/>
      <c r="G12" s="4"/>
      <c r="H12" s="226"/>
      <c r="I12" s="88"/>
    </row>
    <row r="13" spans="1:9" x14ac:dyDescent="0.25">
      <c r="A13" s="4" t="s">
        <v>32</v>
      </c>
      <c r="B13" s="27"/>
      <c r="C13" s="27">
        <v>385.67</v>
      </c>
      <c r="D13" s="27">
        <v>401.28</v>
      </c>
      <c r="E13" s="4"/>
      <c r="F13" s="4"/>
      <c r="G13" s="4"/>
      <c r="H13" s="226"/>
      <c r="I13" s="88"/>
    </row>
    <row r="14" spans="1:9" x14ac:dyDescent="0.25">
      <c r="A14" s="4" t="s">
        <v>33</v>
      </c>
      <c r="B14" s="4"/>
      <c r="C14" s="4">
        <v>560.71</v>
      </c>
      <c r="D14" s="4">
        <v>736.83</v>
      </c>
      <c r="E14" s="4"/>
      <c r="F14" s="4"/>
      <c r="G14" s="4"/>
      <c r="H14" s="226"/>
      <c r="I14" s="88"/>
    </row>
    <row r="15" spans="1:9" x14ac:dyDescent="0.25">
      <c r="A15" s="4" t="s">
        <v>34</v>
      </c>
      <c r="B15" s="4"/>
      <c r="C15" s="4">
        <v>535.13</v>
      </c>
      <c r="D15" s="4">
        <v>719.71</v>
      </c>
      <c r="E15" s="4"/>
      <c r="F15" s="4"/>
      <c r="G15" s="4"/>
      <c r="H15" s="226"/>
      <c r="I15" s="88"/>
    </row>
    <row r="16" spans="1:9" x14ac:dyDescent="0.25">
      <c r="A16" s="4" t="s">
        <v>35</v>
      </c>
      <c r="B16" s="4">
        <v>398.25</v>
      </c>
      <c r="C16" s="4">
        <v>482.27</v>
      </c>
      <c r="D16" s="4">
        <v>1150.4100000000001</v>
      </c>
      <c r="E16" s="4"/>
      <c r="F16" s="4"/>
      <c r="G16" s="4"/>
      <c r="H16" s="226"/>
      <c r="I16" s="88"/>
    </row>
    <row r="17" spans="1:10" x14ac:dyDescent="0.25">
      <c r="A17" s="44" t="s">
        <v>81</v>
      </c>
      <c r="B17" s="50">
        <f>SUM(B5:B16)</f>
        <v>398.25</v>
      </c>
      <c r="C17" s="50">
        <f>SUM(C5:C16)</f>
        <v>6761.4000000000015</v>
      </c>
      <c r="D17" s="50">
        <f>SUM(D5:D16)</f>
        <v>6609.4400000000005</v>
      </c>
      <c r="E17" s="50"/>
      <c r="F17" s="50"/>
      <c r="G17" s="50"/>
      <c r="H17" s="50"/>
      <c r="I17" s="50">
        <f>SUM(B17:G17)</f>
        <v>13769.090000000002</v>
      </c>
    </row>
    <row r="18" spans="1:10" x14ac:dyDescent="0.25">
      <c r="A18" s="89" t="s">
        <v>38</v>
      </c>
      <c r="B18" s="4">
        <f>SUM(7500+60+100-1598.73+200+760)</f>
        <v>7021.27</v>
      </c>
      <c r="C18" s="4"/>
      <c r="D18" s="4"/>
      <c r="E18" s="4"/>
      <c r="F18" s="4"/>
      <c r="G18" s="4"/>
      <c r="H18" s="4"/>
    </row>
    <row r="19" spans="1:10" x14ac:dyDescent="0.25">
      <c r="A19" s="89" t="s">
        <v>92</v>
      </c>
      <c r="B19" s="80"/>
      <c r="C19" s="4"/>
      <c r="D19" s="4"/>
      <c r="E19" s="4"/>
      <c r="F19" s="4"/>
      <c r="G19" s="4"/>
      <c r="H19" s="4"/>
    </row>
    <row r="20" spans="1:10" x14ac:dyDescent="0.25">
      <c r="A20" s="89" t="s">
        <v>175</v>
      </c>
      <c r="B20" s="80"/>
      <c r="C20" s="80"/>
      <c r="D20" s="80"/>
      <c r="E20" s="80"/>
      <c r="F20" s="80"/>
      <c r="G20" s="80"/>
      <c r="H20" s="4"/>
    </row>
    <row r="22" spans="1:10" x14ac:dyDescent="0.25">
      <c r="A22" s="221" t="s">
        <v>177</v>
      </c>
      <c r="B22" s="87"/>
      <c r="C22" s="87"/>
      <c r="D22" s="87"/>
      <c r="E22" s="87"/>
      <c r="F22" s="87"/>
      <c r="G22" s="87"/>
      <c r="H22" s="4"/>
    </row>
    <row r="23" spans="1:10" x14ac:dyDescent="0.25">
      <c r="A23" s="232"/>
      <c r="B23" s="18"/>
      <c r="C23" s="18"/>
      <c r="D23" s="18"/>
      <c r="E23" s="18"/>
      <c r="F23" s="18"/>
      <c r="G23" s="18"/>
      <c r="H23" s="4"/>
      <c r="I23" s="45"/>
    </row>
    <row r="24" spans="1:10" x14ac:dyDescent="0.25">
      <c r="A24" s="19" t="s">
        <v>37</v>
      </c>
      <c r="B24" s="18"/>
      <c r="C24" s="18"/>
      <c r="D24" s="18"/>
      <c r="E24" s="18"/>
      <c r="F24" s="18"/>
      <c r="G24" s="18"/>
      <c r="H24" s="4"/>
    </row>
    <row r="25" spans="1:10" x14ac:dyDescent="0.25">
      <c r="A25" s="4" t="s">
        <v>185</v>
      </c>
      <c r="B25" s="88"/>
      <c r="C25" s="88"/>
      <c r="D25" s="88"/>
      <c r="E25" s="88"/>
      <c r="F25" s="88"/>
      <c r="G25" s="88"/>
      <c r="H25" s="226"/>
      <c r="I25" s="45">
        <f t="shared" ref="I25:I61" si="0">SUM(B25:G25)</f>
        <v>0</v>
      </c>
      <c r="J25" s="230">
        <f>SUM(I25:I27)</f>
        <v>0</v>
      </c>
    </row>
    <row r="26" spans="1:10" x14ac:dyDescent="0.25">
      <c r="A26" s="97" t="s">
        <v>184</v>
      </c>
      <c r="B26" s="88"/>
      <c r="C26" s="88"/>
      <c r="D26" s="88"/>
      <c r="E26" s="88"/>
      <c r="F26" s="88"/>
      <c r="G26" s="88"/>
      <c r="H26" s="226"/>
      <c r="I26" s="45">
        <f t="shared" si="0"/>
        <v>0</v>
      </c>
      <c r="J26" s="231"/>
    </row>
    <row r="27" spans="1:10" x14ac:dyDescent="0.25">
      <c r="A27" s="97" t="s">
        <v>104</v>
      </c>
      <c r="B27" s="88"/>
      <c r="C27" s="88"/>
      <c r="D27" s="88"/>
      <c r="E27" s="88"/>
      <c r="F27" s="88"/>
      <c r="G27" s="88"/>
      <c r="H27" s="226"/>
      <c r="I27" s="45">
        <f t="shared" si="0"/>
        <v>0</v>
      </c>
      <c r="J27" s="231"/>
    </row>
    <row r="28" spans="1:10" x14ac:dyDescent="0.25">
      <c r="A28" s="101" t="s">
        <v>186</v>
      </c>
      <c r="B28" s="102"/>
      <c r="C28" s="102"/>
      <c r="D28" s="102"/>
      <c r="E28" s="102"/>
      <c r="F28" s="102"/>
      <c r="G28" s="102"/>
      <c r="H28" s="226"/>
      <c r="I28" s="45">
        <f t="shared" si="0"/>
        <v>0</v>
      </c>
      <c r="J28" s="230">
        <f>SUM(I28:I30)</f>
        <v>0</v>
      </c>
    </row>
    <row r="29" spans="1:10" x14ac:dyDescent="0.25">
      <c r="A29" s="103" t="s">
        <v>184</v>
      </c>
      <c r="B29" s="102"/>
      <c r="C29" s="102"/>
      <c r="D29" s="102"/>
      <c r="E29" s="102"/>
      <c r="F29" s="102"/>
      <c r="G29" s="102"/>
      <c r="H29" s="226"/>
      <c r="I29" s="45">
        <f t="shared" si="0"/>
        <v>0</v>
      </c>
      <c r="J29" s="231"/>
    </row>
    <row r="30" spans="1:10" x14ac:dyDescent="0.25">
      <c r="A30" s="103" t="s">
        <v>104</v>
      </c>
      <c r="B30" s="102"/>
      <c r="C30" s="102"/>
      <c r="D30" s="102"/>
      <c r="E30" s="102"/>
      <c r="F30" s="102"/>
      <c r="G30" s="102"/>
      <c r="H30" s="226"/>
      <c r="I30" s="45">
        <f t="shared" si="0"/>
        <v>0</v>
      </c>
      <c r="J30" s="231"/>
    </row>
    <row r="31" spans="1:10" x14ac:dyDescent="0.25">
      <c r="A31" s="98" t="s">
        <v>187</v>
      </c>
      <c r="B31" s="99"/>
      <c r="C31" s="99"/>
      <c r="D31" s="99"/>
      <c r="E31" s="99"/>
      <c r="F31" s="99"/>
      <c r="G31" s="99"/>
      <c r="H31" s="226"/>
      <c r="I31" s="45">
        <f t="shared" si="0"/>
        <v>0</v>
      </c>
      <c r="J31" s="230">
        <f>SUM(I31:I33)</f>
        <v>0</v>
      </c>
    </row>
    <row r="32" spans="1:10" x14ac:dyDescent="0.25">
      <c r="A32" s="100" t="s">
        <v>184</v>
      </c>
      <c r="B32" s="99"/>
      <c r="C32" s="99"/>
      <c r="D32" s="99"/>
      <c r="E32" s="99"/>
      <c r="F32" s="99"/>
      <c r="G32" s="99"/>
      <c r="H32" s="226"/>
      <c r="I32" s="45">
        <f t="shared" si="0"/>
        <v>0</v>
      </c>
      <c r="J32" s="231"/>
    </row>
    <row r="33" spans="1:10" x14ac:dyDescent="0.25">
      <c r="A33" s="100" t="s">
        <v>104</v>
      </c>
      <c r="B33" s="99"/>
      <c r="C33" s="99"/>
      <c r="D33" s="99"/>
      <c r="E33" s="99"/>
      <c r="F33" s="99"/>
      <c r="G33" s="99"/>
      <c r="H33" s="226"/>
      <c r="I33" s="45">
        <f t="shared" si="0"/>
        <v>0</v>
      </c>
      <c r="J33" s="231"/>
    </row>
    <row r="34" spans="1:10" x14ac:dyDescent="0.25">
      <c r="A34" s="105" t="s">
        <v>188</v>
      </c>
      <c r="B34" s="106"/>
      <c r="C34" s="106"/>
      <c r="D34" s="106"/>
      <c r="E34" s="106"/>
      <c r="F34" s="106"/>
      <c r="G34" s="106"/>
      <c r="H34" s="226"/>
      <c r="I34" s="45">
        <f t="shared" si="0"/>
        <v>0</v>
      </c>
      <c r="J34" s="230">
        <f>SUM(I34:I36)</f>
        <v>0</v>
      </c>
    </row>
    <row r="35" spans="1:10" x14ac:dyDescent="0.25">
      <c r="A35" s="107" t="s">
        <v>184</v>
      </c>
      <c r="B35" s="106"/>
      <c r="C35" s="106"/>
      <c r="D35" s="106"/>
      <c r="E35" s="106"/>
      <c r="F35" s="106"/>
      <c r="G35" s="106"/>
      <c r="H35" s="226"/>
      <c r="I35" s="45">
        <f t="shared" si="0"/>
        <v>0</v>
      </c>
      <c r="J35" s="231"/>
    </row>
    <row r="36" spans="1:10" x14ac:dyDescent="0.25">
      <c r="A36" s="107" t="s">
        <v>104</v>
      </c>
      <c r="B36" s="106"/>
      <c r="C36" s="106"/>
      <c r="D36" s="106"/>
      <c r="E36" s="106"/>
      <c r="F36" s="106"/>
      <c r="G36" s="106"/>
      <c r="H36" s="226"/>
      <c r="I36" s="45">
        <f t="shared" si="0"/>
        <v>0</v>
      </c>
      <c r="J36" s="231"/>
    </row>
    <row r="37" spans="1:10" x14ac:dyDescent="0.25">
      <c r="A37" s="108" t="s">
        <v>189</v>
      </c>
      <c r="B37" s="109"/>
      <c r="C37" s="109"/>
      <c r="D37" s="109"/>
      <c r="E37" s="109"/>
      <c r="F37" s="109"/>
      <c r="G37" s="109"/>
      <c r="H37" s="226"/>
      <c r="I37" s="45">
        <f t="shared" si="0"/>
        <v>0</v>
      </c>
      <c r="J37" s="230">
        <f>SUM(I37:I39)</f>
        <v>0</v>
      </c>
    </row>
    <row r="38" spans="1:10" x14ac:dyDescent="0.25">
      <c r="A38" s="110" t="s">
        <v>184</v>
      </c>
      <c r="B38" s="109"/>
      <c r="C38" s="109"/>
      <c r="D38" s="109"/>
      <c r="E38" s="109"/>
      <c r="F38" s="109"/>
      <c r="G38" s="109"/>
      <c r="H38" s="226"/>
      <c r="I38" s="45">
        <f t="shared" si="0"/>
        <v>0</v>
      </c>
      <c r="J38" s="231"/>
    </row>
    <row r="39" spans="1:10" x14ac:dyDescent="0.25">
      <c r="A39" s="110" t="s">
        <v>104</v>
      </c>
      <c r="B39" s="109"/>
      <c r="C39" s="109"/>
      <c r="D39" s="109"/>
      <c r="E39" s="109"/>
      <c r="F39" s="109"/>
      <c r="G39" s="109"/>
      <c r="H39" s="226"/>
      <c r="I39" s="45">
        <f t="shared" si="0"/>
        <v>0</v>
      </c>
      <c r="J39" s="231"/>
    </row>
    <row r="40" spans="1:10" x14ac:dyDescent="0.25">
      <c r="A40" s="111" t="s">
        <v>190</v>
      </c>
      <c r="B40" s="112"/>
      <c r="C40" s="112"/>
      <c r="D40" s="112"/>
      <c r="E40" s="112"/>
      <c r="F40" s="112"/>
      <c r="G40" s="112"/>
      <c r="H40" s="226"/>
      <c r="I40" s="45">
        <f t="shared" si="0"/>
        <v>0</v>
      </c>
      <c r="J40" s="230">
        <f>SUM(I40:I42)</f>
        <v>0</v>
      </c>
    </row>
    <row r="41" spans="1:10" x14ac:dyDescent="0.25">
      <c r="A41" s="113" t="s">
        <v>184</v>
      </c>
      <c r="B41" s="112"/>
      <c r="C41" s="112"/>
      <c r="D41" s="112"/>
      <c r="E41" s="112"/>
      <c r="F41" s="112"/>
      <c r="G41" s="112"/>
      <c r="H41" s="226"/>
      <c r="I41" s="45">
        <f t="shared" si="0"/>
        <v>0</v>
      </c>
      <c r="J41" s="231"/>
    </row>
    <row r="42" spans="1:10" x14ac:dyDescent="0.25">
      <c r="A42" s="113" t="s">
        <v>104</v>
      </c>
      <c r="B42" s="112"/>
      <c r="C42" s="112"/>
      <c r="D42" s="112"/>
      <c r="E42" s="112"/>
      <c r="F42" s="112"/>
      <c r="G42" s="112"/>
      <c r="H42" s="226"/>
      <c r="I42" s="45">
        <f t="shared" si="0"/>
        <v>0</v>
      </c>
      <c r="J42" s="231"/>
    </row>
    <row r="43" spans="1:10" x14ac:dyDescent="0.25">
      <c r="A43" s="114" t="s">
        <v>191</v>
      </c>
      <c r="B43" s="115"/>
      <c r="C43" s="115"/>
      <c r="D43" s="115"/>
      <c r="E43" s="115"/>
      <c r="F43" s="115"/>
      <c r="G43" s="115"/>
      <c r="H43" s="226"/>
      <c r="I43" s="45">
        <f t="shared" si="0"/>
        <v>0</v>
      </c>
      <c r="J43" s="230">
        <f>SUM(I43:I45)</f>
        <v>0</v>
      </c>
    </row>
    <row r="44" spans="1:10" x14ac:dyDescent="0.25">
      <c r="A44" s="116" t="s">
        <v>184</v>
      </c>
      <c r="B44" s="115"/>
      <c r="C44" s="115"/>
      <c r="D44" s="115"/>
      <c r="E44" s="115"/>
      <c r="F44" s="115"/>
      <c r="G44" s="115"/>
      <c r="H44" s="226"/>
      <c r="I44" s="45">
        <f t="shared" si="0"/>
        <v>0</v>
      </c>
      <c r="J44" s="231"/>
    </row>
    <row r="45" spans="1:10" x14ac:dyDescent="0.25">
      <c r="A45" s="116" t="s">
        <v>104</v>
      </c>
      <c r="B45" s="115"/>
      <c r="C45" s="115"/>
      <c r="D45" s="115"/>
      <c r="E45" s="115"/>
      <c r="F45" s="115"/>
      <c r="G45" s="115"/>
      <c r="H45" s="226"/>
      <c r="I45" s="45">
        <f t="shared" si="0"/>
        <v>0</v>
      </c>
      <c r="J45" s="231"/>
    </row>
    <row r="46" spans="1:10" x14ac:dyDescent="0.25">
      <c r="A46" s="117" t="s">
        <v>192</v>
      </c>
      <c r="B46" s="118"/>
      <c r="C46" s="118"/>
      <c r="D46" s="118"/>
      <c r="E46" s="118"/>
      <c r="F46" s="118"/>
      <c r="G46" s="118"/>
      <c r="H46" s="226"/>
      <c r="I46" s="45">
        <f t="shared" si="0"/>
        <v>0</v>
      </c>
      <c r="J46" s="230">
        <f>SUM(I46:I48)</f>
        <v>0</v>
      </c>
    </row>
    <row r="47" spans="1:10" x14ac:dyDescent="0.25">
      <c r="A47" s="119" t="s">
        <v>184</v>
      </c>
      <c r="B47" s="118"/>
      <c r="C47" s="118"/>
      <c r="D47" s="118"/>
      <c r="E47" s="118"/>
      <c r="F47" s="118"/>
      <c r="G47" s="118"/>
      <c r="H47" s="226"/>
      <c r="I47" s="45">
        <f t="shared" si="0"/>
        <v>0</v>
      </c>
      <c r="J47" s="231"/>
    </row>
    <row r="48" spans="1:10" x14ac:dyDescent="0.25">
      <c r="A48" s="119" t="s">
        <v>104</v>
      </c>
      <c r="B48" s="118"/>
      <c r="C48" s="118"/>
      <c r="D48" s="118"/>
      <c r="E48" s="118"/>
      <c r="F48" s="118"/>
      <c r="G48" s="118"/>
      <c r="H48" s="226"/>
      <c r="I48" s="45">
        <f t="shared" si="0"/>
        <v>0</v>
      </c>
      <c r="J48" s="231"/>
    </row>
    <row r="49" spans="1:10" x14ac:dyDescent="0.25">
      <c r="A49" s="123" t="s">
        <v>193</v>
      </c>
      <c r="B49" s="124"/>
      <c r="C49" s="124"/>
      <c r="D49" s="124"/>
      <c r="E49" s="124"/>
      <c r="F49" s="124"/>
      <c r="G49" s="124"/>
      <c r="H49" s="226"/>
      <c r="I49" s="45">
        <f t="shared" si="0"/>
        <v>0</v>
      </c>
      <c r="J49" s="230">
        <f>SUM(I49:I51)</f>
        <v>0</v>
      </c>
    </row>
    <row r="50" spans="1:10" x14ac:dyDescent="0.25">
      <c r="A50" s="125" t="s">
        <v>184</v>
      </c>
      <c r="B50" s="124"/>
      <c r="C50" s="124"/>
      <c r="D50" s="124"/>
      <c r="E50" s="124"/>
      <c r="F50" s="124"/>
      <c r="G50" s="124"/>
      <c r="H50" s="226"/>
      <c r="I50" s="45">
        <f t="shared" si="0"/>
        <v>0</v>
      </c>
      <c r="J50" s="231"/>
    </row>
    <row r="51" spans="1:10" x14ac:dyDescent="0.25">
      <c r="A51" s="125" t="s">
        <v>104</v>
      </c>
      <c r="B51" s="124"/>
      <c r="C51" s="124"/>
      <c r="D51" s="124"/>
      <c r="E51" s="124"/>
      <c r="F51" s="124"/>
      <c r="G51" s="124"/>
      <c r="H51" s="226"/>
      <c r="I51" s="45">
        <f t="shared" si="0"/>
        <v>0</v>
      </c>
      <c r="J51" s="231"/>
    </row>
    <row r="52" spans="1:10" x14ac:dyDescent="0.25">
      <c r="A52" s="101" t="s">
        <v>194</v>
      </c>
      <c r="B52" s="102"/>
      <c r="C52" s="102"/>
      <c r="D52" s="102"/>
      <c r="E52" s="102"/>
      <c r="F52" s="102"/>
      <c r="G52" s="102"/>
      <c r="H52" s="226"/>
      <c r="I52" s="45">
        <f t="shared" si="0"/>
        <v>0</v>
      </c>
      <c r="J52" s="230">
        <f>SUM(I52:I54)</f>
        <v>0</v>
      </c>
    </row>
    <row r="53" spans="1:10" x14ac:dyDescent="0.25">
      <c r="A53" s="103" t="s">
        <v>184</v>
      </c>
      <c r="B53" s="102"/>
      <c r="C53" s="102"/>
      <c r="D53" s="102"/>
      <c r="E53" s="102"/>
      <c r="F53" s="102"/>
      <c r="G53" s="102"/>
      <c r="H53" s="226"/>
      <c r="I53" s="45">
        <f t="shared" si="0"/>
        <v>0</v>
      </c>
      <c r="J53" s="231"/>
    </row>
    <row r="54" spans="1:10" x14ac:dyDescent="0.25">
      <c r="A54" s="103" t="s">
        <v>104</v>
      </c>
      <c r="B54" s="102"/>
      <c r="C54" s="102"/>
      <c r="D54" s="102"/>
      <c r="E54" s="102"/>
      <c r="F54" s="102"/>
      <c r="G54" s="102"/>
      <c r="H54" s="226"/>
      <c r="I54" s="45">
        <f t="shared" si="0"/>
        <v>0</v>
      </c>
      <c r="J54" s="231"/>
    </row>
    <row r="55" spans="1:10" x14ac:dyDescent="0.25">
      <c r="A55" s="126" t="s">
        <v>195</v>
      </c>
      <c r="B55" s="121"/>
      <c r="C55" s="121"/>
      <c r="D55" s="121"/>
      <c r="E55" s="121"/>
      <c r="F55" s="121"/>
      <c r="G55" s="121"/>
      <c r="H55" s="226"/>
      <c r="I55" s="45">
        <f t="shared" si="0"/>
        <v>0</v>
      </c>
      <c r="J55" s="230">
        <f>SUM(I55:I57)</f>
        <v>0</v>
      </c>
    </row>
    <row r="56" spans="1:10" x14ac:dyDescent="0.25">
      <c r="A56" s="122" t="s">
        <v>184</v>
      </c>
      <c r="B56" s="121"/>
      <c r="C56" s="121"/>
      <c r="D56" s="121"/>
      <c r="E56" s="121"/>
      <c r="F56" s="121"/>
      <c r="G56" s="121"/>
      <c r="H56" s="226"/>
      <c r="I56" s="45">
        <f t="shared" si="0"/>
        <v>0</v>
      </c>
      <c r="J56" s="231"/>
    </row>
    <row r="57" spans="1:10" x14ac:dyDescent="0.25">
      <c r="A57" s="122" t="s">
        <v>104</v>
      </c>
      <c r="B57" s="121"/>
      <c r="C57" s="121"/>
      <c r="D57" s="121"/>
      <c r="E57" s="121"/>
      <c r="F57" s="121"/>
      <c r="G57" s="121"/>
      <c r="H57" s="226"/>
      <c r="I57" s="45">
        <f t="shared" si="0"/>
        <v>0</v>
      </c>
      <c r="J57" s="231"/>
    </row>
    <row r="58" spans="1:10" x14ac:dyDescent="0.25">
      <c r="A58" s="108" t="s">
        <v>196</v>
      </c>
      <c r="B58" s="109"/>
      <c r="C58" s="109"/>
      <c r="D58" s="109"/>
      <c r="E58" s="109"/>
      <c r="F58" s="109"/>
      <c r="G58" s="109"/>
      <c r="H58" s="226"/>
      <c r="I58" s="45">
        <f t="shared" si="0"/>
        <v>0</v>
      </c>
      <c r="J58" s="230">
        <f>SUM(I58:I60)</f>
        <v>0</v>
      </c>
    </row>
    <row r="59" spans="1:10" x14ac:dyDescent="0.25">
      <c r="A59" s="110" t="s">
        <v>184</v>
      </c>
      <c r="B59" s="109"/>
      <c r="C59" s="109"/>
      <c r="D59" s="109"/>
      <c r="E59" s="109"/>
      <c r="F59" s="109"/>
      <c r="G59" s="109"/>
      <c r="H59" s="96"/>
      <c r="I59" s="45">
        <f t="shared" si="0"/>
        <v>0</v>
      </c>
      <c r="J59" s="231"/>
    </row>
    <row r="60" spans="1:10" x14ac:dyDescent="0.25">
      <c r="A60" s="110" t="s">
        <v>104</v>
      </c>
      <c r="B60" s="109"/>
      <c r="C60" s="109"/>
      <c r="D60" s="109"/>
      <c r="E60" s="109"/>
      <c r="F60" s="109"/>
      <c r="G60" s="109"/>
      <c r="H60" s="96"/>
      <c r="I60" s="45">
        <f t="shared" si="0"/>
        <v>0</v>
      </c>
      <c r="J60" s="231"/>
    </row>
    <row r="61" spans="1:10" x14ac:dyDescent="0.25">
      <c r="A61" s="44" t="s">
        <v>81</v>
      </c>
      <c r="B61" s="50"/>
      <c r="C61" s="50"/>
      <c r="D61" s="50"/>
      <c r="E61" s="50"/>
      <c r="F61" s="50"/>
      <c r="G61" s="50"/>
      <c r="H61" s="50"/>
      <c r="I61" s="45">
        <f t="shared" si="0"/>
        <v>0</v>
      </c>
      <c r="J61" s="127">
        <f>SUM(J25:J60)</f>
        <v>0</v>
      </c>
    </row>
    <row r="62" spans="1:10" x14ac:dyDescent="0.25">
      <c r="A62" s="89" t="s">
        <v>38</v>
      </c>
      <c r="B62" s="4"/>
      <c r="C62" s="4"/>
      <c r="D62" s="4"/>
      <c r="E62" s="4"/>
      <c r="F62" s="4"/>
      <c r="G62" s="4"/>
      <c r="H62" s="4"/>
    </row>
    <row r="63" spans="1:10" x14ac:dyDescent="0.25">
      <c r="A63" s="89" t="s">
        <v>175</v>
      </c>
      <c r="B63" s="80"/>
      <c r="C63" s="80"/>
      <c r="D63" s="80"/>
      <c r="E63" s="80"/>
      <c r="F63" s="80"/>
      <c r="G63" s="80"/>
      <c r="H63" s="4"/>
    </row>
    <row r="66" spans="1:10" x14ac:dyDescent="0.25">
      <c r="A66" s="221" t="s">
        <v>197</v>
      </c>
      <c r="B66" s="87"/>
      <c r="C66" s="87"/>
      <c r="D66" s="87"/>
      <c r="E66" s="87"/>
      <c r="F66" s="87"/>
      <c r="G66" s="87"/>
      <c r="H66" s="4"/>
    </row>
    <row r="67" spans="1:10" ht="36" customHeight="1" x14ac:dyDescent="0.25">
      <c r="A67" s="232"/>
      <c r="B67" s="91"/>
      <c r="C67" s="91"/>
      <c r="D67" s="91"/>
      <c r="E67" s="91"/>
      <c r="F67" s="91"/>
      <c r="G67" s="91"/>
      <c r="H67" s="4"/>
    </row>
    <row r="68" spans="1:10" x14ac:dyDescent="0.25">
      <c r="A68" s="19" t="s">
        <v>37</v>
      </c>
      <c r="B68" s="18"/>
      <c r="C68" s="18"/>
      <c r="D68" s="18"/>
      <c r="E68" s="18"/>
      <c r="F68" s="18"/>
      <c r="G68" s="18"/>
      <c r="H68" s="4"/>
    </row>
    <row r="69" spans="1:10" x14ac:dyDescent="0.25">
      <c r="A69" s="19" t="s">
        <v>233</v>
      </c>
      <c r="B69" s="18"/>
      <c r="C69" s="18"/>
      <c r="D69" s="18"/>
      <c r="E69" s="18"/>
      <c r="F69" s="18"/>
      <c r="G69" s="18"/>
      <c r="H69" s="4"/>
      <c r="J69" s="45"/>
    </row>
    <row r="70" spans="1:10" x14ac:dyDescent="0.25">
      <c r="A70" s="4" t="s">
        <v>185</v>
      </c>
      <c r="B70" s="88"/>
      <c r="C70" s="88"/>
      <c r="D70" s="88"/>
      <c r="E70" s="88"/>
      <c r="F70" s="88"/>
      <c r="G70" s="88"/>
      <c r="H70" s="226"/>
      <c r="I70" s="134">
        <f t="shared" ref="I70:I106" si="1">SUM(B70:G70)</f>
        <v>0</v>
      </c>
      <c r="J70" s="228">
        <f>SUM(I70:I72)</f>
        <v>0</v>
      </c>
    </row>
    <row r="71" spans="1:10" x14ac:dyDescent="0.25">
      <c r="A71" s="97" t="s">
        <v>184</v>
      </c>
      <c r="B71" s="88"/>
      <c r="C71" s="88"/>
      <c r="D71" s="88"/>
      <c r="E71" s="88"/>
      <c r="F71" s="88"/>
      <c r="G71" s="88"/>
      <c r="H71" s="226"/>
      <c r="I71" s="134">
        <f t="shared" si="1"/>
        <v>0</v>
      </c>
      <c r="J71" s="229"/>
    </row>
    <row r="72" spans="1:10" x14ac:dyDescent="0.25">
      <c r="A72" s="97" t="s">
        <v>104</v>
      </c>
      <c r="B72" s="88"/>
      <c r="C72" s="88"/>
      <c r="D72" s="88"/>
      <c r="E72" s="88"/>
      <c r="F72" s="88"/>
      <c r="G72" s="88"/>
      <c r="H72" s="226"/>
      <c r="I72" s="134">
        <f t="shared" si="1"/>
        <v>0</v>
      </c>
      <c r="J72" s="229"/>
    </row>
    <row r="73" spans="1:10" x14ac:dyDescent="0.25">
      <c r="A73" s="101" t="s">
        <v>186</v>
      </c>
      <c r="B73" s="102"/>
      <c r="C73" s="102"/>
      <c r="D73" s="102"/>
      <c r="E73" s="102"/>
      <c r="F73" s="102"/>
      <c r="G73" s="102"/>
      <c r="H73" s="226"/>
      <c r="I73" s="134">
        <f t="shared" si="1"/>
        <v>0</v>
      </c>
      <c r="J73" s="228">
        <f>SUM(I73:I75)</f>
        <v>0</v>
      </c>
    </row>
    <row r="74" spans="1:10" x14ac:dyDescent="0.25">
      <c r="A74" s="103" t="s">
        <v>184</v>
      </c>
      <c r="B74" s="102"/>
      <c r="C74" s="102"/>
      <c r="D74" s="102"/>
      <c r="E74" s="102"/>
      <c r="F74" s="102"/>
      <c r="G74" s="102"/>
      <c r="H74" s="226"/>
      <c r="I74" s="134">
        <f t="shared" si="1"/>
        <v>0</v>
      </c>
      <c r="J74" s="229"/>
    </row>
    <row r="75" spans="1:10" x14ac:dyDescent="0.25">
      <c r="A75" s="103" t="s">
        <v>104</v>
      </c>
      <c r="B75" s="102"/>
      <c r="C75" s="102"/>
      <c r="D75" s="102"/>
      <c r="E75" s="102"/>
      <c r="F75" s="102"/>
      <c r="G75" s="102"/>
      <c r="H75" s="226"/>
      <c r="I75" s="134">
        <f t="shared" si="1"/>
        <v>0</v>
      </c>
      <c r="J75" s="229"/>
    </row>
    <row r="76" spans="1:10" x14ac:dyDescent="0.25">
      <c r="A76" s="98" t="s">
        <v>187</v>
      </c>
      <c r="B76" s="99"/>
      <c r="C76" s="99"/>
      <c r="D76" s="99"/>
      <c r="E76" s="99"/>
      <c r="F76" s="99"/>
      <c r="G76" s="99"/>
      <c r="H76" s="226"/>
      <c r="I76" s="134">
        <f t="shared" si="1"/>
        <v>0</v>
      </c>
      <c r="J76" s="228">
        <f>SUM(I76:I78)</f>
        <v>0</v>
      </c>
    </row>
    <row r="77" spans="1:10" x14ac:dyDescent="0.25">
      <c r="A77" s="100" t="s">
        <v>184</v>
      </c>
      <c r="B77" s="99"/>
      <c r="C77" s="99"/>
      <c r="D77" s="99"/>
      <c r="E77" s="99"/>
      <c r="F77" s="99"/>
      <c r="G77" s="99"/>
      <c r="H77" s="226"/>
      <c r="I77" s="134">
        <f t="shared" si="1"/>
        <v>0</v>
      </c>
      <c r="J77" s="229"/>
    </row>
    <row r="78" spans="1:10" x14ac:dyDescent="0.25">
      <c r="A78" s="100" t="s">
        <v>104</v>
      </c>
      <c r="B78" s="99"/>
      <c r="C78" s="99"/>
      <c r="D78" s="99"/>
      <c r="E78" s="99"/>
      <c r="F78" s="99"/>
      <c r="G78" s="99"/>
      <c r="H78" s="226"/>
      <c r="I78" s="134">
        <f t="shared" si="1"/>
        <v>0</v>
      </c>
      <c r="J78" s="229"/>
    </row>
    <row r="79" spans="1:10" x14ac:dyDescent="0.25">
      <c r="A79" s="105" t="s">
        <v>188</v>
      </c>
      <c r="B79" s="106"/>
      <c r="C79" s="106"/>
      <c r="D79" s="106"/>
      <c r="E79" s="106"/>
      <c r="F79" s="106"/>
      <c r="G79" s="106"/>
      <c r="H79" s="226"/>
      <c r="I79" s="134">
        <f t="shared" si="1"/>
        <v>0</v>
      </c>
      <c r="J79" s="228">
        <f>SUM(I79:I81)</f>
        <v>0</v>
      </c>
    </row>
    <row r="80" spans="1:10" x14ac:dyDescent="0.25">
      <c r="A80" s="107" t="s">
        <v>184</v>
      </c>
      <c r="B80" s="106"/>
      <c r="C80" s="106"/>
      <c r="D80" s="106"/>
      <c r="E80" s="106"/>
      <c r="F80" s="106"/>
      <c r="G80" s="106"/>
      <c r="H80" s="226"/>
      <c r="I80" s="134">
        <f t="shared" si="1"/>
        <v>0</v>
      </c>
      <c r="J80" s="229"/>
    </row>
    <row r="81" spans="1:10" x14ac:dyDescent="0.25">
      <c r="A81" s="107" t="s">
        <v>104</v>
      </c>
      <c r="B81" s="106"/>
      <c r="C81" s="106"/>
      <c r="D81" s="106"/>
      <c r="E81" s="106"/>
      <c r="F81" s="106"/>
      <c r="G81" s="106"/>
      <c r="H81" s="226"/>
      <c r="I81" s="134">
        <f t="shared" si="1"/>
        <v>0</v>
      </c>
      <c r="J81" s="229"/>
    </row>
    <row r="82" spans="1:10" x14ac:dyDescent="0.25">
      <c r="A82" s="108" t="s">
        <v>189</v>
      </c>
      <c r="B82" s="109"/>
      <c r="C82" s="109"/>
      <c r="D82" s="109"/>
      <c r="E82" s="109"/>
      <c r="F82" s="109"/>
      <c r="G82" s="109"/>
      <c r="H82" s="226"/>
      <c r="I82" s="134">
        <f t="shared" si="1"/>
        <v>0</v>
      </c>
      <c r="J82" s="228">
        <f>SUM(I82:I84)</f>
        <v>0</v>
      </c>
    </row>
    <row r="83" spans="1:10" x14ac:dyDescent="0.25">
      <c r="A83" s="110" t="s">
        <v>184</v>
      </c>
      <c r="B83" s="109"/>
      <c r="C83" s="109"/>
      <c r="D83" s="109"/>
      <c r="E83" s="109"/>
      <c r="F83" s="109"/>
      <c r="G83" s="109"/>
      <c r="H83" s="226"/>
      <c r="I83" s="134">
        <f t="shared" si="1"/>
        <v>0</v>
      </c>
      <c r="J83" s="229"/>
    </row>
    <row r="84" spans="1:10" x14ac:dyDescent="0.25">
      <c r="A84" s="110" t="s">
        <v>104</v>
      </c>
      <c r="B84" s="109"/>
      <c r="C84" s="109"/>
      <c r="D84" s="109"/>
      <c r="E84" s="109"/>
      <c r="F84" s="109"/>
      <c r="G84" s="109"/>
      <c r="H84" s="226"/>
      <c r="I84" s="134">
        <f t="shared" si="1"/>
        <v>0</v>
      </c>
      <c r="J84" s="229"/>
    </row>
    <row r="85" spans="1:10" x14ac:dyDescent="0.25">
      <c r="A85" s="111" t="s">
        <v>190</v>
      </c>
      <c r="B85" s="112"/>
      <c r="C85" s="112"/>
      <c r="D85" s="112"/>
      <c r="E85" s="112"/>
      <c r="F85" s="112"/>
      <c r="G85" s="112"/>
      <c r="H85" s="226"/>
      <c r="I85" s="134">
        <f t="shared" si="1"/>
        <v>0</v>
      </c>
      <c r="J85" s="228">
        <f>SUM(I85:I87)</f>
        <v>0</v>
      </c>
    </row>
    <row r="86" spans="1:10" x14ac:dyDescent="0.25">
      <c r="A86" s="113" t="s">
        <v>184</v>
      </c>
      <c r="B86" s="112"/>
      <c r="C86" s="112"/>
      <c r="D86" s="112"/>
      <c r="E86" s="112"/>
      <c r="F86" s="112"/>
      <c r="G86" s="112"/>
      <c r="H86" s="226"/>
      <c r="I86" s="134">
        <f t="shared" si="1"/>
        <v>0</v>
      </c>
      <c r="J86" s="229"/>
    </row>
    <row r="87" spans="1:10" x14ac:dyDescent="0.25">
      <c r="A87" s="113" t="s">
        <v>104</v>
      </c>
      <c r="B87" s="112"/>
      <c r="C87" s="112"/>
      <c r="D87" s="112"/>
      <c r="E87" s="112"/>
      <c r="F87" s="112"/>
      <c r="G87" s="112"/>
      <c r="H87" s="226"/>
      <c r="I87" s="134">
        <f t="shared" si="1"/>
        <v>0</v>
      </c>
      <c r="J87" s="229"/>
    </row>
    <row r="88" spans="1:10" x14ac:dyDescent="0.25">
      <c r="A88" s="114" t="s">
        <v>191</v>
      </c>
      <c r="B88" s="115"/>
      <c r="C88" s="115"/>
      <c r="D88" s="115"/>
      <c r="E88" s="115"/>
      <c r="F88" s="115"/>
      <c r="G88" s="115"/>
      <c r="H88" s="226"/>
      <c r="I88" s="134">
        <f t="shared" si="1"/>
        <v>0</v>
      </c>
      <c r="J88" s="228">
        <f>SUM(I88:I90)</f>
        <v>0</v>
      </c>
    </row>
    <row r="89" spans="1:10" x14ac:dyDescent="0.25">
      <c r="A89" s="116" t="s">
        <v>184</v>
      </c>
      <c r="B89" s="115"/>
      <c r="C89" s="115"/>
      <c r="D89" s="115"/>
      <c r="E89" s="115"/>
      <c r="F89" s="115"/>
      <c r="G89" s="115"/>
      <c r="H89" s="226"/>
      <c r="I89" s="134">
        <f t="shared" si="1"/>
        <v>0</v>
      </c>
      <c r="J89" s="229"/>
    </row>
    <row r="90" spans="1:10" x14ac:dyDescent="0.25">
      <c r="A90" s="116" t="s">
        <v>104</v>
      </c>
      <c r="B90" s="115"/>
      <c r="C90" s="115"/>
      <c r="D90" s="115"/>
      <c r="E90" s="115"/>
      <c r="F90" s="115"/>
      <c r="G90" s="115"/>
      <c r="H90" s="226"/>
      <c r="I90" s="134">
        <f t="shared" si="1"/>
        <v>0</v>
      </c>
      <c r="J90" s="229"/>
    </row>
    <row r="91" spans="1:10" x14ac:dyDescent="0.25">
      <c r="A91" s="117" t="s">
        <v>192</v>
      </c>
      <c r="B91" s="118"/>
      <c r="C91" s="118"/>
      <c r="D91" s="118"/>
      <c r="E91" s="118"/>
      <c r="F91" s="118"/>
      <c r="G91" s="118"/>
      <c r="H91" s="226"/>
      <c r="I91" s="134">
        <f t="shared" si="1"/>
        <v>0</v>
      </c>
      <c r="J91" s="228">
        <f>SUM(I91:I93)</f>
        <v>0</v>
      </c>
    </row>
    <row r="92" spans="1:10" x14ac:dyDescent="0.25">
      <c r="A92" s="119" t="s">
        <v>184</v>
      </c>
      <c r="B92" s="118"/>
      <c r="C92" s="118"/>
      <c r="D92" s="118"/>
      <c r="E92" s="118"/>
      <c r="F92" s="118"/>
      <c r="G92" s="118"/>
      <c r="H92" s="226"/>
      <c r="I92" s="134">
        <f t="shared" si="1"/>
        <v>0</v>
      </c>
      <c r="J92" s="229"/>
    </row>
    <row r="93" spans="1:10" x14ac:dyDescent="0.25">
      <c r="A93" s="119" t="s">
        <v>104</v>
      </c>
      <c r="B93" s="118"/>
      <c r="C93" s="118"/>
      <c r="D93" s="118"/>
      <c r="E93" s="118"/>
      <c r="F93" s="118"/>
      <c r="G93" s="118"/>
      <c r="H93" s="226"/>
      <c r="I93" s="134">
        <f t="shared" si="1"/>
        <v>0</v>
      </c>
      <c r="J93" s="229"/>
    </row>
    <row r="94" spans="1:10" x14ac:dyDescent="0.25">
      <c r="A94" s="123" t="s">
        <v>193</v>
      </c>
      <c r="B94" s="124"/>
      <c r="C94" s="124"/>
      <c r="D94" s="124"/>
      <c r="E94" s="124"/>
      <c r="F94" s="124"/>
      <c r="G94" s="124"/>
      <c r="H94" s="226"/>
      <c r="I94" s="134">
        <f t="shared" si="1"/>
        <v>0</v>
      </c>
      <c r="J94" s="228">
        <f>SUM(I94:I96)</f>
        <v>0</v>
      </c>
    </row>
    <row r="95" spans="1:10" x14ac:dyDescent="0.25">
      <c r="A95" s="125" t="s">
        <v>184</v>
      </c>
      <c r="B95" s="124"/>
      <c r="C95" s="124"/>
      <c r="D95" s="124"/>
      <c r="E95" s="124"/>
      <c r="F95" s="124"/>
      <c r="G95" s="124"/>
      <c r="H95" s="226"/>
      <c r="I95" s="134">
        <f t="shared" si="1"/>
        <v>0</v>
      </c>
      <c r="J95" s="229"/>
    </row>
    <row r="96" spans="1:10" x14ac:dyDescent="0.25">
      <c r="A96" s="125" t="s">
        <v>104</v>
      </c>
      <c r="B96" s="124"/>
      <c r="C96" s="124"/>
      <c r="D96" s="124"/>
      <c r="E96" s="124"/>
      <c r="F96" s="124"/>
      <c r="G96" s="124"/>
      <c r="H96" s="226"/>
      <c r="I96" s="134">
        <f t="shared" si="1"/>
        <v>0</v>
      </c>
      <c r="J96" s="229"/>
    </row>
    <row r="97" spans="1:10" x14ac:dyDescent="0.25">
      <c r="A97" s="101" t="s">
        <v>194</v>
      </c>
      <c r="B97" s="102"/>
      <c r="C97" s="102"/>
      <c r="D97" s="102"/>
      <c r="E97" s="102"/>
      <c r="F97" s="102"/>
      <c r="G97" s="102"/>
      <c r="H97" s="226"/>
      <c r="I97" s="134">
        <f t="shared" si="1"/>
        <v>0</v>
      </c>
      <c r="J97" s="228">
        <f>SUM(I97:I99)</f>
        <v>0</v>
      </c>
    </row>
    <row r="98" spans="1:10" x14ac:dyDescent="0.25">
      <c r="A98" s="103" t="s">
        <v>184</v>
      </c>
      <c r="B98" s="102"/>
      <c r="C98" s="102"/>
      <c r="D98" s="102"/>
      <c r="E98" s="102"/>
      <c r="F98" s="102"/>
      <c r="G98" s="102"/>
      <c r="H98" s="226"/>
      <c r="I98" s="134">
        <f t="shared" si="1"/>
        <v>0</v>
      </c>
      <c r="J98" s="229"/>
    </row>
    <row r="99" spans="1:10" x14ac:dyDescent="0.25">
      <c r="A99" s="103" t="s">
        <v>104</v>
      </c>
      <c r="B99" s="102"/>
      <c r="C99" s="102"/>
      <c r="D99" s="102"/>
      <c r="E99" s="102"/>
      <c r="F99" s="102"/>
      <c r="G99" s="102"/>
      <c r="H99" s="226"/>
      <c r="I99" s="134">
        <f t="shared" si="1"/>
        <v>0</v>
      </c>
      <c r="J99" s="229"/>
    </row>
    <row r="100" spans="1:10" x14ac:dyDescent="0.25">
      <c r="A100" s="126" t="s">
        <v>195</v>
      </c>
      <c r="B100" s="121"/>
      <c r="C100" s="121"/>
      <c r="D100" s="121"/>
      <c r="E100" s="121"/>
      <c r="F100" s="121"/>
      <c r="G100" s="121"/>
      <c r="H100" s="226"/>
      <c r="I100" s="134">
        <f t="shared" si="1"/>
        <v>0</v>
      </c>
      <c r="J100" s="228">
        <f>SUM(I100:I102)</f>
        <v>0</v>
      </c>
    </row>
    <row r="101" spans="1:10" x14ac:dyDescent="0.25">
      <c r="A101" s="122" t="s">
        <v>184</v>
      </c>
      <c r="B101" s="121"/>
      <c r="C101" s="121"/>
      <c r="D101" s="121"/>
      <c r="E101" s="121"/>
      <c r="F101" s="121"/>
      <c r="G101" s="121"/>
      <c r="H101" s="226"/>
      <c r="I101" s="134">
        <f t="shared" si="1"/>
        <v>0</v>
      </c>
      <c r="J101" s="229"/>
    </row>
    <row r="102" spans="1:10" x14ac:dyDescent="0.25">
      <c r="A102" s="122" t="s">
        <v>104</v>
      </c>
      <c r="B102" s="121"/>
      <c r="C102" s="121"/>
      <c r="D102" s="121"/>
      <c r="E102" s="121"/>
      <c r="F102" s="121"/>
      <c r="G102" s="121"/>
      <c r="H102" s="226"/>
      <c r="I102" s="134">
        <f t="shared" si="1"/>
        <v>0</v>
      </c>
      <c r="J102" s="229"/>
    </row>
    <row r="103" spans="1:10" x14ac:dyDescent="0.25">
      <c r="A103" s="108" t="s">
        <v>196</v>
      </c>
      <c r="B103" s="109"/>
      <c r="C103" s="109"/>
      <c r="D103" s="109"/>
      <c r="E103" s="109"/>
      <c r="F103" s="109"/>
      <c r="G103" s="109"/>
      <c r="H103" s="226"/>
      <c r="I103" s="134">
        <f t="shared" si="1"/>
        <v>0</v>
      </c>
      <c r="J103" s="228">
        <f>SUM(I103:I105)</f>
        <v>0</v>
      </c>
    </row>
    <row r="104" spans="1:10" x14ac:dyDescent="0.25">
      <c r="A104" s="110" t="s">
        <v>184</v>
      </c>
      <c r="B104" s="109"/>
      <c r="C104" s="109"/>
      <c r="D104" s="109"/>
      <c r="E104" s="109"/>
      <c r="F104" s="109"/>
      <c r="G104" s="109"/>
      <c r="H104" s="96"/>
      <c r="I104" s="134">
        <f t="shared" si="1"/>
        <v>0</v>
      </c>
      <c r="J104" s="229"/>
    </row>
    <row r="105" spans="1:10" x14ac:dyDescent="0.25">
      <c r="A105" s="110" t="s">
        <v>104</v>
      </c>
      <c r="B105" s="109"/>
      <c r="C105" s="109"/>
      <c r="D105" s="109"/>
      <c r="E105" s="109"/>
      <c r="F105" s="109"/>
      <c r="G105" s="109"/>
      <c r="H105" s="96"/>
      <c r="I105" s="134">
        <f t="shared" si="1"/>
        <v>0</v>
      </c>
      <c r="J105" s="229"/>
    </row>
    <row r="106" spans="1:10" x14ac:dyDescent="0.25">
      <c r="A106" s="44" t="s">
        <v>81</v>
      </c>
      <c r="B106" s="50"/>
      <c r="C106" s="50"/>
      <c r="D106" s="50"/>
      <c r="E106" s="50"/>
      <c r="F106" s="50"/>
      <c r="G106" s="50"/>
      <c r="H106" s="50"/>
      <c r="I106" s="45">
        <f t="shared" si="1"/>
        <v>0</v>
      </c>
      <c r="J106" s="127">
        <f>SUM(J70:J105)</f>
        <v>0</v>
      </c>
    </row>
    <row r="107" spans="1:10" x14ac:dyDescent="0.25">
      <c r="A107" s="89" t="s">
        <v>38</v>
      </c>
      <c r="B107" s="4"/>
      <c r="C107" s="4"/>
      <c r="D107" s="4"/>
      <c r="E107" s="4"/>
      <c r="F107" s="4"/>
      <c r="G107" s="4"/>
      <c r="H107" s="4"/>
      <c r="I107" s="45" t="e">
        <f>I106-I67-G74-D80-E85-F85-C89-#REF!</f>
        <v>#REF!</v>
      </c>
      <c r="J107" s="45"/>
    </row>
    <row r="108" spans="1:10" x14ac:dyDescent="0.25">
      <c r="A108" s="89" t="s">
        <v>175</v>
      </c>
      <c r="B108" s="80"/>
      <c r="C108" s="80"/>
      <c r="D108" s="80"/>
      <c r="E108" s="80"/>
      <c r="F108" s="80"/>
      <c r="G108" s="80"/>
      <c r="H108" s="4"/>
    </row>
    <row r="109" spans="1:10" x14ac:dyDescent="0.25">
      <c r="A109" s="89" t="s">
        <v>232</v>
      </c>
      <c r="B109" s="4"/>
      <c r="C109" s="4"/>
      <c r="D109" s="4"/>
      <c r="E109" s="4"/>
      <c r="F109" s="4"/>
      <c r="G109" s="4"/>
      <c r="H109" s="4"/>
    </row>
  </sheetData>
  <mergeCells count="30">
    <mergeCell ref="J94:J96"/>
    <mergeCell ref="J97:J99"/>
    <mergeCell ref="J100:J102"/>
    <mergeCell ref="J103:J105"/>
    <mergeCell ref="A66:A67"/>
    <mergeCell ref="H70:H103"/>
    <mergeCell ref="J70:J72"/>
    <mergeCell ref="J73:J75"/>
    <mergeCell ref="J76:J78"/>
    <mergeCell ref="J79:J81"/>
    <mergeCell ref="J82:J84"/>
    <mergeCell ref="J85:J87"/>
    <mergeCell ref="J88:J90"/>
    <mergeCell ref="J91:J93"/>
    <mergeCell ref="J58:J60"/>
    <mergeCell ref="A1:A2"/>
    <mergeCell ref="H5:H16"/>
    <mergeCell ref="A22:A23"/>
    <mergeCell ref="H25:H58"/>
    <mergeCell ref="J25:J27"/>
    <mergeCell ref="J28:J30"/>
    <mergeCell ref="J31:J33"/>
    <mergeCell ref="J34:J36"/>
    <mergeCell ref="J37:J39"/>
    <mergeCell ref="J40:J42"/>
    <mergeCell ref="J43:J45"/>
    <mergeCell ref="J46:J48"/>
    <mergeCell ref="J49:J51"/>
    <mergeCell ref="J52:J54"/>
    <mergeCell ref="J55:J57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E73A3-4AC3-47AA-9F3D-2CABDDBB3815}">
  <dimension ref="A1:I30"/>
  <sheetViews>
    <sheetView topLeftCell="A22" zoomScaleNormal="100" workbookViewId="0">
      <selection activeCell="J16" sqref="J16"/>
    </sheetView>
  </sheetViews>
  <sheetFormatPr defaultRowHeight="15" x14ac:dyDescent="0.25"/>
  <cols>
    <col min="1" max="1" width="10.7109375" customWidth="1"/>
    <col min="2" max="2" width="11.7109375" bestFit="1" customWidth="1"/>
    <col min="3" max="3" width="12.85546875" customWidth="1"/>
    <col min="4" max="4" width="10.7109375" bestFit="1" customWidth="1"/>
    <col min="5" max="5" width="12.7109375" bestFit="1" customWidth="1"/>
    <col min="6" max="6" width="15.85546875" customWidth="1"/>
    <col min="7" max="7" width="10.7109375" customWidth="1"/>
    <col min="8" max="8" width="13.85546875" customWidth="1"/>
    <col min="9" max="9" width="10.7109375" bestFit="1" customWidth="1"/>
  </cols>
  <sheetData>
    <row r="1" spans="1:9" x14ac:dyDescent="0.25">
      <c r="A1" s="44">
        <v>2023</v>
      </c>
      <c r="B1" s="136" t="s">
        <v>104</v>
      </c>
      <c r="C1" s="136" t="s">
        <v>236</v>
      </c>
      <c r="D1" s="136" t="s">
        <v>237</v>
      </c>
      <c r="E1" s="136" t="s">
        <v>238</v>
      </c>
      <c r="F1" s="136" t="s">
        <v>239</v>
      </c>
      <c r="G1" s="136" t="s">
        <v>231</v>
      </c>
      <c r="H1" s="136" t="s">
        <v>169</v>
      </c>
    </row>
    <row r="2" spans="1:9" x14ac:dyDescent="0.25">
      <c r="A2" s="137">
        <v>44927</v>
      </c>
      <c r="B2" s="27">
        <v>84.21</v>
      </c>
      <c r="C2" s="27">
        <v>3202.18</v>
      </c>
      <c r="D2" s="27">
        <v>0</v>
      </c>
      <c r="E2" s="27">
        <v>0</v>
      </c>
      <c r="F2" s="27"/>
      <c r="G2" s="27">
        <v>367.34</v>
      </c>
      <c r="H2" s="27">
        <f t="shared" ref="H2:H13" si="0">SUM(B2:G2)</f>
        <v>3653.73</v>
      </c>
    </row>
    <row r="3" spans="1:9" x14ac:dyDescent="0.25">
      <c r="A3" s="137">
        <v>44958</v>
      </c>
      <c r="B3" s="27"/>
      <c r="C3" s="27">
        <v>24.41</v>
      </c>
      <c r="D3" s="27">
        <v>168.75</v>
      </c>
      <c r="E3" s="27">
        <v>671.9</v>
      </c>
      <c r="F3" s="27"/>
      <c r="G3" s="27">
        <v>489.85</v>
      </c>
      <c r="H3" s="27">
        <f t="shared" si="0"/>
        <v>1354.9099999999999</v>
      </c>
    </row>
    <row r="4" spans="1:9" x14ac:dyDescent="0.25">
      <c r="A4" s="137">
        <v>44986</v>
      </c>
      <c r="B4" s="27">
        <v>252.27</v>
      </c>
      <c r="C4" s="27">
        <f>1399.42+591.08</f>
        <v>1990.5</v>
      </c>
      <c r="D4" s="27">
        <v>392.82</v>
      </c>
      <c r="E4" s="27">
        <v>0</v>
      </c>
      <c r="F4" s="27">
        <v>78.13</v>
      </c>
      <c r="G4" s="27">
        <v>368.46</v>
      </c>
      <c r="H4" s="27">
        <f t="shared" si="0"/>
        <v>3082.1800000000003</v>
      </c>
      <c r="I4" s="8"/>
    </row>
    <row r="5" spans="1:9" x14ac:dyDescent="0.25">
      <c r="A5" s="137">
        <v>45017</v>
      </c>
      <c r="B5" s="27">
        <v>115.59</v>
      </c>
      <c r="C5" s="27">
        <v>705.83</v>
      </c>
      <c r="D5" s="27">
        <v>483.12</v>
      </c>
      <c r="E5" s="27">
        <v>632.05999999999995</v>
      </c>
      <c r="F5" s="27">
        <v>63.22</v>
      </c>
      <c r="G5" s="27">
        <v>393.35</v>
      </c>
      <c r="H5" s="27">
        <f t="shared" si="0"/>
        <v>2393.17</v>
      </c>
      <c r="I5" s="8"/>
    </row>
    <row r="6" spans="1:9" x14ac:dyDescent="0.25">
      <c r="A6" s="137">
        <v>45047</v>
      </c>
      <c r="B6" s="27">
        <v>210.46</v>
      </c>
      <c r="C6" s="27">
        <v>3737.34</v>
      </c>
      <c r="D6" s="27">
        <v>577.62</v>
      </c>
      <c r="E6" s="27">
        <v>0</v>
      </c>
      <c r="F6" s="27">
        <v>63.22</v>
      </c>
      <c r="G6" s="27">
        <v>510.51</v>
      </c>
      <c r="H6" s="27">
        <f t="shared" si="0"/>
        <v>5099.1500000000005</v>
      </c>
      <c r="I6" s="8"/>
    </row>
    <row r="7" spans="1:9" x14ac:dyDescent="0.25">
      <c r="A7" s="137">
        <v>45078</v>
      </c>
      <c r="B7" s="27">
        <v>87.3</v>
      </c>
      <c r="C7" s="27">
        <v>6026</v>
      </c>
      <c r="D7" s="27">
        <v>848.25</v>
      </c>
      <c r="E7" s="27">
        <v>1383.97</v>
      </c>
      <c r="F7" s="27">
        <v>63.22</v>
      </c>
      <c r="G7" s="27">
        <v>397.97</v>
      </c>
      <c r="H7" s="27">
        <f t="shared" si="0"/>
        <v>8806.7099999999991</v>
      </c>
      <c r="I7" s="8"/>
    </row>
    <row r="8" spans="1:9" x14ac:dyDescent="0.25">
      <c r="A8" s="137">
        <v>45108</v>
      </c>
      <c r="B8" s="27">
        <v>31.07</v>
      </c>
      <c r="C8" s="27">
        <v>278.41000000000003</v>
      </c>
      <c r="D8" s="27">
        <v>1048.45</v>
      </c>
      <c r="E8" s="27">
        <v>1214.5999999999999</v>
      </c>
      <c r="F8" s="27">
        <v>154.62</v>
      </c>
      <c r="G8" s="27">
        <v>419.3</v>
      </c>
      <c r="H8" s="27">
        <f t="shared" si="0"/>
        <v>3146.45</v>
      </c>
      <c r="I8" s="8"/>
    </row>
    <row r="9" spans="1:9" x14ac:dyDescent="0.25">
      <c r="A9" s="137">
        <v>45139</v>
      </c>
      <c r="B9" s="27">
        <v>36.24</v>
      </c>
      <c r="C9" s="27">
        <v>3518.68</v>
      </c>
      <c r="D9" s="27">
        <v>1068.82</v>
      </c>
      <c r="E9" s="27">
        <v>661.07</v>
      </c>
      <c r="F9" s="27">
        <v>63.22</v>
      </c>
      <c r="G9" s="27">
        <v>654.42999999999995</v>
      </c>
      <c r="H9" s="27">
        <f t="shared" si="0"/>
        <v>6002.46</v>
      </c>
      <c r="I9" s="8"/>
    </row>
    <row r="10" spans="1:9" x14ac:dyDescent="0.25">
      <c r="A10" s="137">
        <v>45170</v>
      </c>
      <c r="B10" s="27">
        <v>21.01</v>
      </c>
      <c r="C10" s="27">
        <f>(3154.22+312.47)</f>
        <v>3466.6899999999996</v>
      </c>
      <c r="D10" s="27">
        <v>1168.22</v>
      </c>
      <c r="E10" s="27">
        <v>0</v>
      </c>
      <c r="F10" s="27">
        <v>63.22</v>
      </c>
      <c r="G10" s="27">
        <v>401.28</v>
      </c>
      <c r="H10" s="27">
        <f t="shared" si="0"/>
        <v>5120.42</v>
      </c>
    </row>
    <row r="11" spans="1:9" x14ac:dyDescent="0.25">
      <c r="A11" s="137">
        <v>45200</v>
      </c>
      <c r="B11" s="27">
        <v>46.51</v>
      </c>
      <c r="C11" s="27">
        <v>721.81</v>
      </c>
      <c r="D11" s="27">
        <v>1226.0999999999999</v>
      </c>
      <c r="E11" s="27">
        <v>640.57000000000005</v>
      </c>
      <c r="F11" s="27">
        <v>141.74</v>
      </c>
      <c r="G11" s="27">
        <v>736.83</v>
      </c>
      <c r="H11" s="27">
        <f t="shared" si="0"/>
        <v>3513.5599999999995</v>
      </c>
    </row>
    <row r="12" spans="1:9" x14ac:dyDescent="0.25">
      <c r="A12" s="137">
        <v>45231</v>
      </c>
      <c r="B12" s="27">
        <v>31.66</v>
      </c>
      <c r="C12" s="27">
        <v>1916.35</v>
      </c>
      <c r="D12" s="27">
        <v>1258.0899999999999</v>
      </c>
      <c r="E12" s="27">
        <v>0</v>
      </c>
      <c r="F12" s="27">
        <v>64.11</v>
      </c>
      <c r="G12" s="27">
        <v>719.71</v>
      </c>
      <c r="H12" s="27">
        <f t="shared" si="0"/>
        <v>3989.92</v>
      </c>
    </row>
    <row r="13" spans="1:9" x14ac:dyDescent="0.25">
      <c r="A13" s="137">
        <v>45261</v>
      </c>
      <c r="B13" s="27">
        <v>27.91</v>
      </c>
      <c r="C13" s="27">
        <v>4639.96</v>
      </c>
      <c r="D13" s="27">
        <v>1272.83</v>
      </c>
      <c r="E13" s="27">
        <v>1449.26</v>
      </c>
      <c r="F13" s="27">
        <v>169.82</v>
      </c>
      <c r="G13" s="27">
        <v>1150.4100000000001</v>
      </c>
      <c r="H13" s="27">
        <f t="shared" si="0"/>
        <v>8710.19</v>
      </c>
    </row>
    <row r="14" spans="1:9" x14ac:dyDescent="0.25">
      <c r="A14" t="s">
        <v>250</v>
      </c>
      <c r="B14" s="138">
        <f t="shared" ref="B14:F14" si="1">SUM(B2:B13)</f>
        <v>944.23</v>
      </c>
      <c r="C14" s="138">
        <f t="shared" si="1"/>
        <v>30228.159999999996</v>
      </c>
      <c r="D14" s="138">
        <f t="shared" si="1"/>
        <v>9513.07</v>
      </c>
      <c r="E14" s="138">
        <f t="shared" si="1"/>
        <v>6653.43</v>
      </c>
      <c r="F14" s="138">
        <f t="shared" si="1"/>
        <v>924.52</v>
      </c>
      <c r="G14" s="138">
        <f>SUM(G2:G13)</f>
        <v>6609.4400000000005</v>
      </c>
      <c r="H14" s="138">
        <f>SUM(H2:H13)</f>
        <v>54872.85</v>
      </c>
    </row>
    <row r="15" spans="1:9" x14ac:dyDescent="0.25">
      <c r="B15" s="8"/>
      <c r="C15" s="8">
        <v>425948.28</v>
      </c>
      <c r="D15">
        <v>163511.70000000001</v>
      </c>
      <c r="E15" s="8">
        <v>257471.41</v>
      </c>
      <c r="F15" s="8">
        <v>86318.25</v>
      </c>
    </row>
    <row r="16" spans="1:9" x14ac:dyDescent="0.25">
      <c r="C16" s="48">
        <f>C14/C15</f>
        <v>7.0966738027443133E-2</v>
      </c>
      <c r="D16" s="48">
        <f>D14/D15</f>
        <v>5.8179751051453801E-2</v>
      </c>
      <c r="E16" s="48">
        <f>E14/E15</f>
        <v>2.5841432258439878E-2</v>
      </c>
      <c r="F16" s="48">
        <f>F14/F15</f>
        <v>1.0710597121697902E-2</v>
      </c>
    </row>
    <row r="17" spans="1:8" x14ac:dyDescent="0.25">
      <c r="A17" s="44">
        <v>2024</v>
      </c>
      <c r="B17" s="136" t="s">
        <v>104</v>
      </c>
      <c r="C17" s="136" t="s">
        <v>236</v>
      </c>
      <c r="D17" s="136" t="s">
        <v>237</v>
      </c>
      <c r="E17" s="136" t="s">
        <v>238</v>
      </c>
      <c r="F17" s="136" t="s">
        <v>239</v>
      </c>
      <c r="G17" s="136" t="s">
        <v>231</v>
      </c>
      <c r="H17" s="136" t="s">
        <v>169</v>
      </c>
    </row>
    <row r="18" spans="1:8" x14ac:dyDescent="0.25">
      <c r="A18" s="137">
        <v>45292</v>
      </c>
      <c r="B18" s="27">
        <v>0</v>
      </c>
      <c r="C18" s="27">
        <v>0</v>
      </c>
      <c r="D18" s="27">
        <v>0</v>
      </c>
      <c r="E18" s="27">
        <v>0</v>
      </c>
      <c r="F18" s="27">
        <v>0</v>
      </c>
      <c r="G18" s="27">
        <v>0</v>
      </c>
      <c r="H18" s="27">
        <f t="shared" ref="H18:H29" si="2">SUM(B18:G18)</f>
        <v>0</v>
      </c>
    </row>
    <row r="19" spans="1:8" x14ac:dyDescent="0.25">
      <c r="A19" s="137">
        <v>45323</v>
      </c>
      <c r="B19" s="27">
        <v>0</v>
      </c>
      <c r="C19" s="27">
        <v>0</v>
      </c>
      <c r="D19" s="27">
        <v>0</v>
      </c>
      <c r="E19" s="27">
        <v>0</v>
      </c>
      <c r="F19" s="27">
        <v>0</v>
      </c>
      <c r="G19" s="27">
        <v>0</v>
      </c>
      <c r="H19" s="27">
        <f t="shared" si="2"/>
        <v>0</v>
      </c>
    </row>
    <row r="20" spans="1:8" x14ac:dyDescent="0.25">
      <c r="A20" s="137">
        <v>45352</v>
      </c>
      <c r="B20" s="27">
        <v>0</v>
      </c>
      <c r="C20" s="27">
        <v>0</v>
      </c>
      <c r="D20" s="27">
        <v>0</v>
      </c>
      <c r="E20" s="27">
        <v>0</v>
      </c>
      <c r="F20" s="27">
        <v>0</v>
      </c>
      <c r="G20" s="27">
        <v>0</v>
      </c>
      <c r="H20" s="27">
        <f t="shared" si="2"/>
        <v>0</v>
      </c>
    </row>
    <row r="21" spans="1:8" x14ac:dyDescent="0.25">
      <c r="A21" s="137">
        <v>45383</v>
      </c>
      <c r="B21" s="27">
        <v>0</v>
      </c>
      <c r="C21" s="27">
        <v>0</v>
      </c>
      <c r="D21" s="27">
        <v>0</v>
      </c>
      <c r="E21" s="27">
        <v>0</v>
      </c>
      <c r="F21" s="27">
        <v>0</v>
      </c>
      <c r="G21" s="27">
        <v>0</v>
      </c>
      <c r="H21" s="27">
        <f t="shared" si="2"/>
        <v>0</v>
      </c>
    </row>
    <row r="22" spans="1:8" x14ac:dyDescent="0.25">
      <c r="A22" s="137">
        <v>45413</v>
      </c>
      <c r="B22" s="27">
        <v>0</v>
      </c>
      <c r="C22" s="27">
        <v>0</v>
      </c>
      <c r="D22" s="27">
        <v>0</v>
      </c>
      <c r="E22" s="27">
        <v>0</v>
      </c>
      <c r="F22" s="27">
        <v>0</v>
      </c>
      <c r="G22" s="27">
        <v>0</v>
      </c>
      <c r="H22" s="27">
        <f t="shared" si="2"/>
        <v>0</v>
      </c>
    </row>
    <row r="23" spans="1:8" x14ac:dyDescent="0.25">
      <c r="A23" s="137">
        <v>45444</v>
      </c>
      <c r="B23" s="27">
        <v>0</v>
      </c>
      <c r="C23" s="27">
        <v>0</v>
      </c>
      <c r="D23" s="27">
        <v>0</v>
      </c>
      <c r="E23" s="27">
        <v>0</v>
      </c>
      <c r="F23" s="27">
        <v>0</v>
      </c>
      <c r="G23" s="27">
        <v>0</v>
      </c>
      <c r="H23" s="27">
        <f t="shared" si="2"/>
        <v>0</v>
      </c>
    </row>
    <row r="24" spans="1:8" x14ac:dyDescent="0.25">
      <c r="A24" s="137">
        <v>45474</v>
      </c>
      <c r="B24" s="27">
        <v>0</v>
      </c>
      <c r="C24" s="27">
        <v>0</v>
      </c>
      <c r="D24" s="27">
        <v>0</v>
      </c>
      <c r="E24" s="27">
        <v>0</v>
      </c>
      <c r="F24" s="27">
        <v>0</v>
      </c>
      <c r="G24" s="27">
        <v>0</v>
      </c>
      <c r="H24" s="27">
        <f t="shared" si="2"/>
        <v>0</v>
      </c>
    </row>
    <row r="25" spans="1:8" x14ac:dyDescent="0.25">
      <c r="A25" s="137">
        <v>45505</v>
      </c>
      <c r="B25" s="27">
        <v>0</v>
      </c>
      <c r="C25" s="27">
        <v>0</v>
      </c>
      <c r="D25" s="27">
        <v>0</v>
      </c>
      <c r="E25" s="27">
        <v>0</v>
      </c>
      <c r="F25" s="27">
        <v>0</v>
      </c>
      <c r="G25" s="27">
        <v>0</v>
      </c>
      <c r="H25" s="27">
        <f t="shared" si="2"/>
        <v>0</v>
      </c>
    </row>
    <row r="26" spans="1:8" x14ac:dyDescent="0.25">
      <c r="A26" s="137">
        <v>45536</v>
      </c>
      <c r="B26" s="27">
        <v>0</v>
      </c>
      <c r="C26" s="27">
        <v>0</v>
      </c>
      <c r="D26" s="27">
        <v>0</v>
      </c>
      <c r="E26" s="27">
        <v>0</v>
      </c>
      <c r="F26" s="27">
        <v>0</v>
      </c>
      <c r="G26" s="27">
        <v>0</v>
      </c>
      <c r="H26" s="27">
        <f t="shared" si="2"/>
        <v>0</v>
      </c>
    </row>
    <row r="27" spans="1:8" x14ac:dyDescent="0.25">
      <c r="A27" s="137">
        <v>45566</v>
      </c>
      <c r="B27" s="27">
        <v>0</v>
      </c>
      <c r="C27" s="27">
        <v>0</v>
      </c>
      <c r="D27" s="27">
        <v>0</v>
      </c>
      <c r="E27" s="27">
        <v>0</v>
      </c>
      <c r="F27" s="27">
        <v>0</v>
      </c>
      <c r="G27" s="27">
        <v>0</v>
      </c>
      <c r="H27" s="27">
        <f t="shared" si="2"/>
        <v>0</v>
      </c>
    </row>
    <row r="28" spans="1:8" x14ac:dyDescent="0.25">
      <c r="A28" s="137">
        <v>45597</v>
      </c>
      <c r="B28" s="27">
        <v>0</v>
      </c>
      <c r="C28" s="27">
        <v>0</v>
      </c>
      <c r="D28" s="27">
        <v>0</v>
      </c>
      <c r="E28" s="27">
        <v>0</v>
      </c>
      <c r="F28" s="27">
        <v>0</v>
      </c>
      <c r="G28" s="27">
        <v>0</v>
      </c>
      <c r="H28" s="27">
        <f t="shared" si="2"/>
        <v>0</v>
      </c>
    </row>
    <row r="29" spans="1:8" x14ac:dyDescent="0.25">
      <c r="A29" s="137">
        <v>45627</v>
      </c>
      <c r="B29" s="27">
        <v>0</v>
      </c>
      <c r="C29" s="27">
        <v>0</v>
      </c>
      <c r="D29" s="27">
        <v>0</v>
      </c>
      <c r="E29" s="27">
        <v>0</v>
      </c>
      <c r="F29" s="27">
        <v>0</v>
      </c>
      <c r="G29" s="27">
        <v>0</v>
      </c>
      <c r="H29" s="27">
        <f t="shared" si="2"/>
        <v>0</v>
      </c>
    </row>
    <row r="30" spans="1:8" x14ac:dyDescent="0.25">
      <c r="A30" t="s">
        <v>255</v>
      </c>
      <c r="B30" s="138">
        <f t="shared" ref="B30:F30" si="3">SUM(B18:B29)</f>
        <v>0</v>
      </c>
      <c r="C30" s="138">
        <f t="shared" si="3"/>
        <v>0</v>
      </c>
      <c r="D30" s="138">
        <f t="shared" si="3"/>
        <v>0</v>
      </c>
      <c r="E30" s="138">
        <f t="shared" si="3"/>
        <v>0</v>
      </c>
      <c r="F30" s="138">
        <f t="shared" si="3"/>
        <v>0</v>
      </c>
      <c r="G30" s="138">
        <f>SUM(G18:G29)</f>
        <v>0</v>
      </c>
      <c r="H30" s="138">
        <f>SUM(H18:H29)</f>
        <v>0</v>
      </c>
    </row>
  </sheetData>
  <pageMargins left="0.511811024" right="0.511811024" top="0.78740157499999996" bottom="0.78740157499999996" header="0.31496062000000002" footer="0.31496062000000002"/>
  <drawing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52322-206D-4B31-8F56-B439B96E9776}">
  <dimension ref="A1:J7"/>
  <sheetViews>
    <sheetView tabSelected="1" zoomScale="80" zoomScaleNormal="80" workbookViewId="0">
      <selection activeCell="E4" sqref="E4"/>
    </sheetView>
  </sheetViews>
  <sheetFormatPr defaultRowHeight="15" x14ac:dyDescent="0.25"/>
  <cols>
    <col min="1" max="1" width="22.28515625" bestFit="1" customWidth="1"/>
    <col min="2" max="2" width="16.7109375" customWidth="1"/>
    <col min="3" max="3" width="11.7109375" customWidth="1"/>
    <col min="4" max="4" width="10.140625" bestFit="1" customWidth="1"/>
    <col min="5" max="5" width="13.7109375" bestFit="1" customWidth="1"/>
    <col min="6" max="6" width="18.7109375" bestFit="1" customWidth="1"/>
    <col min="8" max="8" width="19.85546875" bestFit="1" customWidth="1"/>
    <col min="9" max="9" width="12.42578125" customWidth="1"/>
    <col min="10" max="10" width="15.85546875" customWidth="1"/>
  </cols>
  <sheetData>
    <row r="1" spans="1:10" x14ac:dyDescent="0.25">
      <c r="A1" s="132" t="s">
        <v>167</v>
      </c>
      <c r="B1" s="132" t="s">
        <v>42</v>
      </c>
      <c r="C1" s="132" t="s">
        <v>14</v>
      </c>
      <c r="D1" s="132" t="s">
        <v>170</v>
      </c>
      <c r="E1" s="132" t="s">
        <v>171</v>
      </c>
      <c r="F1" s="132" t="s">
        <v>172</v>
      </c>
      <c r="H1" s="132" t="s">
        <v>167</v>
      </c>
      <c r="I1" s="132" t="s">
        <v>170</v>
      </c>
      <c r="J1" s="132" t="s">
        <v>171</v>
      </c>
    </row>
    <row r="2" spans="1:10" x14ac:dyDescent="0.25">
      <c r="A2" s="4" t="s">
        <v>229</v>
      </c>
      <c r="B2" s="131">
        <f>277971+155084.62</f>
        <v>433055.62</v>
      </c>
      <c r="C2" s="80">
        <f>B2/B7</f>
        <v>0.28407015526703872</v>
      </c>
      <c r="D2" s="80">
        <v>0.25</v>
      </c>
      <c r="E2" s="27">
        <f>$B$7*D2</f>
        <v>381116.78749999998</v>
      </c>
      <c r="F2" s="27">
        <f>E2-B2</f>
        <v>-51938.832500000019</v>
      </c>
      <c r="H2" s="4" t="s">
        <v>229</v>
      </c>
      <c r="I2" s="80">
        <v>0.25</v>
      </c>
      <c r="J2" s="27">
        <f>$B$7*I2</f>
        <v>381116.78749999998</v>
      </c>
    </row>
    <row r="3" spans="1:10" x14ac:dyDescent="0.25">
      <c r="A3" s="4" t="s">
        <v>230</v>
      </c>
      <c r="B3" s="131">
        <f>152544+270431.76</f>
        <v>422975.76</v>
      </c>
      <c r="C3" s="80">
        <f>B3/B7</f>
        <v>0.27745810068783711</v>
      </c>
      <c r="D3" s="80">
        <v>0.25</v>
      </c>
      <c r="E3" s="27">
        <f>$B$7*D3</f>
        <v>381116.78749999998</v>
      </c>
      <c r="F3" s="27">
        <f t="shared" ref="F3:F6" si="0">E3-B3</f>
        <v>-41858.972500000033</v>
      </c>
      <c r="H3" s="4" t="s">
        <v>230</v>
      </c>
      <c r="I3" s="80">
        <v>0.25</v>
      </c>
      <c r="J3" s="27">
        <f>$B$7*I3</f>
        <v>381116.78749999998</v>
      </c>
    </row>
    <row r="4" spans="1:10" x14ac:dyDescent="0.25">
      <c r="A4" s="4" t="s">
        <v>168</v>
      </c>
      <c r="B4" s="131">
        <f>234894.1+9645.35</f>
        <v>244539.45</v>
      </c>
      <c r="C4" s="80">
        <f>B4/B7</f>
        <v>0.1604097864621091</v>
      </c>
      <c r="D4" s="80">
        <v>0.25</v>
      </c>
      <c r="E4" s="27">
        <f>$B$7*D4</f>
        <v>381116.78749999998</v>
      </c>
      <c r="F4" s="27">
        <f t="shared" si="0"/>
        <v>136577.33749999997</v>
      </c>
      <c r="H4" s="4" t="s">
        <v>168</v>
      </c>
      <c r="I4" s="80">
        <v>0.2</v>
      </c>
      <c r="J4" s="27">
        <f>$B$7*I4</f>
        <v>304893.43</v>
      </c>
    </row>
    <row r="5" spans="1:10" x14ac:dyDescent="0.25">
      <c r="A5" s="4" t="s">
        <v>228</v>
      </c>
      <c r="B5" s="131">
        <f>62465.11+228680.56</f>
        <v>291145.67</v>
      </c>
      <c r="C5" s="80">
        <f>B5/B7</f>
        <v>0.19098192440552098</v>
      </c>
      <c r="D5" s="80">
        <v>0.19</v>
      </c>
      <c r="E5" s="27">
        <f>$B$7*D5</f>
        <v>289648.7585</v>
      </c>
      <c r="F5" s="27">
        <f t="shared" si="0"/>
        <v>-1496.9114999999874</v>
      </c>
      <c r="H5" s="4" t="s">
        <v>228</v>
      </c>
      <c r="I5" s="80">
        <v>0.25</v>
      </c>
      <c r="J5" s="27">
        <f>$B$7*I5</f>
        <v>381116.78749999998</v>
      </c>
    </row>
    <row r="6" spans="1:10" x14ac:dyDescent="0.25">
      <c r="A6" s="4" t="s">
        <v>227</v>
      </c>
      <c r="B6" s="131">
        <v>132750.65</v>
      </c>
      <c r="C6" s="80">
        <f>B6/B7</f>
        <v>8.7080033177494187E-2</v>
      </c>
      <c r="D6" s="80">
        <v>0.06</v>
      </c>
      <c r="E6" s="27">
        <f>$B$7*D6</f>
        <v>91468.028999999995</v>
      </c>
      <c r="F6" s="27">
        <f t="shared" si="0"/>
        <v>-41282.620999999999</v>
      </c>
      <c r="H6" s="4" t="s">
        <v>227</v>
      </c>
      <c r="I6" s="80">
        <v>0.05</v>
      </c>
      <c r="J6" s="27">
        <f>$B$7*I6</f>
        <v>76223.357499999998</v>
      </c>
    </row>
    <row r="7" spans="1:10" x14ac:dyDescent="0.25">
      <c r="A7" s="4" t="s">
        <v>169</v>
      </c>
      <c r="B7" s="27">
        <f>SUM(B2:B6)</f>
        <v>1524467.15</v>
      </c>
      <c r="C7" s="80">
        <f>B7/B7</f>
        <v>1</v>
      </c>
      <c r="D7" s="80">
        <f>SUM(D2:D6)</f>
        <v>1</v>
      </c>
      <c r="E7" s="4"/>
      <c r="F7" s="4"/>
      <c r="H7" s="4" t="s">
        <v>169</v>
      </c>
      <c r="I7" s="80">
        <f>SUM(I2:I6)</f>
        <v>1</v>
      </c>
      <c r="J7" s="27">
        <f>SUM(J2:J6)</f>
        <v>1524467.15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81B70-7D81-4C89-A357-14E53240576C}">
  <dimension ref="D1:AC15"/>
  <sheetViews>
    <sheetView topLeftCell="R1" zoomScale="85" zoomScaleNormal="85" workbookViewId="0">
      <selection activeCell="R1" sqref="R1:AC1"/>
    </sheetView>
  </sheetViews>
  <sheetFormatPr defaultRowHeight="15" x14ac:dyDescent="0.25"/>
  <cols>
    <col min="5" max="5" width="10.42578125" bestFit="1" customWidth="1"/>
    <col min="6" max="6" width="15.28515625" bestFit="1" customWidth="1"/>
    <col min="7" max="7" width="15.28515625" customWidth="1"/>
    <col min="8" max="8" width="18.5703125" bestFit="1" customWidth="1"/>
    <col min="12" max="12" width="9.5703125" bestFit="1" customWidth="1"/>
    <col min="13" max="13" width="11" bestFit="1" customWidth="1"/>
    <col min="14" max="14" width="11" customWidth="1"/>
    <col min="15" max="15" width="19.42578125" customWidth="1"/>
    <col min="16" max="16" width="15.5703125" customWidth="1"/>
    <col min="17" max="18" width="20.85546875" customWidth="1"/>
    <col min="19" max="19" width="21.42578125" customWidth="1"/>
    <col min="20" max="20" width="31.140625" customWidth="1"/>
    <col min="21" max="21" width="26.28515625" customWidth="1"/>
    <col min="22" max="22" width="22.140625" customWidth="1"/>
    <col min="23" max="23" width="15.5703125" customWidth="1"/>
    <col min="24" max="24" width="15.42578125" customWidth="1"/>
    <col min="25" max="25" width="14.28515625" customWidth="1"/>
    <col min="27" max="27" width="16.42578125" customWidth="1"/>
    <col min="28" max="28" width="40.28515625" bestFit="1" customWidth="1"/>
    <col min="29" max="29" width="19.28515625" bestFit="1" customWidth="1"/>
  </cols>
  <sheetData>
    <row r="1" spans="4:29" ht="15.75" x14ac:dyDescent="0.25">
      <c r="D1" s="62" t="s">
        <v>134</v>
      </c>
      <c r="E1" s="62" t="s">
        <v>162</v>
      </c>
      <c r="F1" s="62" t="s">
        <v>163</v>
      </c>
      <c r="G1" s="62" t="s">
        <v>164</v>
      </c>
      <c r="H1" s="62" t="s">
        <v>135</v>
      </c>
      <c r="I1" s="62" t="s">
        <v>136</v>
      </c>
      <c r="J1" s="62" t="s">
        <v>84</v>
      </c>
      <c r="K1" s="62" t="s">
        <v>137</v>
      </c>
      <c r="L1" s="62" t="s">
        <v>42</v>
      </c>
      <c r="M1" s="62" t="s">
        <v>138</v>
      </c>
      <c r="N1" s="62" t="s">
        <v>139</v>
      </c>
      <c r="O1" s="62" t="s">
        <v>140</v>
      </c>
      <c r="P1" s="62" t="s">
        <v>92</v>
      </c>
      <c r="Q1" s="62" t="s">
        <v>141</v>
      </c>
      <c r="R1" s="62" t="s">
        <v>142</v>
      </c>
      <c r="S1" s="62" t="s">
        <v>143</v>
      </c>
      <c r="T1" s="62" t="s">
        <v>144</v>
      </c>
      <c r="U1" s="62" t="s">
        <v>145</v>
      </c>
      <c r="V1" s="62" t="s">
        <v>146</v>
      </c>
      <c r="W1" s="62" t="s">
        <v>147</v>
      </c>
      <c r="X1" s="62" t="s">
        <v>148</v>
      </c>
      <c r="Y1" s="62" t="s">
        <v>149</v>
      </c>
      <c r="Z1" s="62" t="s">
        <v>150</v>
      </c>
      <c r="AA1" s="62" t="s">
        <v>151</v>
      </c>
      <c r="AB1" s="62" t="s">
        <v>152</v>
      </c>
      <c r="AC1" s="62" t="s">
        <v>153</v>
      </c>
    </row>
    <row r="2" spans="4:29" x14ac:dyDescent="0.25">
      <c r="D2" s="4" t="s">
        <v>9</v>
      </c>
      <c r="E2" s="80">
        <v>2.23E-2</v>
      </c>
      <c r="F2" s="4">
        <v>12.69</v>
      </c>
      <c r="G2" s="80">
        <f>(0.9283/12.69)</f>
        <v>7.3152088258471235E-2</v>
      </c>
      <c r="H2" s="4" t="e">
        <f ca="1">_xll.GI.NomeAcao(D2)</f>
        <v>#NAME?</v>
      </c>
      <c r="I2" s="63" t="e">
        <f ca="1">_xll.GI.Escore(D2)</f>
        <v>#NAME?</v>
      </c>
      <c r="J2" s="63">
        <v>200</v>
      </c>
      <c r="K2" s="25" t="e">
        <f ca="1">_xll.GI.PrecoUltimo(D2)</f>
        <v>#NAME?</v>
      </c>
      <c r="L2" s="25" t="e">
        <f ca="1">J2*K2</f>
        <v>#NAME?</v>
      </c>
      <c r="M2" s="64" t="e">
        <f ca="1">L2/L15</f>
        <v>#NAME?</v>
      </c>
      <c r="N2" s="64">
        <v>0.01</v>
      </c>
      <c r="O2" s="65" t="e">
        <f ca="1">_xll.GI.ValorPatrimonialAcao(D2)</f>
        <v>#NAME?</v>
      </c>
      <c r="P2" s="66" t="e">
        <f ca="1">_xll.GI.DividendYield(D2)</f>
        <v>#NAME?</v>
      </c>
      <c r="Q2" s="4" t="e">
        <f ca="1">_xll.GI.ValorMercadoOk(D2)</f>
        <v>#NAME?</v>
      </c>
      <c r="R2" s="4" t="e">
        <f ca="1">_xll.GI.NivelGovernancaOk(D2)</f>
        <v>#NAME?</v>
      </c>
      <c r="S2" s="4" t="e">
        <f ca="1">_xll.GI.RentPatrLiquidoOk(D2)</f>
        <v>#NAME?</v>
      </c>
      <c r="T2" s="4" t="e">
        <f ca="1">_xll.GI.LiquidezCorrenteOk(D2)</f>
        <v>#NAME?</v>
      </c>
      <c r="U2" s="4" t="e">
        <f ca="1">_xll.GI.DivTotBrutaPatrLiqOk(D2)</f>
        <v>#NAME?</v>
      </c>
      <c r="V2" s="4" t="e">
        <f ca="1">_xll.GI.LucroLiqConst5A(D2)</f>
        <v>#NAME?</v>
      </c>
      <c r="W2" s="4" t="e">
        <f ca="1">_xll.GI.LucroLiqConst5A(D2)</f>
        <v>#NAME?</v>
      </c>
      <c r="X2" s="4" t="e">
        <f ca="1">_xll.GI.DividendoConst5A(D2)</f>
        <v>#NAME?</v>
      </c>
      <c r="Y2" s="4" t="e">
        <f ca="1">_xll.GI.PrecoValorPatrOk(D2)</f>
        <v>#NAME?</v>
      </c>
      <c r="Z2" s="4" t="e">
        <f ca="1">_xll.GI.PrecoLucroOk(D2)</f>
        <v>#NAME?</v>
      </c>
      <c r="AA2" s="4" t="e">
        <f ca="1">_xll.GI.VolumeOk(D2)</f>
        <v>#NAME?</v>
      </c>
      <c r="AB2" s="4" t="e">
        <f ca="1">_xll.GI.Segmento(D2)</f>
        <v>#NAME?</v>
      </c>
      <c r="AC2" s="4" t="e">
        <f ca="1">_xll.GI.Setor(D2)</f>
        <v>#NAME?</v>
      </c>
    </row>
    <row r="3" spans="4:29" x14ac:dyDescent="0.25">
      <c r="D3" s="4" t="s">
        <v>6</v>
      </c>
      <c r="E3" s="80">
        <v>2.7900000000000001E-2</v>
      </c>
      <c r="F3" s="4">
        <v>9.76</v>
      </c>
      <c r="G3" s="80">
        <f>0.2783/9.76</f>
        <v>2.8514344262295082E-2</v>
      </c>
      <c r="H3" s="4" t="e">
        <f ca="1">_xll.GI.NomeAcao(D3)</f>
        <v>#NAME?</v>
      </c>
      <c r="I3" s="63" t="e">
        <f ca="1">_xll.GI.Escore(D3)</f>
        <v>#NAME?</v>
      </c>
      <c r="J3" s="63">
        <v>2034</v>
      </c>
      <c r="K3" s="25" t="e">
        <f ca="1">_xll.GI.PrecoUltimo(D3)</f>
        <v>#NAME?</v>
      </c>
      <c r="L3" s="25" t="e">
        <f t="shared" ref="L3:L11" ca="1" si="0">J3*K3</f>
        <v>#NAME?</v>
      </c>
      <c r="M3" s="64" t="e">
        <f ca="1">L3/L15</f>
        <v>#NAME?</v>
      </c>
      <c r="N3" s="64">
        <v>0.09</v>
      </c>
      <c r="O3" s="65" t="e">
        <f ca="1">_xll.GI.ValorPatrimonialAcao(D3)</f>
        <v>#NAME?</v>
      </c>
      <c r="P3" s="66" t="e">
        <f ca="1">_xll.GI.DividendYield(D3)</f>
        <v>#NAME?</v>
      </c>
      <c r="Q3" s="4" t="e">
        <f ca="1">_xll.GI.ValorMercadoOk(D3)</f>
        <v>#NAME?</v>
      </c>
      <c r="R3" s="4" t="e">
        <f ca="1">_xll.GI.NivelGovernancaOk(D3)</f>
        <v>#NAME?</v>
      </c>
      <c r="S3" s="4" t="e">
        <f ca="1">_xll.GI.RentPatrLiquidoOk(D3)</f>
        <v>#NAME?</v>
      </c>
      <c r="T3" s="4" t="e">
        <f ca="1">_xll.GI.LiquidezCorrenteOk(D3)</f>
        <v>#NAME?</v>
      </c>
      <c r="U3" s="4" t="e">
        <f ca="1">_xll.GI.DivTotBrutaPatrLiqOk(D3)</f>
        <v>#NAME?</v>
      </c>
      <c r="V3" s="4" t="e">
        <f ca="1">_xll.GI.LucroLiqConst5A(D3)</f>
        <v>#NAME?</v>
      </c>
      <c r="W3" s="4" t="e">
        <f ca="1">_xll.GI.LucroLiqConst5A(D3)</f>
        <v>#NAME?</v>
      </c>
      <c r="X3" s="4" t="e">
        <f ca="1">_xll.GI.DividendoConst5A(D3)</f>
        <v>#NAME?</v>
      </c>
      <c r="Y3" s="4" t="e">
        <f ca="1">_xll.GI.PrecoValorPatrOk(D3)</f>
        <v>#NAME?</v>
      </c>
      <c r="Z3" s="4" t="e">
        <f ca="1">_xll.GI.PrecoLucroOk(D3)</f>
        <v>#NAME?</v>
      </c>
      <c r="AA3" s="4" t="e">
        <f ca="1">_xll.GI.VolumeOk(D3)</f>
        <v>#NAME?</v>
      </c>
      <c r="AB3" s="4" t="e">
        <f ca="1">_xll.GI.Segmento(D3)</f>
        <v>#NAME?</v>
      </c>
      <c r="AC3" s="4" t="e">
        <f ca="1">_xll.GI.Setor(D3)</f>
        <v>#NAME?</v>
      </c>
    </row>
    <row r="4" spans="4:29" x14ac:dyDescent="0.25">
      <c r="D4" s="4" t="s">
        <v>7</v>
      </c>
      <c r="E4" s="80">
        <v>0.1149</v>
      </c>
      <c r="F4" s="4">
        <v>27.09</v>
      </c>
      <c r="G4" s="80">
        <f>4.8422/27.09</f>
        <v>0.17874492432631967</v>
      </c>
      <c r="H4" s="4" t="e">
        <f ca="1">_xll.GI.NomeAcao(D4)</f>
        <v>#NAME?</v>
      </c>
      <c r="I4" s="63" t="e">
        <f ca="1">_xll.GI.Escore(D4)</f>
        <v>#NAME?</v>
      </c>
      <c r="J4" s="63">
        <v>500</v>
      </c>
      <c r="K4" s="25">
        <v>27.87</v>
      </c>
      <c r="L4" s="25">
        <f t="shared" ref="L4" si="1">J4*K4</f>
        <v>13935</v>
      </c>
      <c r="M4" s="64" t="e">
        <f ca="1">L4/L15</f>
        <v>#NAME?</v>
      </c>
      <c r="N4" s="64">
        <v>0.09</v>
      </c>
      <c r="O4" s="65" t="e">
        <f ca="1">_xll.GI.ValorPatrimonialAcao(D4)</f>
        <v>#NAME?</v>
      </c>
      <c r="P4" s="66" t="e">
        <f ca="1">_xll.GI.DividendYield(D4)</f>
        <v>#NAME?</v>
      </c>
      <c r="Q4" s="4" t="e">
        <f ca="1">_xll.GI.ValorMercadoOk(D4)</f>
        <v>#NAME?</v>
      </c>
      <c r="R4" s="4" t="e">
        <f ca="1">_xll.GI.NivelGovernancaOk(D4)</f>
        <v>#NAME?</v>
      </c>
      <c r="S4" s="4" t="e">
        <f ca="1">_xll.GI.RentPatrLiquidoOk(D4)</f>
        <v>#NAME?</v>
      </c>
      <c r="T4" s="4" t="e">
        <f ca="1">_xll.GI.LiquidezCorrenteOk(D4)</f>
        <v>#NAME?</v>
      </c>
      <c r="U4" s="4" t="e">
        <f ca="1">_xll.GI.DivTotBrutaPatrLiqOk(D4)</f>
        <v>#NAME?</v>
      </c>
      <c r="V4" s="4" t="e">
        <f ca="1">_xll.GI.LucroLiqConst5A(D4)</f>
        <v>#NAME?</v>
      </c>
      <c r="W4" s="4" t="e">
        <f ca="1">_xll.GI.LucroLiqConst5A(D4)</f>
        <v>#NAME?</v>
      </c>
      <c r="X4" s="4" t="e">
        <f ca="1">_xll.GI.DividendoConst5A(D4)</f>
        <v>#NAME?</v>
      </c>
      <c r="Y4" s="4" t="e">
        <f ca="1">_xll.GI.PrecoValorPatrOk(D4)</f>
        <v>#NAME?</v>
      </c>
      <c r="Z4" s="4" t="e">
        <f ca="1">_xll.GI.PrecoLucroOk(D4)</f>
        <v>#NAME?</v>
      </c>
      <c r="AA4" s="4" t="e">
        <f ca="1">_xll.GI.VolumeOk(D4)</f>
        <v>#NAME?</v>
      </c>
      <c r="AB4" s="4" t="e">
        <f ca="1">_xll.GI.Segmento(D4)</f>
        <v>#NAME?</v>
      </c>
      <c r="AC4" s="4" t="e">
        <f ca="1">_xll.GI.Setor(D4)</f>
        <v>#NAME?</v>
      </c>
    </row>
    <row r="5" spans="4:29" x14ac:dyDescent="0.25">
      <c r="D5" s="4" t="s">
        <v>94</v>
      </c>
      <c r="E5" s="80">
        <v>9.1000000000000004E-3</v>
      </c>
      <c r="F5" s="4">
        <v>18.41</v>
      </c>
      <c r="G5" s="80">
        <f>(0.3098/18.41)</f>
        <v>1.6827810972297665E-2</v>
      </c>
      <c r="H5" s="4" t="e">
        <f ca="1">_xll.GI.NomeAcao(D5)</f>
        <v>#NAME?</v>
      </c>
      <c r="I5" s="63" t="e">
        <f ca="1">_xll.GI.Escore(D5)</f>
        <v>#NAME?</v>
      </c>
      <c r="J5" s="63">
        <v>900</v>
      </c>
      <c r="K5" s="25" t="e">
        <f ca="1">_xll.GI.PrecoUltimo(D5)</f>
        <v>#NAME?</v>
      </c>
      <c r="L5" s="25" t="e">
        <f t="shared" ca="1" si="0"/>
        <v>#NAME?</v>
      </c>
      <c r="M5" s="64" t="e">
        <f ca="1">L5/L15</f>
        <v>#NAME?</v>
      </c>
      <c r="N5" s="64">
        <v>0.09</v>
      </c>
      <c r="O5" s="65" t="e">
        <f ca="1">_xll.GI.ValorPatrimonialAcao(D5)</f>
        <v>#NAME?</v>
      </c>
      <c r="P5" s="66" t="e">
        <f ca="1">_xll.GI.DividendYield(D5)</f>
        <v>#NAME?</v>
      </c>
      <c r="Q5" s="4" t="e">
        <f ca="1">_xll.GI.ValorMercadoOk(D5)</f>
        <v>#NAME?</v>
      </c>
      <c r="R5" s="4" t="e">
        <f ca="1">_xll.GI.NivelGovernancaOk(D5)</f>
        <v>#NAME?</v>
      </c>
      <c r="S5" s="4" t="e">
        <f ca="1">_xll.GI.RentPatrLiquidoOk(D5)</f>
        <v>#NAME?</v>
      </c>
      <c r="T5" s="4" t="e">
        <f ca="1">_xll.GI.LiquidezCorrenteOk(D5)</f>
        <v>#NAME?</v>
      </c>
      <c r="U5" s="4" t="e">
        <f ca="1">_xll.GI.DivTotBrutaPatrLiqOk(D5)</f>
        <v>#NAME?</v>
      </c>
      <c r="V5" s="4" t="e">
        <f ca="1">_xll.GI.LucroLiqConst5A(D5)</f>
        <v>#NAME?</v>
      </c>
      <c r="W5" s="4" t="e">
        <f ca="1">_xll.GI.LucroLiqConst5A(D5)</f>
        <v>#NAME?</v>
      </c>
      <c r="X5" s="4" t="e">
        <f ca="1">_xll.GI.DividendoConst5A(D5)</f>
        <v>#NAME?</v>
      </c>
      <c r="Y5" s="4" t="e">
        <f ca="1">_xll.GI.PrecoValorPatrOk(D5)</f>
        <v>#NAME?</v>
      </c>
      <c r="Z5" s="4" t="e">
        <f ca="1">_xll.GI.PrecoLucroOk(D5)</f>
        <v>#NAME?</v>
      </c>
      <c r="AA5" s="4" t="e">
        <f ca="1">_xll.GI.VolumeOk(D5)</f>
        <v>#NAME?</v>
      </c>
      <c r="AB5" s="4" t="e">
        <f ca="1">_xll.GI.Segmento(D5)</f>
        <v>#NAME?</v>
      </c>
      <c r="AC5" s="4" t="e">
        <f ca="1">_xll.GI.Setor(D5)</f>
        <v>#NAME?</v>
      </c>
    </row>
    <row r="6" spans="4:29" x14ac:dyDescent="0.25">
      <c r="D6" s="4" t="s">
        <v>78</v>
      </c>
      <c r="E6" s="80">
        <v>5.4300000000000001E-2</v>
      </c>
      <c r="F6" s="4">
        <v>18.47</v>
      </c>
      <c r="G6" s="80">
        <f>1.795/18.47</f>
        <v>9.718462371413103E-2</v>
      </c>
      <c r="H6" s="4" t="e">
        <f ca="1">_xll.GI.NomeAcao(D6)</f>
        <v>#NAME?</v>
      </c>
      <c r="I6" s="63" t="e">
        <f ca="1">_xll.GI.Escore(D6)</f>
        <v>#NAME?</v>
      </c>
      <c r="J6" s="63">
        <v>500</v>
      </c>
      <c r="K6" s="25" t="e">
        <f ca="1">_xll.GI.PrecoUltimo(D6)</f>
        <v>#NAME?</v>
      </c>
      <c r="L6" s="25" t="e">
        <f t="shared" ca="1" si="0"/>
        <v>#NAME?</v>
      </c>
      <c r="M6" s="64" t="e">
        <f ca="1">L6/L15</f>
        <v>#NAME?</v>
      </c>
      <c r="N6" s="64">
        <v>0.09</v>
      </c>
      <c r="O6" s="65" t="e">
        <f ca="1">_xll.GI.ValorPatrimonialAcao(D6)</f>
        <v>#NAME?</v>
      </c>
      <c r="P6" s="66" t="e">
        <f ca="1">_xll.GI.DividendYield(D6)</f>
        <v>#NAME?</v>
      </c>
      <c r="Q6" s="4" t="e">
        <f ca="1">_xll.GI.ValorMercadoOk(D6)</f>
        <v>#NAME?</v>
      </c>
      <c r="R6" s="4" t="e">
        <f ca="1">_xll.GI.NivelGovernancaOk(D6)</f>
        <v>#NAME?</v>
      </c>
      <c r="S6" s="4" t="e">
        <f ca="1">_xll.GI.RentPatrLiquidoOk(D6)</f>
        <v>#NAME?</v>
      </c>
      <c r="T6" s="4" t="e">
        <f ca="1">_xll.GI.LiquidezCorrenteOk(D6)</f>
        <v>#NAME?</v>
      </c>
      <c r="U6" s="4" t="e">
        <f ca="1">_xll.GI.DivTotBrutaPatrLiqOk(D6)</f>
        <v>#NAME?</v>
      </c>
      <c r="V6" s="4" t="e">
        <f ca="1">_xll.GI.LucroLiqConst5A(D6)</f>
        <v>#NAME?</v>
      </c>
      <c r="W6" s="4" t="e">
        <f ca="1">_xll.GI.LucroLiqConst5A(D6)</f>
        <v>#NAME?</v>
      </c>
      <c r="X6" s="4" t="e">
        <f ca="1">_xll.GI.DividendoConst5A(D6)</f>
        <v>#NAME?</v>
      </c>
      <c r="Y6" s="4" t="e">
        <f ca="1">_xll.GI.PrecoValorPatrOk(D6)</f>
        <v>#NAME?</v>
      </c>
      <c r="Z6" s="4" t="e">
        <f ca="1">_xll.GI.PrecoLucroOk(D6)</f>
        <v>#NAME?</v>
      </c>
      <c r="AA6" s="4" t="e">
        <f ca="1">_xll.GI.VolumeOk(D6)</f>
        <v>#NAME?</v>
      </c>
      <c r="AB6" s="4" t="e">
        <f ca="1">_xll.GI.Segmento(D6)</f>
        <v>#NAME?</v>
      </c>
      <c r="AC6" s="4" t="e">
        <f ca="1">_xll.GI.Setor(D6)</f>
        <v>#NAME?</v>
      </c>
    </row>
    <row r="7" spans="4:29" x14ac:dyDescent="0.25">
      <c r="D7" s="4" t="s">
        <v>76</v>
      </c>
      <c r="E7" s="80">
        <v>7.7200000000000005E-2</v>
      </c>
      <c r="F7" s="4">
        <v>8</v>
      </c>
      <c r="G7" s="80">
        <f>0.6766/8</f>
        <v>8.4574999999999997E-2</v>
      </c>
      <c r="H7" s="4" t="e">
        <f ca="1">_xll.GI.NomeAcao(D7)</f>
        <v>#NAME?</v>
      </c>
      <c r="I7" s="63" t="e">
        <f ca="1">_xll.GI.Escore(D7)</f>
        <v>#NAME?</v>
      </c>
      <c r="J7" s="63">
        <v>1500</v>
      </c>
      <c r="K7" s="25" t="e">
        <f ca="1">_xll.GI.PrecoUltimo(D7)</f>
        <v>#NAME?</v>
      </c>
      <c r="L7" s="25" t="e">
        <f t="shared" ca="1" si="0"/>
        <v>#NAME?</v>
      </c>
      <c r="M7" s="64" t="e">
        <f ca="1">L7/L15</f>
        <v>#NAME?</v>
      </c>
      <c r="N7" s="64">
        <v>0.05</v>
      </c>
      <c r="O7" s="65" t="e">
        <f ca="1">_xll.GI.ValorPatrimonialAcao(D7)</f>
        <v>#NAME?</v>
      </c>
      <c r="P7" s="66" t="e">
        <f ca="1">_xll.GI.DividendYield(D7)</f>
        <v>#NAME?</v>
      </c>
      <c r="Q7" s="4" t="e">
        <f ca="1">_xll.GI.ValorMercadoOk(D7)</f>
        <v>#NAME?</v>
      </c>
      <c r="R7" s="4" t="e">
        <f ca="1">_xll.GI.NivelGovernancaOk(D7)</f>
        <v>#NAME?</v>
      </c>
      <c r="S7" s="4" t="e">
        <f ca="1">_xll.GI.RentPatrLiquidoOk(D7)</f>
        <v>#NAME?</v>
      </c>
      <c r="T7" s="4" t="e">
        <f ca="1">_xll.GI.LiquidezCorrenteOk(D7)</f>
        <v>#NAME?</v>
      </c>
      <c r="U7" s="4" t="e">
        <f ca="1">_xll.GI.DivTotBrutaPatrLiqOk(D7)</f>
        <v>#NAME?</v>
      </c>
      <c r="V7" s="4" t="e">
        <f ca="1">_xll.GI.LucroLiqConst5A(D7)</f>
        <v>#NAME?</v>
      </c>
      <c r="W7" s="4" t="e">
        <f ca="1">_xll.GI.LucroLiqConst5A(D7)</f>
        <v>#NAME?</v>
      </c>
      <c r="X7" s="4" t="e">
        <f ca="1">_xll.GI.DividendoConst5A(D7)</f>
        <v>#NAME?</v>
      </c>
      <c r="Y7" s="4" t="e">
        <f ca="1">_xll.GI.PrecoValorPatrOk(D7)</f>
        <v>#NAME?</v>
      </c>
      <c r="Z7" s="4" t="e">
        <f ca="1">_xll.GI.PrecoLucroOk(D7)</f>
        <v>#NAME?</v>
      </c>
      <c r="AA7" s="4" t="e">
        <f ca="1">_xll.GI.VolumeOk(D7)</f>
        <v>#NAME?</v>
      </c>
      <c r="AB7" s="4" t="e">
        <f ca="1">_xll.GI.Segmento(D7)</f>
        <v>#NAME?</v>
      </c>
      <c r="AC7" s="4" t="e">
        <f ca="1">_xll.GI.Setor(D7)</f>
        <v>#NAME?</v>
      </c>
    </row>
    <row r="8" spans="4:29" x14ac:dyDescent="0.25">
      <c r="D8" s="4" t="s">
        <v>124</v>
      </c>
      <c r="E8" s="80">
        <v>2.87E-2</v>
      </c>
      <c r="F8" s="4">
        <v>20.34</v>
      </c>
      <c r="G8" s="80">
        <f>0.7291/20.34</f>
        <v>3.5845624385447396E-2</v>
      </c>
      <c r="H8" s="4" t="e">
        <f ca="1">_xll.GI.NomeAcao(D8)</f>
        <v>#NAME?</v>
      </c>
      <c r="I8" s="63" t="e">
        <f ca="1">_xll.GI.Escore(D8)</f>
        <v>#NAME?</v>
      </c>
      <c r="J8" s="63">
        <v>800</v>
      </c>
      <c r="K8" s="25" t="e">
        <f ca="1">_xll.GI.PrecoUltimo(D8)</f>
        <v>#NAME?</v>
      </c>
      <c r="L8" s="25" t="e">
        <f t="shared" ca="1" si="0"/>
        <v>#NAME?</v>
      </c>
      <c r="M8" s="64" t="e">
        <f ca="1">L8/L15</f>
        <v>#NAME?</v>
      </c>
      <c r="N8" s="64">
        <v>7.0000000000000007E-2</v>
      </c>
      <c r="O8" s="65" t="e">
        <f ca="1">_xll.GI.ValorPatrimonialAcao(D8)</f>
        <v>#NAME?</v>
      </c>
      <c r="P8" s="66" t="e">
        <f ca="1">_xll.GI.DividendYield(D8)</f>
        <v>#NAME?</v>
      </c>
      <c r="Q8" s="4" t="e">
        <f ca="1">_xll.GI.ValorMercadoOk(D8)</f>
        <v>#NAME?</v>
      </c>
      <c r="R8" s="4" t="e">
        <f ca="1">_xll.GI.NivelGovernancaOk(D8)</f>
        <v>#NAME?</v>
      </c>
      <c r="S8" s="4" t="e">
        <f ca="1">_xll.GI.RentPatrLiquidoOk(D8)</f>
        <v>#NAME?</v>
      </c>
      <c r="T8" s="4" t="e">
        <f ca="1">_xll.GI.LiquidezCorrenteOk(D8)</f>
        <v>#NAME?</v>
      </c>
      <c r="U8" s="4" t="e">
        <f ca="1">_xll.GI.DivTotBrutaPatrLiqOk(D8)</f>
        <v>#NAME?</v>
      </c>
      <c r="V8" s="4" t="e">
        <f ca="1">_xll.GI.LucroLiqConst5A(D8)</f>
        <v>#NAME?</v>
      </c>
      <c r="W8" s="4" t="e">
        <f ca="1">_xll.GI.LucroLiqConst5A(D8)</f>
        <v>#NAME?</v>
      </c>
      <c r="X8" s="4" t="e">
        <f ca="1">_xll.GI.DividendoConst5A(D8)</f>
        <v>#NAME?</v>
      </c>
      <c r="Y8" s="4" t="e">
        <f ca="1">_xll.GI.PrecoValorPatrOk(D8)</f>
        <v>#NAME?</v>
      </c>
      <c r="Z8" s="4" t="e">
        <f ca="1">_xll.GI.PrecoLucroOk(D8)</f>
        <v>#NAME?</v>
      </c>
      <c r="AA8" s="4" t="e">
        <f ca="1">_xll.GI.VolumeOk(D8)</f>
        <v>#NAME?</v>
      </c>
      <c r="AB8" s="4" t="e">
        <f ca="1">_xll.GI.Segmento(D8)</f>
        <v>#NAME?</v>
      </c>
      <c r="AC8" s="4" t="e">
        <f ca="1">_xll.GI.Setor(D8)</f>
        <v>#NAME?</v>
      </c>
    </row>
    <row r="9" spans="4:29" x14ac:dyDescent="0.25">
      <c r="D9" s="4" t="s">
        <v>123</v>
      </c>
      <c r="E9" s="80">
        <v>4.24E-2</v>
      </c>
      <c r="F9" s="4">
        <v>40.72</v>
      </c>
      <c r="G9" s="80">
        <f>1.7246/40.72</f>
        <v>4.2352652259332026E-2</v>
      </c>
      <c r="H9" s="4" t="e">
        <f ca="1">_xll.GI.NomeAcao(D9)</f>
        <v>#NAME?</v>
      </c>
      <c r="I9" s="63" t="e">
        <f ca="1">_xll.GI.Escore(D9)</f>
        <v>#NAME?</v>
      </c>
      <c r="J9" s="63">
        <v>400</v>
      </c>
      <c r="K9" s="25" t="e">
        <f ca="1">_xll.GI.PrecoUltimo(D9)</f>
        <v>#NAME?</v>
      </c>
      <c r="L9" s="25" t="e">
        <f t="shared" ca="1" si="0"/>
        <v>#NAME?</v>
      </c>
      <c r="M9" s="64" t="e">
        <f ca="1">L9/L15</f>
        <v>#NAME?</v>
      </c>
      <c r="N9" s="64">
        <v>0.06</v>
      </c>
      <c r="O9" s="65" t="e">
        <f ca="1">_xll.GI.ValorPatrimonialAcao(D9)</f>
        <v>#NAME?</v>
      </c>
      <c r="P9" s="66" t="e">
        <f ca="1">_xll.GI.DividendYield(D9)</f>
        <v>#NAME?</v>
      </c>
      <c r="Q9" s="4" t="e">
        <f ca="1">_xll.GI.ValorMercadoOk(D9)</f>
        <v>#NAME?</v>
      </c>
      <c r="R9" s="4" t="e">
        <f ca="1">_xll.GI.NivelGovernancaOk(D9)</f>
        <v>#NAME?</v>
      </c>
      <c r="S9" s="4" t="e">
        <f ca="1">_xll.GI.RentPatrLiquidoOk(D9)</f>
        <v>#NAME?</v>
      </c>
      <c r="T9" s="4" t="e">
        <f ca="1">_xll.GI.LiquidezCorrenteOk(D9)</f>
        <v>#NAME?</v>
      </c>
      <c r="U9" s="4" t="e">
        <f ca="1">_xll.GI.DivTotBrutaPatrLiqOk(D9)</f>
        <v>#NAME?</v>
      </c>
      <c r="V9" s="4" t="e">
        <f ca="1">_xll.GI.LucroLiqConst5A(D9)</f>
        <v>#NAME?</v>
      </c>
      <c r="W9" s="4" t="e">
        <f ca="1">_xll.GI.LucroLiqConst5A(D9)</f>
        <v>#NAME?</v>
      </c>
      <c r="X9" s="4" t="e">
        <f ca="1">_xll.GI.DividendoConst5A(D9)</f>
        <v>#NAME?</v>
      </c>
      <c r="Y9" s="4" t="e">
        <f ca="1">_xll.GI.PrecoValorPatrOk(D9)</f>
        <v>#NAME?</v>
      </c>
      <c r="Z9" s="4" t="e">
        <f ca="1">_xll.GI.PrecoLucroOk(D9)</f>
        <v>#NAME?</v>
      </c>
      <c r="AA9" s="4" t="e">
        <f ca="1">_xll.GI.VolumeOk(D9)</f>
        <v>#NAME?</v>
      </c>
      <c r="AB9" s="4" t="e">
        <f ca="1">_xll.GI.Segmento(D9)</f>
        <v>#NAME?</v>
      </c>
      <c r="AC9" s="4" t="e">
        <f ca="1">_xll.GI.Setor(D9)</f>
        <v>#NAME?</v>
      </c>
    </row>
    <row r="10" spans="4:29" x14ac:dyDescent="0.25">
      <c r="D10" s="4" t="s">
        <v>88</v>
      </c>
      <c r="E10" s="80">
        <v>3.3500000000000002E-2</v>
      </c>
      <c r="F10" s="4">
        <v>16.5</v>
      </c>
      <c r="G10" s="80">
        <f>0.4904/16.5</f>
        <v>2.9721212121212121E-2</v>
      </c>
      <c r="H10" s="4" t="e">
        <f ca="1">_xll.GI.NomeAcao(D10)</f>
        <v>#NAME?</v>
      </c>
      <c r="I10" s="63" t="e">
        <f ca="1">_xll.GI.Escore(D10)</f>
        <v>#NAME?</v>
      </c>
      <c r="J10" s="63">
        <v>1000</v>
      </c>
      <c r="K10" s="25" t="e">
        <f ca="1">_xll.GI.PrecoUltimo(D10)</f>
        <v>#NAME?</v>
      </c>
      <c r="L10" s="25" t="e">
        <f t="shared" ca="1" si="0"/>
        <v>#NAME?</v>
      </c>
      <c r="M10" s="64" t="e">
        <f ca="1">L10/L15</f>
        <v>#NAME?</v>
      </c>
      <c r="N10" s="64">
        <v>0.05</v>
      </c>
      <c r="O10" s="65" t="e">
        <f ca="1">_xll.GI.ValorPatrimonialAcao(D10)</f>
        <v>#NAME?</v>
      </c>
      <c r="P10" s="66" t="e">
        <f ca="1">_xll.GI.DividendYield(D10)</f>
        <v>#NAME?</v>
      </c>
      <c r="Q10" s="4" t="e">
        <f ca="1">_xll.GI.ValorMercadoOk(D10)</f>
        <v>#NAME?</v>
      </c>
      <c r="R10" s="4" t="e">
        <f ca="1">_xll.GI.NivelGovernancaOk(D10)</f>
        <v>#NAME?</v>
      </c>
      <c r="S10" s="4" t="e">
        <f ca="1">_xll.GI.RentPatrLiquidoOk(D10)</f>
        <v>#NAME?</v>
      </c>
      <c r="T10" s="4" t="e">
        <f ca="1">_xll.GI.LiquidezCorrenteOk(D10)</f>
        <v>#NAME?</v>
      </c>
      <c r="U10" s="4" t="e">
        <f ca="1">_xll.GI.DivTotBrutaPatrLiqOk(D10)</f>
        <v>#NAME?</v>
      </c>
      <c r="V10" s="4" t="e">
        <f ca="1">_xll.GI.LucroLiqConst5A(D10)</f>
        <v>#NAME?</v>
      </c>
      <c r="W10" s="4" t="e">
        <f ca="1">_xll.GI.LucroLiqConst5A(D10)</f>
        <v>#NAME?</v>
      </c>
      <c r="X10" s="4" t="e">
        <f ca="1">_xll.GI.DividendoConst5A(D10)</f>
        <v>#NAME?</v>
      </c>
      <c r="Y10" s="4" t="e">
        <f ca="1">_xll.GI.PrecoValorPatrOk(D10)</f>
        <v>#NAME?</v>
      </c>
      <c r="Z10" s="4" t="e">
        <f ca="1">_xll.GI.PrecoLucroOk(D10)</f>
        <v>#NAME?</v>
      </c>
      <c r="AA10" s="4" t="e">
        <f ca="1">_xll.GI.VolumeOk(D10)</f>
        <v>#NAME?</v>
      </c>
      <c r="AB10" s="4" t="e">
        <f ca="1">_xll.GI.Segmento(D10)</f>
        <v>#NAME?</v>
      </c>
      <c r="AC10" s="4" t="e">
        <f ca="1">_xll.GI.Setor(D10)</f>
        <v>#NAME?</v>
      </c>
    </row>
    <row r="11" spans="4:29" x14ac:dyDescent="0.25">
      <c r="D11" s="4" t="s">
        <v>126</v>
      </c>
      <c r="E11" s="80">
        <v>0</v>
      </c>
      <c r="F11" s="4"/>
      <c r="G11" s="80"/>
      <c r="H11" s="4" t="e">
        <f ca="1">_xll.GI.NomeAcao(D11)</f>
        <v>#NAME?</v>
      </c>
      <c r="I11" s="63" t="e">
        <f ca="1">_xll.GI.Escore(D11)</f>
        <v>#NAME?</v>
      </c>
      <c r="J11" s="63">
        <v>4000</v>
      </c>
      <c r="K11" s="25" t="e">
        <f ca="1">_xll.GI.PrecoUltimo(D11)</f>
        <v>#NAME?</v>
      </c>
      <c r="L11" s="25" t="e">
        <f t="shared" ca="1" si="0"/>
        <v>#NAME?</v>
      </c>
      <c r="M11" s="64" t="e">
        <f ca="1">L11/L15</f>
        <v>#NAME?</v>
      </c>
      <c r="N11" s="64">
        <v>0.01</v>
      </c>
      <c r="O11" s="65" t="e">
        <f ca="1">_xll.GI.ValorPatrimonialAcao(D11)</f>
        <v>#NAME?</v>
      </c>
      <c r="P11" s="66" t="e">
        <f ca="1">_xll.GI.DividendYield(D11)</f>
        <v>#NAME?</v>
      </c>
      <c r="Q11" s="4" t="e">
        <f ca="1">_xll.GI.ValorMercadoOk(D11)</f>
        <v>#NAME?</v>
      </c>
      <c r="R11" s="4" t="e">
        <f ca="1">_xll.GI.NivelGovernancaOk(D11)</f>
        <v>#NAME?</v>
      </c>
      <c r="S11" s="4" t="e">
        <f ca="1">_xll.GI.RentPatrLiquidoOk(D11)</f>
        <v>#NAME?</v>
      </c>
      <c r="T11" s="4" t="e">
        <f ca="1">_xll.GI.LiquidezCorrenteOk(D11)</f>
        <v>#NAME?</v>
      </c>
      <c r="U11" s="4" t="e">
        <f ca="1">_xll.GI.DivTotBrutaPatrLiqOk(D11)</f>
        <v>#NAME?</v>
      </c>
      <c r="V11" s="4" t="e">
        <f ca="1">_xll.GI.LucroLiqConst5A(D11)</f>
        <v>#NAME?</v>
      </c>
      <c r="W11" s="4" t="e">
        <f ca="1">_xll.GI.LucroLiqConst5A(D11)</f>
        <v>#NAME?</v>
      </c>
      <c r="X11" s="4" t="e">
        <f ca="1">_xll.GI.DividendoConst5A(D11)</f>
        <v>#NAME?</v>
      </c>
      <c r="Y11" s="4" t="e">
        <f ca="1">_xll.GI.PrecoValorPatrOk(D11)</f>
        <v>#NAME?</v>
      </c>
      <c r="Z11" s="4" t="e">
        <f ca="1">_xll.GI.PrecoLucroOk(D11)</f>
        <v>#NAME?</v>
      </c>
      <c r="AA11" s="4" t="e">
        <f ca="1">_xll.GI.VolumeOk(D11)</f>
        <v>#NAME?</v>
      </c>
      <c r="AB11" s="4" t="e">
        <f ca="1">_xll.GI.Segmento(D11)</f>
        <v>#NAME?</v>
      </c>
      <c r="AC11" s="4" t="e">
        <f ca="1">_xll.GI.Setor(D11)</f>
        <v>#NAME?</v>
      </c>
    </row>
    <row r="12" spans="4:29" x14ac:dyDescent="0.25">
      <c r="D12" s="21" t="s">
        <v>160</v>
      </c>
      <c r="E12" s="48">
        <v>4.8899999999999999E-2</v>
      </c>
      <c r="F12" s="21">
        <v>26.41</v>
      </c>
      <c r="G12" s="80">
        <f>1.4384/26.41</f>
        <v>5.4464218099204841E-2</v>
      </c>
      <c r="I12" s="81"/>
      <c r="J12" s="81"/>
      <c r="K12" s="11"/>
      <c r="L12" s="11"/>
      <c r="M12" s="64"/>
      <c r="N12" s="64"/>
      <c r="O12" s="82"/>
      <c r="P12" s="83"/>
    </row>
    <row r="13" spans="4:29" x14ac:dyDescent="0.25">
      <c r="D13" s="21" t="s">
        <v>159</v>
      </c>
      <c r="E13" s="48">
        <v>2.98E-2</v>
      </c>
      <c r="F13" s="21">
        <v>22.05</v>
      </c>
      <c r="G13" s="80">
        <f>0.6216/22.05</f>
        <v>2.8190476190476193E-2</v>
      </c>
      <c r="I13" s="81"/>
      <c r="J13" s="81"/>
      <c r="K13" s="11"/>
      <c r="L13" s="11"/>
      <c r="M13" s="64"/>
      <c r="N13" s="64"/>
      <c r="O13" s="82"/>
      <c r="P13" s="83"/>
    </row>
    <row r="14" spans="4:29" x14ac:dyDescent="0.25">
      <c r="D14" s="67" t="s">
        <v>17</v>
      </c>
      <c r="E14" s="84">
        <f>SUM(E2:E13)/12</f>
        <v>4.0750000000000001E-2</v>
      </c>
      <c r="G14" s="48">
        <f>SUM(G2:G13)/12</f>
        <v>5.5797747882432282E-2</v>
      </c>
      <c r="I14" s="81"/>
      <c r="J14" s="81"/>
      <c r="K14" s="11"/>
      <c r="L14" s="11"/>
      <c r="M14" s="64"/>
      <c r="N14" s="64"/>
      <c r="O14" s="82"/>
      <c r="P14" s="83"/>
    </row>
    <row r="15" spans="4:29" x14ac:dyDescent="0.25">
      <c r="E15" s="79"/>
      <c r="F15" s="79"/>
      <c r="G15" s="79"/>
      <c r="L15" s="36" t="e">
        <f ca="1">SUM(L2:L11)</f>
        <v>#NAME?</v>
      </c>
      <c r="M15" s="68" t="e">
        <f ca="1">SUM(M2:M11)</f>
        <v>#NAME?</v>
      </c>
      <c r="N15" s="68">
        <f>SUM(N2:N11)</f>
        <v>0.6100000000000001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7C1F31-8F3A-4224-A505-17CBFEF124AD}">
  <dimension ref="A1:P183"/>
  <sheetViews>
    <sheetView topLeftCell="A19" workbookViewId="0">
      <selection activeCell="F102" sqref="F102:F103"/>
    </sheetView>
  </sheetViews>
  <sheetFormatPr defaultRowHeight="15" x14ac:dyDescent="0.25"/>
  <cols>
    <col min="1" max="1" width="11.85546875" customWidth="1"/>
    <col min="2" max="2" width="12.7109375" bestFit="1" customWidth="1"/>
    <col min="3" max="3" width="14.42578125" bestFit="1" customWidth="1"/>
    <col min="4" max="4" width="8.7109375" customWidth="1"/>
    <col min="6" max="6" width="14.28515625" bestFit="1" customWidth="1"/>
    <col min="7" max="7" width="11.85546875" bestFit="1" customWidth="1"/>
    <col min="8" max="8" width="12.5703125" bestFit="1" customWidth="1"/>
    <col min="9" max="11" width="11.5703125" bestFit="1" customWidth="1"/>
    <col min="12" max="12" width="15.28515625" customWidth="1"/>
    <col min="13" max="13" width="12.5703125" bestFit="1" customWidth="1"/>
    <col min="14" max="15" width="14" customWidth="1"/>
    <col min="16" max="16" width="12.7109375" bestFit="1" customWidth="1"/>
  </cols>
  <sheetData>
    <row r="1" spans="1:16" x14ac:dyDescent="0.25">
      <c r="A1" s="23" t="s">
        <v>40</v>
      </c>
      <c r="F1" t="s">
        <v>42</v>
      </c>
      <c r="G1" t="s">
        <v>73</v>
      </c>
      <c r="H1" t="s">
        <v>183</v>
      </c>
    </row>
    <row r="2" spans="1:16" x14ac:dyDescent="0.25">
      <c r="A2" s="23">
        <v>43445</v>
      </c>
      <c r="C2" s="52" t="s">
        <v>121</v>
      </c>
      <c r="D2" s="52"/>
      <c r="E2" s="52"/>
      <c r="F2" s="94">
        <v>17985</v>
      </c>
      <c r="G2" s="24">
        <v>17985</v>
      </c>
    </row>
    <row r="3" spans="1:16" x14ac:dyDescent="0.25">
      <c r="A3" s="148">
        <v>42948</v>
      </c>
      <c r="B3" s="149"/>
      <c r="C3" s="216" t="s">
        <v>41</v>
      </c>
      <c r="D3" s="216"/>
      <c r="E3" s="216"/>
      <c r="F3" s="173">
        <v>10000</v>
      </c>
      <c r="G3" s="149">
        <v>10000</v>
      </c>
      <c r="H3">
        <v>2017</v>
      </c>
      <c r="I3">
        <v>2018</v>
      </c>
      <c r="J3">
        <v>2019</v>
      </c>
      <c r="K3">
        <v>2020</v>
      </c>
      <c r="L3">
        <v>2021</v>
      </c>
      <c r="M3">
        <v>2022</v>
      </c>
      <c r="N3">
        <v>2023</v>
      </c>
      <c r="O3">
        <v>2024</v>
      </c>
      <c r="P3" t="s">
        <v>17</v>
      </c>
    </row>
    <row r="4" spans="1:16" x14ac:dyDescent="0.25">
      <c r="A4" s="148">
        <v>42954</v>
      </c>
      <c r="B4" s="148"/>
      <c r="C4" s="216" t="s">
        <v>41</v>
      </c>
      <c r="D4" s="216"/>
      <c r="E4" s="216"/>
      <c r="F4" s="150">
        <v>54180</v>
      </c>
      <c r="G4" s="151">
        <v>54180</v>
      </c>
      <c r="H4" s="93">
        <f>H11</f>
        <v>119839.39</v>
      </c>
      <c r="I4" s="93">
        <f>H26</f>
        <v>77954.490000000005</v>
      </c>
      <c r="J4" s="93">
        <f>H38</f>
        <v>85870</v>
      </c>
      <c r="K4" s="93">
        <f>H43</f>
        <v>54058</v>
      </c>
      <c r="L4" s="93">
        <f>H53</f>
        <v>24782.05</v>
      </c>
      <c r="M4" s="93">
        <f>H68</f>
        <v>166600</v>
      </c>
      <c r="N4" s="8">
        <f>H85</f>
        <v>79776.829999999987</v>
      </c>
      <c r="O4" s="8">
        <f>H110</f>
        <v>196769.64</v>
      </c>
      <c r="P4" s="8">
        <f>SUM(H4:O4)</f>
        <v>805650.39999999991</v>
      </c>
    </row>
    <row r="5" spans="1:16" x14ac:dyDescent="0.25">
      <c r="A5" s="148">
        <v>42957</v>
      </c>
      <c r="B5" s="149"/>
      <c r="C5" s="216" t="s">
        <v>41</v>
      </c>
      <c r="D5" s="216"/>
      <c r="E5" s="216"/>
      <c r="F5" s="150">
        <v>25402.13</v>
      </c>
      <c r="G5" s="152">
        <v>25402.13</v>
      </c>
    </row>
    <row r="6" spans="1:16" x14ac:dyDescent="0.25">
      <c r="A6" s="148">
        <v>42962</v>
      </c>
      <c r="B6" s="149"/>
      <c r="C6" s="216" t="s">
        <v>41</v>
      </c>
      <c r="D6" s="216"/>
      <c r="E6" s="216"/>
      <c r="F6" s="150">
        <v>-10000</v>
      </c>
      <c r="G6" s="152">
        <v>-10000</v>
      </c>
    </row>
    <row r="7" spans="1:16" x14ac:dyDescent="0.25">
      <c r="A7" s="148">
        <v>42991</v>
      </c>
      <c r="B7" s="149"/>
      <c r="C7" s="216" t="s">
        <v>41</v>
      </c>
      <c r="D7" s="216"/>
      <c r="E7" s="216"/>
      <c r="F7" s="150">
        <v>2147.2600000000002</v>
      </c>
      <c r="G7" s="152">
        <v>2147.2600000000002</v>
      </c>
    </row>
    <row r="8" spans="1:16" x14ac:dyDescent="0.25">
      <c r="A8" s="148">
        <v>42992</v>
      </c>
      <c r="B8" s="149"/>
      <c r="C8" s="216" t="s">
        <v>41</v>
      </c>
      <c r="D8" s="216"/>
      <c r="E8" s="216"/>
      <c r="F8" s="150">
        <v>220</v>
      </c>
      <c r="G8" s="152">
        <v>220</v>
      </c>
    </row>
    <row r="9" spans="1:16" x14ac:dyDescent="0.25">
      <c r="A9" s="148">
        <v>42999</v>
      </c>
      <c r="B9" s="149"/>
      <c r="C9" s="216" t="s">
        <v>41</v>
      </c>
      <c r="D9" s="216"/>
      <c r="E9" s="216"/>
      <c r="F9" s="150">
        <v>14205</v>
      </c>
      <c r="G9" s="152">
        <v>14205</v>
      </c>
    </row>
    <row r="10" spans="1:16" x14ac:dyDescent="0.25">
      <c r="A10" s="148">
        <v>43032</v>
      </c>
      <c r="B10" s="149"/>
      <c r="C10" s="216" t="s">
        <v>41</v>
      </c>
      <c r="D10" s="216"/>
      <c r="E10" s="216"/>
      <c r="F10" s="150">
        <v>1250</v>
      </c>
      <c r="G10" s="152">
        <v>1250</v>
      </c>
    </row>
    <row r="11" spans="1:16" x14ac:dyDescent="0.25">
      <c r="A11" s="148">
        <v>43061</v>
      </c>
      <c r="B11" s="149"/>
      <c r="C11" s="216" t="s">
        <v>41</v>
      </c>
      <c r="D11" s="216"/>
      <c r="E11" s="216"/>
      <c r="F11" s="150">
        <v>4450</v>
      </c>
      <c r="G11" s="152">
        <v>4450</v>
      </c>
      <c r="H11" s="152">
        <f>SUM(G2:G11)</f>
        <v>119839.39</v>
      </c>
      <c r="I11">
        <v>2017</v>
      </c>
    </row>
    <row r="12" spans="1:16" x14ac:dyDescent="0.25">
      <c r="A12" s="153">
        <v>43138</v>
      </c>
      <c r="B12" s="154"/>
      <c r="C12" s="210" t="s">
        <v>41</v>
      </c>
      <c r="D12" s="210"/>
      <c r="E12" s="210"/>
      <c r="F12" s="155">
        <v>28050</v>
      </c>
      <c r="G12" s="156">
        <v>28050</v>
      </c>
    </row>
    <row r="13" spans="1:16" x14ac:dyDescent="0.25">
      <c r="A13" s="153">
        <v>43166</v>
      </c>
      <c r="B13" s="154"/>
      <c r="C13" s="210" t="s">
        <v>41</v>
      </c>
      <c r="D13" s="210"/>
      <c r="E13" s="210"/>
      <c r="F13" s="155">
        <v>6200</v>
      </c>
      <c r="G13" s="156">
        <v>6200</v>
      </c>
    </row>
    <row r="14" spans="1:16" x14ac:dyDescent="0.25">
      <c r="A14" s="153">
        <v>43171</v>
      </c>
      <c r="B14" s="154"/>
      <c r="C14" s="210" t="s">
        <v>41</v>
      </c>
      <c r="D14" s="210"/>
      <c r="E14" s="210"/>
      <c r="F14" s="155">
        <v>40000</v>
      </c>
      <c r="G14" s="156">
        <v>40000</v>
      </c>
    </row>
    <row r="15" spans="1:16" x14ac:dyDescent="0.25">
      <c r="A15" s="153">
        <v>43193</v>
      </c>
      <c r="B15" s="154"/>
      <c r="C15" s="210" t="s">
        <v>41</v>
      </c>
      <c r="D15" s="210"/>
      <c r="E15" s="210"/>
      <c r="F15" s="155">
        <v>-10814</v>
      </c>
      <c r="G15" s="156">
        <v>-10814</v>
      </c>
    </row>
    <row r="16" spans="1:16" x14ac:dyDescent="0.25">
      <c r="A16" s="153">
        <v>43235</v>
      </c>
      <c r="B16" s="154"/>
      <c r="C16" s="210" t="s">
        <v>41</v>
      </c>
      <c r="D16" s="210"/>
      <c r="E16" s="210"/>
      <c r="F16" s="155">
        <v>-10815.7</v>
      </c>
      <c r="G16" s="156">
        <v>-10815.7</v>
      </c>
    </row>
    <row r="17" spans="1:11" x14ac:dyDescent="0.25">
      <c r="A17" s="153">
        <v>43245</v>
      </c>
      <c r="B17" s="154"/>
      <c r="C17" s="210" t="s">
        <v>41</v>
      </c>
      <c r="D17" s="210"/>
      <c r="E17" s="210"/>
      <c r="F17" s="155">
        <v>-3262.21</v>
      </c>
      <c r="G17" s="156">
        <v>-3262.21</v>
      </c>
    </row>
    <row r="18" spans="1:11" x14ac:dyDescent="0.25">
      <c r="A18" s="153">
        <v>43277</v>
      </c>
      <c r="B18" s="154"/>
      <c r="C18" s="210" t="s">
        <v>41</v>
      </c>
      <c r="D18" s="210"/>
      <c r="E18" s="210"/>
      <c r="F18" s="155">
        <v>2170</v>
      </c>
      <c r="G18" s="156">
        <v>2170</v>
      </c>
    </row>
    <row r="19" spans="1:11" x14ac:dyDescent="0.25">
      <c r="A19" s="153">
        <v>43283</v>
      </c>
      <c r="B19" s="154"/>
      <c r="C19" s="210" t="s">
        <v>93</v>
      </c>
      <c r="D19" s="210"/>
      <c r="E19" s="210"/>
      <c r="F19" s="155">
        <v>-6003.6</v>
      </c>
      <c r="G19" s="156">
        <v>-6003.6</v>
      </c>
    </row>
    <row r="20" spans="1:11" ht="15" customHeight="1" x14ac:dyDescent="0.25">
      <c r="A20" s="153">
        <v>43334</v>
      </c>
      <c r="B20" s="154"/>
      <c r="C20" s="210" t="s">
        <v>41</v>
      </c>
      <c r="D20" s="210"/>
      <c r="E20" s="210"/>
      <c r="F20" s="155">
        <v>780</v>
      </c>
      <c r="G20" s="156">
        <v>780</v>
      </c>
    </row>
    <row r="21" spans="1:11" x14ac:dyDescent="0.25">
      <c r="A21" s="153">
        <v>43368</v>
      </c>
      <c r="B21" s="154"/>
      <c r="C21" s="210" t="s">
        <v>41</v>
      </c>
      <c r="D21" s="210"/>
      <c r="E21" s="210"/>
      <c r="F21" s="155">
        <v>3000</v>
      </c>
      <c r="G21" s="156">
        <v>3000</v>
      </c>
    </row>
    <row r="22" spans="1:11" x14ac:dyDescent="0.25">
      <c r="A22" s="153">
        <v>43404</v>
      </c>
      <c r="B22" s="154"/>
      <c r="C22" s="210" t="s">
        <v>41</v>
      </c>
      <c r="D22" s="210"/>
      <c r="E22" s="210"/>
      <c r="F22" s="155">
        <v>3150</v>
      </c>
      <c r="G22" s="156">
        <v>3150</v>
      </c>
    </row>
    <row r="23" spans="1:11" x14ac:dyDescent="0.25">
      <c r="A23" s="153">
        <v>43411</v>
      </c>
      <c r="B23" s="154"/>
      <c r="C23" s="210" t="s">
        <v>41</v>
      </c>
      <c r="D23" s="210"/>
      <c r="E23" s="210"/>
      <c r="F23" s="155">
        <v>9700</v>
      </c>
      <c r="G23" s="156">
        <v>9700</v>
      </c>
    </row>
    <row r="24" spans="1:11" x14ac:dyDescent="0.25">
      <c r="A24" s="153">
        <v>43412</v>
      </c>
      <c r="B24" s="154"/>
      <c r="C24" s="210" t="s">
        <v>41</v>
      </c>
      <c r="D24" s="210"/>
      <c r="E24" s="210"/>
      <c r="F24" s="155">
        <v>10300</v>
      </c>
      <c r="G24" s="156">
        <v>10300</v>
      </c>
    </row>
    <row r="25" spans="1:11" x14ac:dyDescent="0.25">
      <c r="A25" s="153">
        <v>43418</v>
      </c>
      <c r="B25" s="154"/>
      <c r="C25" s="210" t="s">
        <v>41</v>
      </c>
      <c r="D25" s="210"/>
      <c r="E25" s="210"/>
      <c r="F25" s="155">
        <v>2000</v>
      </c>
      <c r="G25" s="156">
        <v>2000</v>
      </c>
    </row>
    <row r="26" spans="1:11" x14ac:dyDescent="0.25">
      <c r="A26" s="153">
        <v>43444</v>
      </c>
      <c r="B26" s="154"/>
      <c r="C26" s="210" t="s">
        <v>41</v>
      </c>
      <c r="D26" s="210"/>
      <c r="E26" s="210"/>
      <c r="F26" s="155">
        <v>3500</v>
      </c>
      <c r="G26" s="156">
        <v>3500</v>
      </c>
      <c r="H26" s="156">
        <f>SUM(G12:G26)</f>
        <v>77954.490000000005</v>
      </c>
      <c r="I26" s="49"/>
      <c r="J26" s="95"/>
      <c r="K26">
        <v>2018</v>
      </c>
    </row>
    <row r="27" spans="1:11" x14ac:dyDescent="0.25">
      <c r="A27" s="157">
        <v>43495</v>
      </c>
      <c r="B27" s="158"/>
      <c r="C27" s="215" t="s">
        <v>41</v>
      </c>
      <c r="D27" s="215"/>
      <c r="E27" s="215"/>
      <c r="F27" s="159">
        <v>3000</v>
      </c>
      <c r="G27" s="160">
        <v>3000</v>
      </c>
    </row>
    <row r="28" spans="1:11" x14ac:dyDescent="0.25">
      <c r="A28" s="157">
        <v>43511</v>
      </c>
      <c r="B28" s="158"/>
      <c r="C28" s="215" t="s">
        <v>41</v>
      </c>
      <c r="D28" s="215"/>
      <c r="E28" s="215"/>
      <c r="F28" s="159">
        <v>30000</v>
      </c>
      <c r="G28" s="160">
        <v>30000</v>
      </c>
    </row>
    <row r="29" spans="1:11" x14ac:dyDescent="0.25">
      <c r="A29" s="157">
        <v>43522</v>
      </c>
      <c r="B29" s="158"/>
      <c r="C29" s="215" t="s">
        <v>41</v>
      </c>
      <c r="D29" s="215"/>
      <c r="E29" s="215"/>
      <c r="F29" s="159">
        <v>10000</v>
      </c>
      <c r="G29" s="160">
        <v>10000</v>
      </c>
    </row>
    <row r="30" spans="1:11" x14ac:dyDescent="0.25">
      <c r="A30" s="157">
        <v>43523</v>
      </c>
      <c r="B30" s="158"/>
      <c r="C30" s="215" t="s">
        <v>41</v>
      </c>
      <c r="D30" s="215"/>
      <c r="E30" s="215"/>
      <c r="F30" s="159">
        <v>15520</v>
      </c>
      <c r="G30" s="160">
        <v>15520</v>
      </c>
    </row>
    <row r="31" spans="1:11" x14ac:dyDescent="0.25">
      <c r="A31" s="157">
        <v>43585</v>
      </c>
      <c r="B31" s="158"/>
      <c r="C31" s="215" t="s">
        <v>41</v>
      </c>
      <c r="D31" s="215"/>
      <c r="E31" s="215"/>
      <c r="F31" s="159">
        <v>1000</v>
      </c>
      <c r="G31" s="160">
        <v>1000</v>
      </c>
    </row>
    <row r="32" spans="1:11" x14ac:dyDescent="0.25">
      <c r="A32" s="157">
        <v>43599</v>
      </c>
      <c r="B32" s="158"/>
      <c r="C32" s="215" t="s">
        <v>41</v>
      </c>
      <c r="D32" s="215"/>
      <c r="E32" s="215"/>
      <c r="F32" s="159">
        <v>10000</v>
      </c>
      <c r="G32" s="160">
        <v>10000</v>
      </c>
    </row>
    <row r="33" spans="1:9" x14ac:dyDescent="0.25">
      <c r="A33" s="157">
        <v>43637</v>
      </c>
      <c r="B33" s="158"/>
      <c r="C33" s="215" t="s">
        <v>41</v>
      </c>
      <c r="D33" s="215"/>
      <c r="E33" s="215"/>
      <c r="F33" s="159">
        <v>1500</v>
      </c>
      <c r="G33" s="160">
        <v>1500</v>
      </c>
    </row>
    <row r="34" spans="1:9" x14ac:dyDescent="0.25">
      <c r="A34" s="157">
        <v>43699</v>
      </c>
      <c r="B34" s="158"/>
      <c r="C34" s="215" t="s">
        <v>41</v>
      </c>
      <c r="D34" s="215"/>
      <c r="E34" s="215"/>
      <c r="F34" s="159">
        <v>3000</v>
      </c>
      <c r="G34" s="160">
        <v>3000</v>
      </c>
    </row>
    <row r="35" spans="1:9" x14ac:dyDescent="0.25">
      <c r="A35" s="157">
        <v>43725</v>
      </c>
      <c r="B35" s="158"/>
      <c r="C35" s="215" t="s">
        <v>41</v>
      </c>
      <c r="D35" s="215"/>
      <c r="E35" s="215"/>
      <c r="F35" s="159">
        <v>2000</v>
      </c>
      <c r="G35" s="160">
        <v>2000</v>
      </c>
    </row>
    <row r="36" spans="1:9" x14ac:dyDescent="0.25">
      <c r="A36" s="157">
        <v>43752</v>
      </c>
      <c r="B36" s="158"/>
      <c r="C36" s="215" t="s">
        <v>41</v>
      </c>
      <c r="D36" s="215"/>
      <c r="E36" s="215"/>
      <c r="F36" s="159">
        <v>3000</v>
      </c>
      <c r="G36" s="160">
        <v>3000</v>
      </c>
    </row>
    <row r="37" spans="1:9" x14ac:dyDescent="0.25">
      <c r="A37" s="157">
        <v>43790</v>
      </c>
      <c r="B37" s="158"/>
      <c r="C37" s="215" t="s">
        <v>41</v>
      </c>
      <c r="D37" s="215"/>
      <c r="E37" s="215"/>
      <c r="F37" s="159">
        <v>3850</v>
      </c>
      <c r="G37" s="160">
        <v>3850</v>
      </c>
    </row>
    <row r="38" spans="1:9" x14ac:dyDescent="0.25">
      <c r="A38" s="157">
        <v>43825</v>
      </c>
      <c r="B38" s="158"/>
      <c r="C38" s="215" t="s">
        <v>41</v>
      </c>
      <c r="D38" s="215"/>
      <c r="E38" s="215"/>
      <c r="F38" s="159">
        <v>3000</v>
      </c>
      <c r="G38" s="160">
        <v>3000</v>
      </c>
      <c r="H38" s="160">
        <f>SUM(G27:G38)</f>
        <v>85870</v>
      </c>
      <c r="I38">
        <v>2019</v>
      </c>
    </row>
    <row r="39" spans="1:9" x14ac:dyDescent="0.25">
      <c r="A39" s="161">
        <v>43853</v>
      </c>
      <c r="B39" s="162"/>
      <c r="C39" s="214" t="s">
        <v>41</v>
      </c>
      <c r="D39" s="214"/>
      <c r="E39" s="214"/>
      <c r="F39" s="163">
        <v>10000</v>
      </c>
      <c r="G39" s="164">
        <v>10000</v>
      </c>
    </row>
    <row r="40" spans="1:9" x14ac:dyDescent="0.25">
      <c r="A40" s="161">
        <v>43858</v>
      </c>
      <c r="B40" s="162"/>
      <c r="C40" s="214" t="s">
        <v>41</v>
      </c>
      <c r="D40" s="214"/>
      <c r="E40" s="214"/>
      <c r="F40" s="163">
        <v>4058</v>
      </c>
      <c r="G40" s="164">
        <v>4058</v>
      </c>
    </row>
    <row r="41" spans="1:9" x14ac:dyDescent="0.25">
      <c r="A41" s="161">
        <v>43894</v>
      </c>
      <c r="B41" s="162"/>
      <c r="C41" s="214" t="s">
        <v>41</v>
      </c>
      <c r="D41" s="214"/>
      <c r="E41" s="214"/>
      <c r="F41" s="163">
        <v>15000</v>
      </c>
      <c r="G41" s="164">
        <v>15000</v>
      </c>
    </row>
    <row r="42" spans="1:9" x14ac:dyDescent="0.25">
      <c r="A42" s="161">
        <v>43895</v>
      </c>
      <c r="B42" s="162"/>
      <c r="C42" s="214" t="s">
        <v>41</v>
      </c>
      <c r="D42" s="214"/>
      <c r="E42" s="214"/>
      <c r="F42" s="163">
        <v>19000</v>
      </c>
      <c r="G42" s="164">
        <v>19000</v>
      </c>
    </row>
    <row r="43" spans="1:9" x14ac:dyDescent="0.25">
      <c r="A43" s="161">
        <v>43896</v>
      </c>
      <c r="B43" s="162"/>
      <c r="C43" s="214" t="s">
        <v>41</v>
      </c>
      <c r="D43" s="214"/>
      <c r="E43" s="214"/>
      <c r="F43" s="163">
        <v>6000</v>
      </c>
      <c r="G43" s="164">
        <v>6000</v>
      </c>
      <c r="H43" s="164">
        <f>SUM(G39:G43)</f>
        <v>54058</v>
      </c>
      <c r="I43">
        <v>2020</v>
      </c>
    </row>
    <row r="44" spans="1:9" x14ac:dyDescent="0.25">
      <c r="A44" s="165">
        <v>44256</v>
      </c>
      <c r="B44" s="166"/>
      <c r="C44" s="213" t="s">
        <v>41</v>
      </c>
      <c r="D44" s="213"/>
      <c r="E44" s="213"/>
      <c r="F44" s="167">
        <v>25000</v>
      </c>
      <c r="G44" s="168">
        <v>25000</v>
      </c>
    </row>
    <row r="45" spans="1:9" x14ac:dyDescent="0.25">
      <c r="A45" s="165">
        <v>44265</v>
      </c>
      <c r="B45" s="166"/>
      <c r="C45" s="213" t="s">
        <v>41</v>
      </c>
      <c r="D45" s="213"/>
      <c r="E45" s="213"/>
      <c r="F45" s="167">
        <v>25000</v>
      </c>
      <c r="G45" s="168">
        <v>25000</v>
      </c>
    </row>
    <row r="46" spans="1:9" x14ac:dyDescent="0.25">
      <c r="A46" s="165">
        <v>44266</v>
      </c>
      <c r="B46" s="166"/>
      <c r="C46" s="213" t="s">
        <v>41</v>
      </c>
      <c r="D46" s="213"/>
      <c r="E46" s="213"/>
      <c r="F46" s="167">
        <v>25000</v>
      </c>
      <c r="G46" s="168">
        <v>25000</v>
      </c>
    </row>
    <row r="47" spans="1:9" x14ac:dyDescent="0.25">
      <c r="A47" s="165">
        <v>44267</v>
      </c>
      <c r="B47" s="166"/>
      <c r="C47" s="213" t="s">
        <v>41</v>
      </c>
      <c r="D47" s="213"/>
      <c r="E47" s="213"/>
      <c r="F47" s="167">
        <v>10000</v>
      </c>
      <c r="G47" s="168">
        <v>10000</v>
      </c>
    </row>
    <row r="48" spans="1:9" x14ac:dyDescent="0.25">
      <c r="A48" s="165">
        <v>44414</v>
      </c>
      <c r="B48" s="166"/>
      <c r="C48" s="213" t="s">
        <v>41</v>
      </c>
      <c r="D48" s="213"/>
      <c r="E48" s="213"/>
      <c r="F48" s="167">
        <v>-62407.65</v>
      </c>
      <c r="G48" s="168">
        <v>-62407.65</v>
      </c>
    </row>
    <row r="49" spans="1:9" x14ac:dyDescent="0.25">
      <c r="A49" s="165">
        <v>44420</v>
      </c>
      <c r="B49" s="166"/>
      <c r="C49" s="213" t="s">
        <v>41</v>
      </c>
      <c r="D49" s="213"/>
      <c r="E49" s="213"/>
      <c r="F49" s="167">
        <v>200</v>
      </c>
      <c r="G49" s="168">
        <v>200</v>
      </c>
    </row>
    <row r="50" spans="1:9" x14ac:dyDescent="0.25">
      <c r="A50" s="165">
        <v>44435</v>
      </c>
      <c r="B50" s="166"/>
      <c r="C50" s="213" t="s">
        <v>41</v>
      </c>
      <c r="D50" s="213"/>
      <c r="E50" s="213"/>
      <c r="F50" s="167">
        <v>-20110.3</v>
      </c>
      <c r="G50" s="168">
        <v>-20110.3</v>
      </c>
    </row>
    <row r="51" spans="1:9" x14ac:dyDescent="0.25">
      <c r="A51" s="165">
        <v>44467</v>
      </c>
      <c r="B51" s="166"/>
      <c r="C51" s="213" t="s">
        <v>41</v>
      </c>
      <c r="D51" s="213"/>
      <c r="E51" s="213"/>
      <c r="F51" s="167">
        <v>10000</v>
      </c>
      <c r="G51" s="168">
        <v>10000</v>
      </c>
    </row>
    <row r="52" spans="1:9" x14ac:dyDescent="0.25">
      <c r="A52" s="165">
        <v>44476</v>
      </c>
      <c r="B52" s="166"/>
      <c r="C52" s="213" t="s">
        <v>41</v>
      </c>
      <c r="D52" s="213"/>
      <c r="E52" s="213"/>
      <c r="F52" s="167">
        <v>2100</v>
      </c>
      <c r="G52" s="168">
        <v>2100</v>
      </c>
    </row>
    <row r="53" spans="1:9" x14ac:dyDescent="0.25">
      <c r="A53" s="165">
        <v>44558</v>
      </c>
      <c r="B53" s="166"/>
      <c r="C53" s="213" t="s">
        <v>41</v>
      </c>
      <c r="D53" s="213"/>
      <c r="E53" s="213"/>
      <c r="F53" s="167">
        <v>10000</v>
      </c>
      <c r="G53" s="168">
        <v>10000</v>
      </c>
      <c r="H53" s="168">
        <f>SUM(G44:G53)</f>
        <v>24782.05</v>
      </c>
      <c r="I53">
        <v>2021</v>
      </c>
    </row>
    <row r="54" spans="1:9" x14ac:dyDescent="0.25">
      <c r="A54" s="169">
        <v>44586</v>
      </c>
      <c r="B54" s="170"/>
      <c r="C54" s="212" t="s">
        <v>41</v>
      </c>
      <c r="D54" s="212"/>
      <c r="E54" s="212"/>
      <c r="F54" s="171">
        <v>50000</v>
      </c>
      <c r="G54" s="172">
        <v>50000</v>
      </c>
    </row>
    <row r="55" spans="1:9" x14ac:dyDescent="0.25">
      <c r="A55" s="169">
        <v>44588</v>
      </c>
      <c r="B55" s="170"/>
      <c r="C55" s="212" t="s">
        <v>41</v>
      </c>
      <c r="D55" s="212"/>
      <c r="E55" s="212"/>
      <c r="F55" s="171">
        <v>50000</v>
      </c>
      <c r="G55" s="172">
        <v>50000</v>
      </c>
    </row>
    <row r="56" spans="1:9" x14ac:dyDescent="0.25">
      <c r="A56" s="169">
        <v>44617</v>
      </c>
      <c r="B56" s="170"/>
      <c r="C56" s="212" t="s">
        <v>41</v>
      </c>
      <c r="D56" s="212"/>
      <c r="E56" s="212"/>
      <c r="F56" s="171">
        <v>3000</v>
      </c>
      <c r="G56" s="172">
        <v>3000</v>
      </c>
    </row>
    <row r="57" spans="1:9" x14ac:dyDescent="0.25">
      <c r="A57" s="169">
        <v>44645</v>
      </c>
      <c r="B57" s="170"/>
      <c r="C57" s="212" t="s">
        <v>41</v>
      </c>
      <c r="D57" s="212"/>
      <c r="E57" s="212"/>
      <c r="F57" s="171">
        <v>2000</v>
      </c>
      <c r="G57" s="172">
        <v>2000</v>
      </c>
    </row>
    <row r="58" spans="1:9" x14ac:dyDescent="0.25">
      <c r="A58" s="169">
        <v>44677</v>
      </c>
      <c r="B58" s="170"/>
      <c r="C58" s="212" t="s">
        <v>41</v>
      </c>
      <c r="D58" s="212"/>
      <c r="E58" s="212"/>
      <c r="F58" s="171">
        <v>2000</v>
      </c>
      <c r="G58" s="172">
        <v>2000</v>
      </c>
    </row>
    <row r="59" spans="1:9" x14ac:dyDescent="0.25">
      <c r="A59" s="169">
        <v>44683</v>
      </c>
      <c r="B59" s="170"/>
      <c r="C59" s="212" t="s">
        <v>41</v>
      </c>
      <c r="D59" s="212"/>
      <c r="E59" s="212"/>
      <c r="F59" s="171">
        <v>15100</v>
      </c>
      <c r="G59" s="172">
        <v>15100</v>
      </c>
    </row>
    <row r="60" spans="1:9" x14ac:dyDescent="0.25">
      <c r="A60" s="169">
        <v>44718</v>
      </c>
      <c r="B60" s="170"/>
      <c r="C60" s="212" t="s">
        <v>41</v>
      </c>
      <c r="D60" s="212"/>
      <c r="E60" s="212"/>
      <c r="F60" s="171">
        <v>10000</v>
      </c>
      <c r="G60" s="172">
        <v>10000</v>
      </c>
    </row>
    <row r="61" spans="1:9" x14ac:dyDescent="0.25">
      <c r="A61" s="169">
        <v>44739</v>
      </c>
      <c r="B61" s="170"/>
      <c r="C61" s="212" t="s">
        <v>41</v>
      </c>
      <c r="D61" s="212"/>
      <c r="E61" s="212"/>
      <c r="F61" s="171">
        <v>3000</v>
      </c>
      <c r="G61" s="172">
        <v>3000</v>
      </c>
    </row>
    <row r="62" spans="1:9" x14ac:dyDescent="0.25">
      <c r="A62" s="169">
        <v>44777</v>
      </c>
      <c r="B62" s="170"/>
      <c r="C62" s="212" t="s">
        <v>41</v>
      </c>
      <c r="D62" s="212"/>
      <c r="E62" s="212"/>
      <c r="F62" s="171">
        <v>2000</v>
      </c>
      <c r="G62" s="172">
        <v>2000</v>
      </c>
    </row>
    <row r="63" spans="1:9" x14ac:dyDescent="0.25">
      <c r="A63" s="169">
        <v>44784</v>
      </c>
      <c r="B63" s="170"/>
      <c r="C63" s="212" t="s">
        <v>41</v>
      </c>
      <c r="D63" s="212"/>
      <c r="E63" s="212"/>
      <c r="F63" s="171">
        <v>4000</v>
      </c>
      <c r="G63" s="172">
        <v>4000</v>
      </c>
    </row>
    <row r="64" spans="1:9" x14ac:dyDescent="0.25">
      <c r="A64" s="169">
        <v>44799</v>
      </c>
      <c r="B64" s="170"/>
      <c r="C64" s="212" t="s">
        <v>41</v>
      </c>
      <c r="D64" s="212"/>
      <c r="E64" s="212"/>
      <c r="F64" s="171">
        <v>10000</v>
      </c>
      <c r="G64" s="172">
        <v>10000</v>
      </c>
    </row>
    <row r="65" spans="1:9" x14ac:dyDescent="0.25">
      <c r="A65" s="169">
        <v>44848</v>
      </c>
      <c r="B65" s="170"/>
      <c r="C65" s="212" t="s">
        <v>41</v>
      </c>
      <c r="D65" s="212"/>
      <c r="E65" s="212"/>
      <c r="F65" s="171">
        <v>1500</v>
      </c>
      <c r="G65" s="172">
        <v>1500</v>
      </c>
    </row>
    <row r="66" spans="1:9" x14ac:dyDescent="0.25">
      <c r="A66" s="169">
        <v>44859</v>
      </c>
      <c r="B66" s="170"/>
      <c r="C66" s="212" t="s">
        <v>41</v>
      </c>
      <c r="D66" s="212"/>
      <c r="E66" s="212"/>
      <c r="F66" s="171">
        <v>4000</v>
      </c>
      <c r="G66" s="172">
        <v>4000</v>
      </c>
    </row>
    <row r="67" spans="1:9" x14ac:dyDescent="0.25">
      <c r="A67" s="169">
        <v>44890</v>
      </c>
      <c r="B67" s="170"/>
      <c r="C67" s="212" t="s">
        <v>41</v>
      </c>
      <c r="D67" s="212"/>
      <c r="E67" s="212"/>
      <c r="F67" s="171">
        <v>4000</v>
      </c>
      <c r="G67" s="172">
        <v>4000</v>
      </c>
    </row>
    <row r="68" spans="1:9" x14ac:dyDescent="0.25">
      <c r="A68" s="169">
        <v>44923</v>
      </c>
      <c r="B68" s="170"/>
      <c r="C68" s="212" t="s">
        <v>41</v>
      </c>
      <c r="D68" s="212"/>
      <c r="E68" s="212"/>
      <c r="F68" s="171">
        <v>6000</v>
      </c>
      <c r="G68" s="172">
        <v>6000</v>
      </c>
      <c r="H68" s="172">
        <f>SUM(G54:G68)</f>
        <v>166600</v>
      </c>
      <c r="I68">
        <v>2022</v>
      </c>
    </row>
    <row r="69" spans="1:9" ht="15" customHeight="1" x14ac:dyDescent="0.25">
      <c r="A69" s="174">
        <v>44956</v>
      </c>
      <c r="B69" s="175"/>
      <c r="C69" s="211" t="s">
        <v>41</v>
      </c>
      <c r="D69" s="211"/>
      <c r="E69" s="211"/>
      <c r="F69" s="176">
        <v>-39292.33</v>
      </c>
      <c r="G69" s="177">
        <v>-39292.33</v>
      </c>
      <c r="H69" s="23"/>
    </row>
    <row r="70" spans="1:9" ht="15" customHeight="1" x14ac:dyDescent="0.25">
      <c r="A70" s="174">
        <v>44991</v>
      </c>
      <c r="B70" s="174"/>
      <c r="C70" s="174" t="s">
        <v>41</v>
      </c>
      <c r="D70" s="174"/>
      <c r="E70" s="174"/>
      <c r="F70" s="176">
        <v>-34975.99</v>
      </c>
      <c r="G70" s="177">
        <v>-34975.99</v>
      </c>
      <c r="H70" s="23"/>
    </row>
    <row r="71" spans="1:9" x14ac:dyDescent="0.25">
      <c r="A71" s="174">
        <v>45013</v>
      </c>
      <c r="B71" s="174"/>
      <c r="C71" s="174" t="s">
        <v>41</v>
      </c>
      <c r="D71" s="174"/>
      <c r="E71" s="174"/>
      <c r="F71" s="176">
        <v>-537.08000000000004</v>
      </c>
      <c r="G71" s="177">
        <v>-537.08000000000004</v>
      </c>
      <c r="H71" s="23"/>
    </row>
    <row r="72" spans="1:9" x14ac:dyDescent="0.25">
      <c r="A72" s="174">
        <v>45057</v>
      </c>
      <c r="B72" s="174"/>
      <c r="C72" s="174" t="s">
        <v>41</v>
      </c>
      <c r="D72" s="174"/>
      <c r="E72" s="174"/>
      <c r="F72" s="176">
        <v>-635.77</v>
      </c>
      <c r="G72" s="177">
        <v>-635.77</v>
      </c>
      <c r="H72" s="23"/>
    </row>
    <row r="73" spans="1:9" x14ac:dyDescent="0.25">
      <c r="A73" s="174">
        <v>45098</v>
      </c>
      <c r="B73" s="174"/>
      <c r="C73" s="174" t="s">
        <v>41</v>
      </c>
      <c r="D73" s="174"/>
      <c r="E73" s="174"/>
      <c r="F73" s="176">
        <v>-1383.97</v>
      </c>
      <c r="G73" s="177">
        <v>-1383.97</v>
      </c>
      <c r="H73" s="23"/>
    </row>
    <row r="74" spans="1:9" x14ac:dyDescent="0.25">
      <c r="A74" s="174">
        <v>45104</v>
      </c>
      <c r="B74" s="174"/>
      <c r="C74" s="174" t="s">
        <v>41</v>
      </c>
      <c r="D74" s="174"/>
      <c r="E74" s="174"/>
      <c r="F74" s="176">
        <v>-1628.28</v>
      </c>
      <c r="G74" s="177">
        <v>-1628.28</v>
      </c>
      <c r="H74" s="23"/>
    </row>
    <row r="75" spans="1:9" x14ac:dyDescent="0.25">
      <c r="A75" s="174">
        <v>45202</v>
      </c>
      <c r="B75" s="174"/>
      <c r="C75" s="174" t="s">
        <v>41</v>
      </c>
      <c r="D75" s="174"/>
      <c r="E75" s="174"/>
      <c r="F75" s="176">
        <v>-419.75</v>
      </c>
      <c r="G75" s="177">
        <v>-419.75</v>
      </c>
      <c r="H75" s="23"/>
    </row>
    <row r="76" spans="1:9" x14ac:dyDescent="0.25">
      <c r="A76" s="174">
        <v>45015</v>
      </c>
      <c r="B76" s="175"/>
      <c r="C76" s="211" t="s">
        <v>251</v>
      </c>
      <c r="D76" s="211"/>
      <c r="E76" s="211"/>
      <c r="F76" s="176">
        <v>62050</v>
      </c>
      <c r="G76" s="177">
        <v>62050</v>
      </c>
    </row>
    <row r="77" spans="1:9" x14ac:dyDescent="0.25">
      <c r="A77" s="174">
        <v>45077</v>
      </c>
      <c r="B77" s="175"/>
      <c r="C77" s="211" t="s">
        <v>251</v>
      </c>
      <c r="D77" s="211"/>
      <c r="E77" s="211"/>
      <c r="F77" s="176">
        <v>27600</v>
      </c>
      <c r="G77" s="177">
        <v>27600</v>
      </c>
    </row>
    <row r="78" spans="1:9" x14ac:dyDescent="0.25">
      <c r="A78" s="174">
        <v>45078</v>
      </c>
      <c r="B78" s="175"/>
      <c r="C78" s="211" t="s">
        <v>251</v>
      </c>
      <c r="D78" s="211"/>
      <c r="E78" s="211"/>
      <c r="F78" s="176">
        <v>17000</v>
      </c>
      <c r="G78" s="177">
        <v>17000</v>
      </c>
    </row>
    <row r="79" spans="1:9" ht="15" customHeight="1" x14ac:dyDescent="0.25">
      <c r="A79" s="174">
        <v>45108</v>
      </c>
      <c r="B79" s="175"/>
      <c r="C79" s="211" t="s">
        <v>251</v>
      </c>
      <c r="D79" s="211"/>
      <c r="E79" s="211"/>
      <c r="F79" s="176">
        <v>4000</v>
      </c>
      <c r="G79" s="177">
        <v>4000</v>
      </c>
    </row>
    <row r="80" spans="1:9" ht="15" customHeight="1" x14ac:dyDescent="0.25">
      <c r="A80" s="174">
        <v>45163</v>
      </c>
      <c r="B80" s="175"/>
      <c r="C80" s="211" t="s">
        <v>251</v>
      </c>
      <c r="D80" s="211"/>
      <c r="E80" s="211"/>
      <c r="F80" s="176">
        <v>4000</v>
      </c>
      <c r="G80" s="177">
        <v>4000</v>
      </c>
    </row>
    <row r="81" spans="1:9" ht="15" customHeight="1" x14ac:dyDescent="0.25">
      <c r="A81" s="174">
        <v>45172</v>
      </c>
      <c r="B81" s="175"/>
      <c r="C81" s="211" t="s">
        <v>251</v>
      </c>
      <c r="D81" s="211"/>
      <c r="E81" s="211"/>
      <c r="F81" s="176">
        <v>4000</v>
      </c>
      <c r="G81" s="177">
        <v>4000</v>
      </c>
    </row>
    <row r="82" spans="1:9" ht="15" customHeight="1" x14ac:dyDescent="0.25">
      <c r="A82" s="174">
        <v>45202</v>
      </c>
      <c r="B82" s="175"/>
      <c r="C82" s="211" t="s">
        <v>251</v>
      </c>
      <c r="D82" s="211"/>
      <c r="E82" s="211"/>
      <c r="F82" s="176">
        <v>5000</v>
      </c>
      <c r="G82" s="177">
        <v>5000</v>
      </c>
    </row>
    <row r="83" spans="1:9" ht="15" customHeight="1" x14ac:dyDescent="0.25">
      <c r="A83" s="174">
        <v>45233</v>
      </c>
      <c r="B83" s="175"/>
      <c r="C83" s="211" t="s">
        <v>251</v>
      </c>
      <c r="D83" s="211"/>
      <c r="E83" s="211"/>
      <c r="F83" s="176">
        <v>4000</v>
      </c>
      <c r="G83" s="177">
        <v>4000</v>
      </c>
    </row>
    <row r="84" spans="1:9" x14ac:dyDescent="0.25">
      <c r="A84" s="174">
        <v>45280</v>
      </c>
      <c r="B84" s="175"/>
      <c r="C84" s="211" t="s">
        <v>252</v>
      </c>
      <c r="D84" s="211"/>
      <c r="E84" s="211"/>
      <c r="F84" s="176">
        <v>21000</v>
      </c>
      <c r="G84" s="177">
        <v>21000</v>
      </c>
      <c r="H84" s="60"/>
    </row>
    <row r="85" spans="1:9" x14ac:dyDescent="0.25">
      <c r="A85" s="174">
        <v>45282</v>
      </c>
      <c r="B85" s="175"/>
      <c r="C85" s="211" t="s">
        <v>252</v>
      </c>
      <c r="D85" s="211"/>
      <c r="E85" s="211"/>
      <c r="F85" s="176">
        <v>10000</v>
      </c>
      <c r="G85" s="176">
        <v>10000</v>
      </c>
      <c r="H85" s="60">
        <f>SUM(F69:F85)</f>
        <v>79776.829999999987</v>
      </c>
      <c r="I85">
        <v>2023</v>
      </c>
    </row>
    <row r="86" spans="1:9" x14ac:dyDescent="0.25">
      <c r="A86" s="187">
        <v>45299</v>
      </c>
      <c r="B86" s="188"/>
      <c r="C86" s="209" t="s">
        <v>252</v>
      </c>
      <c r="D86" s="209"/>
      <c r="E86" s="209"/>
      <c r="F86" s="189">
        <v>10000</v>
      </c>
      <c r="G86" s="189">
        <v>10000</v>
      </c>
      <c r="H86" s="60"/>
    </row>
    <row r="87" spans="1:9" x14ac:dyDescent="0.25">
      <c r="A87" s="187">
        <v>45316</v>
      </c>
      <c r="B87" s="188"/>
      <c r="C87" s="209" t="s">
        <v>252</v>
      </c>
      <c r="D87" s="209"/>
      <c r="E87" s="209"/>
      <c r="F87" s="189">
        <v>70000</v>
      </c>
      <c r="G87" s="189">
        <v>70000</v>
      </c>
      <c r="H87" s="60"/>
    </row>
    <row r="88" spans="1:9" x14ac:dyDescent="0.25">
      <c r="A88" s="187">
        <v>45350</v>
      </c>
      <c r="B88" s="188"/>
      <c r="C88" s="209" t="s">
        <v>252</v>
      </c>
      <c r="D88" s="209"/>
      <c r="E88" s="209"/>
      <c r="F88" s="189">
        <v>30000</v>
      </c>
      <c r="G88" s="189">
        <v>30000</v>
      </c>
      <c r="H88" s="60"/>
    </row>
    <row r="89" spans="1:9" x14ac:dyDescent="0.25">
      <c r="A89" s="187">
        <v>45350</v>
      </c>
      <c r="B89" s="188"/>
      <c r="C89" s="209" t="s">
        <v>252</v>
      </c>
      <c r="D89" s="209"/>
      <c r="E89" s="209"/>
      <c r="F89" s="189">
        <v>620</v>
      </c>
      <c r="G89" s="189">
        <v>620</v>
      </c>
      <c r="H89" s="60"/>
    </row>
    <row r="90" spans="1:9" x14ac:dyDescent="0.25">
      <c r="A90" s="187">
        <v>45369</v>
      </c>
      <c r="B90" s="188"/>
      <c r="C90" s="209" t="s">
        <v>252</v>
      </c>
      <c r="D90" s="209"/>
      <c r="E90" s="209"/>
      <c r="F90" s="189">
        <v>810.4</v>
      </c>
      <c r="G90" s="189">
        <v>810.4</v>
      </c>
      <c r="H90" s="60"/>
    </row>
    <row r="91" spans="1:9" x14ac:dyDescent="0.25">
      <c r="A91" s="187">
        <v>45371</v>
      </c>
      <c r="B91" s="188"/>
      <c r="C91" s="209" t="s">
        <v>252</v>
      </c>
      <c r="D91" s="209"/>
      <c r="E91" s="209"/>
      <c r="F91" s="189">
        <v>685.04</v>
      </c>
      <c r="G91" s="189">
        <v>685.04</v>
      </c>
      <c r="H91" s="60"/>
    </row>
    <row r="92" spans="1:9" x14ac:dyDescent="0.25">
      <c r="A92" s="187">
        <v>45376</v>
      </c>
      <c r="B92" s="188"/>
      <c r="C92" s="209" t="s">
        <v>252</v>
      </c>
      <c r="D92" s="209"/>
      <c r="E92" s="209"/>
      <c r="F92" s="189">
        <v>4000</v>
      </c>
      <c r="G92" s="189">
        <v>4000</v>
      </c>
      <c r="H92" s="60"/>
    </row>
    <row r="93" spans="1:9" x14ac:dyDescent="0.25">
      <c r="A93" s="187">
        <v>45393</v>
      </c>
      <c r="B93" s="188"/>
      <c r="C93" s="209" t="s">
        <v>252</v>
      </c>
      <c r="D93" s="209"/>
      <c r="E93" s="209"/>
      <c r="F93" s="189">
        <v>1142</v>
      </c>
      <c r="G93" s="189">
        <v>1142</v>
      </c>
      <c r="H93" s="60"/>
    </row>
    <row r="94" spans="1:9" x14ac:dyDescent="0.25">
      <c r="A94" s="187">
        <v>45407</v>
      </c>
      <c r="B94" s="188"/>
      <c r="C94" s="209" t="s">
        <v>252</v>
      </c>
      <c r="D94" s="209"/>
      <c r="E94" s="209"/>
      <c r="F94" s="189">
        <v>4000</v>
      </c>
      <c r="G94" s="189">
        <v>4000</v>
      </c>
      <c r="H94" s="60"/>
    </row>
    <row r="95" spans="1:9" x14ac:dyDescent="0.25">
      <c r="A95" s="187">
        <v>45412</v>
      </c>
      <c r="B95" s="188"/>
      <c r="C95" s="209" t="s">
        <v>252</v>
      </c>
      <c r="D95" s="209"/>
      <c r="E95" s="209"/>
      <c r="F95" s="189">
        <v>15000</v>
      </c>
      <c r="G95" s="189">
        <v>15000</v>
      </c>
      <c r="H95" s="60"/>
    </row>
    <row r="96" spans="1:9" x14ac:dyDescent="0.25">
      <c r="A96" s="187">
        <v>45439</v>
      </c>
      <c r="B96" s="188"/>
      <c r="C96" s="209" t="s">
        <v>252</v>
      </c>
      <c r="D96" s="209"/>
      <c r="E96" s="209"/>
      <c r="F96" s="189">
        <v>4000</v>
      </c>
      <c r="G96" s="189">
        <v>4000</v>
      </c>
      <c r="H96" s="60"/>
    </row>
    <row r="97" spans="1:12" x14ac:dyDescent="0.25">
      <c r="A97" s="187">
        <v>45443</v>
      </c>
      <c r="B97" s="188"/>
      <c r="C97" s="209" t="s">
        <v>252</v>
      </c>
      <c r="D97" s="209"/>
      <c r="E97" s="209"/>
      <c r="F97" s="189">
        <v>30000</v>
      </c>
      <c r="G97" s="189">
        <v>30000</v>
      </c>
      <c r="H97" s="60"/>
    </row>
    <row r="98" spans="1:12" x14ac:dyDescent="0.25">
      <c r="A98" s="187">
        <v>45447</v>
      </c>
      <c r="B98" s="188"/>
      <c r="C98" s="209" t="s">
        <v>252</v>
      </c>
      <c r="D98" s="209"/>
      <c r="E98" s="209"/>
      <c r="F98" s="189">
        <v>1000</v>
      </c>
      <c r="G98" s="189">
        <v>1000</v>
      </c>
      <c r="H98" s="60"/>
    </row>
    <row r="99" spans="1:12" x14ac:dyDescent="0.25">
      <c r="A99" s="187">
        <v>45475</v>
      </c>
      <c r="B99" s="188"/>
      <c r="C99" s="209" t="s">
        <v>252</v>
      </c>
      <c r="D99" s="209"/>
      <c r="E99" s="209"/>
      <c r="F99" s="189">
        <v>4000</v>
      </c>
      <c r="G99" s="189">
        <v>4000</v>
      </c>
      <c r="H99" s="60"/>
    </row>
    <row r="100" spans="1:12" x14ac:dyDescent="0.25">
      <c r="A100" s="187">
        <v>45475</v>
      </c>
      <c r="B100" s="188"/>
      <c r="C100" s="209" t="s">
        <v>252</v>
      </c>
      <c r="D100" s="209"/>
      <c r="E100" s="209"/>
      <c r="F100" s="189">
        <v>1900</v>
      </c>
      <c r="G100" s="189">
        <v>1900</v>
      </c>
      <c r="H100" s="60"/>
    </row>
    <row r="101" spans="1:12" x14ac:dyDescent="0.25">
      <c r="A101" s="187">
        <v>45478</v>
      </c>
      <c r="B101" s="188"/>
      <c r="C101" s="209" t="s">
        <v>252</v>
      </c>
      <c r="D101" s="209"/>
      <c r="E101" s="209"/>
      <c r="F101" s="189">
        <v>2800</v>
      </c>
      <c r="G101" s="189">
        <v>2800</v>
      </c>
      <c r="H101" s="60"/>
    </row>
    <row r="102" spans="1:12" x14ac:dyDescent="0.25">
      <c r="A102" s="187">
        <v>45509</v>
      </c>
      <c r="B102" s="188"/>
      <c r="C102" s="209" t="s">
        <v>252</v>
      </c>
      <c r="D102" s="209"/>
      <c r="E102" s="209"/>
      <c r="F102" s="189">
        <v>4000</v>
      </c>
      <c r="G102" s="189">
        <v>4000</v>
      </c>
      <c r="H102" s="60"/>
    </row>
    <row r="103" spans="1:12" x14ac:dyDescent="0.25">
      <c r="A103" s="187">
        <v>45517</v>
      </c>
      <c r="B103" s="188"/>
      <c r="C103" s="209" t="s">
        <v>252</v>
      </c>
      <c r="D103" s="209"/>
      <c r="E103" s="209"/>
      <c r="F103" s="189">
        <v>15000</v>
      </c>
      <c r="G103" s="189">
        <v>15000</v>
      </c>
      <c r="H103" s="60"/>
    </row>
    <row r="104" spans="1:12" x14ac:dyDescent="0.25">
      <c r="A104" s="187">
        <v>45560</v>
      </c>
      <c r="B104" s="188"/>
      <c r="C104" s="209" t="s">
        <v>252</v>
      </c>
      <c r="D104" s="209"/>
      <c r="E104" s="209"/>
      <c r="F104" s="189">
        <v>4200</v>
      </c>
      <c r="G104" s="189">
        <v>4200</v>
      </c>
      <c r="H104" s="60"/>
    </row>
    <row r="105" spans="1:12" x14ac:dyDescent="0.25">
      <c r="A105" s="204">
        <v>45586</v>
      </c>
      <c r="B105" s="205"/>
      <c r="C105" s="219" t="s">
        <v>252</v>
      </c>
      <c r="D105" s="219"/>
      <c r="E105" s="219"/>
      <c r="F105" s="206">
        <v>-12000</v>
      </c>
      <c r="G105" s="206">
        <v>-12000</v>
      </c>
      <c r="H105" s="60"/>
    </row>
    <row r="106" spans="1:12" x14ac:dyDescent="0.25">
      <c r="A106" s="204">
        <v>45593</v>
      </c>
      <c r="B106" s="205"/>
      <c r="C106" s="219" t="s">
        <v>252</v>
      </c>
      <c r="D106" s="219"/>
      <c r="E106" s="219"/>
      <c r="F106" s="206">
        <v>-8000</v>
      </c>
      <c r="G106" s="206">
        <v>-8000</v>
      </c>
      <c r="H106" s="60"/>
    </row>
    <row r="107" spans="1:12" x14ac:dyDescent="0.25">
      <c r="A107" s="204">
        <v>45630</v>
      </c>
      <c r="B107" s="205"/>
      <c r="C107" s="219" t="s">
        <v>252</v>
      </c>
      <c r="D107" s="219"/>
      <c r="E107" s="219"/>
      <c r="F107" s="206">
        <v>-6387.8</v>
      </c>
      <c r="G107" s="206">
        <v>-6387.8</v>
      </c>
      <c r="H107" s="60"/>
    </row>
    <row r="108" spans="1:12" x14ac:dyDescent="0.25">
      <c r="A108" s="204">
        <v>45636</v>
      </c>
      <c r="B108" s="205"/>
      <c r="C108" s="219" t="s">
        <v>252</v>
      </c>
      <c r="D108" s="219"/>
      <c r="E108" s="219"/>
      <c r="F108" s="206">
        <v>-5000</v>
      </c>
      <c r="G108" s="206">
        <v>-5000</v>
      </c>
      <c r="H108" s="60"/>
    </row>
    <row r="109" spans="1:12" x14ac:dyDescent="0.25">
      <c r="A109" s="187">
        <v>45649</v>
      </c>
      <c r="B109" s="188"/>
      <c r="C109" s="209" t="s">
        <v>252</v>
      </c>
      <c r="D109" s="209"/>
      <c r="E109" s="209"/>
      <c r="F109" s="189">
        <v>25000</v>
      </c>
      <c r="G109" s="189">
        <v>25000</v>
      </c>
      <c r="H109" s="60"/>
    </row>
    <row r="110" spans="1:12" x14ac:dyDescent="0.25">
      <c r="A110" s="200"/>
      <c r="B110" s="201"/>
      <c r="C110" s="202"/>
      <c r="D110" s="203"/>
      <c r="E110" s="190"/>
      <c r="F110" s="189"/>
      <c r="G110" s="189"/>
      <c r="H110" s="207">
        <f>SUM(G86:G109)</f>
        <v>196769.64</v>
      </c>
      <c r="I110">
        <v>2024</v>
      </c>
    </row>
    <row r="111" spans="1:12" x14ac:dyDescent="0.25">
      <c r="A111" s="200"/>
      <c r="B111" s="201"/>
      <c r="C111" s="202"/>
      <c r="D111" s="203"/>
      <c r="F111" s="178"/>
      <c r="G111" s="60"/>
      <c r="H111" s="26"/>
      <c r="I111" s="84"/>
      <c r="J111" s="26"/>
      <c r="K111" s="26"/>
      <c r="L111" s="26"/>
    </row>
    <row r="112" spans="1:12" x14ac:dyDescent="0.25">
      <c r="B112" s="8"/>
      <c r="D112" s="218"/>
      <c r="E112" s="218"/>
      <c r="F112" s="48"/>
      <c r="G112" s="48"/>
      <c r="H112" s="48"/>
      <c r="I112" s="48"/>
      <c r="J112" s="48"/>
    </row>
    <row r="113" spans="1:6" x14ac:dyDescent="0.25">
      <c r="C113" s="8"/>
      <c r="D113" s="217"/>
      <c r="E113" s="217"/>
      <c r="F113" s="48"/>
    </row>
    <row r="114" spans="1:6" x14ac:dyDescent="0.25">
      <c r="A114" s="23"/>
      <c r="B114" s="8"/>
      <c r="C114" s="8"/>
    </row>
    <row r="115" spans="1:6" x14ac:dyDescent="0.25">
      <c r="B115" s="94"/>
    </row>
    <row r="116" spans="1:6" x14ac:dyDescent="0.25">
      <c r="B116" s="94"/>
    </row>
    <row r="117" spans="1:6" x14ac:dyDescent="0.25">
      <c r="B117" s="94"/>
    </row>
    <row r="118" spans="1:6" x14ac:dyDescent="0.25">
      <c r="B118" s="94"/>
    </row>
    <row r="119" spans="1:6" x14ac:dyDescent="0.25">
      <c r="B119" s="94"/>
    </row>
    <row r="120" spans="1:6" x14ac:dyDescent="0.25">
      <c r="B120" s="94"/>
    </row>
    <row r="121" spans="1:6" x14ac:dyDescent="0.25">
      <c r="B121" s="94"/>
    </row>
    <row r="122" spans="1:6" x14ac:dyDescent="0.25">
      <c r="B122" s="94"/>
    </row>
    <row r="123" spans="1:6" x14ac:dyDescent="0.25">
      <c r="B123" s="94"/>
    </row>
    <row r="124" spans="1:6" x14ac:dyDescent="0.25">
      <c r="B124" s="94"/>
    </row>
    <row r="125" spans="1:6" x14ac:dyDescent="0.25">
      <c r="B125" s="94"/>
    </row>
    <row r="126" spans="1:6" x14ac:dyDescent="0.25">
      <c r="B126" s="94"/>
    </row>
    <row r="127" spans="1:6" x14ac:dyDescent="0.25">
      <c r="B127" s="94"/>
    </row>
    <row r="128" spans="1:6" x14ac:dyDescent="0.25">
      <c r="B128" s="94"/>
    </row>
    <row r="129" spans="2:2" x14ac:dyDescent="0.25">
      <c r="B129" s="94"/>
    </row>
    <row r="130" spans="2:2" x14ac:dyDescent="0.25">
      <c r="B130" s="94"/>
    </row>
    <row r="131" spans="2:2" x14ac:dyDescent="0.25">
      <c r="B131" s="94"/>
    </row>
    <row r="132" spans="2:2" x14ac:dyDescent="0.25">
      <c r="B132" s="94"/>
    </row>
    <row r="133" spans="2:2" x14ac:dyDescent="0.25">
      <c r="B133" s="94"/>
    </row>
    <row r="134" spans="2:2" x14ac:dyDescent="0.25">
      <c r="B134" s="94"/>
    </row>
    <row r="135" spans="2:2" x14ac:dyDescent="0.25">
      <c r="B135" s="94"/>
    </row>
    <row r="136" spans="2:2" x14ac:dyDescent="0.25">
      <c r="B136" s="94"/>
    </row>
    <row r="137" spans="2:2" x14ac:dyDescent="0.25">
      <c r="B137" s="94"/>
    </row>
    <row r="138" spans="2:2" x14ac:dyDescent="0.25">
      <c r="B138" s="94"/>
    </row>
    <row r="139" spans="2:2" x14ac:dyDescent="0.25">
      <c r="B139" s="94"/>
    </row>
    <row r="140" spans="2:2" x14ac:dyDescent="0.25">
      <c r="B140" s="94"/>
    </row>
    <row r="141" spans="2:2" x14ac:dyDescent="0.25">
      <c r="B141" s="94"/>
    </row>
    <row r="142" spans="2:2" x14ac:dyDescent="0.25">
      <c r="B142" s="94"/>
    </row>
    <row r="143" spans="2:2" x14ac:dyDescent="0.25">
      <c r="B143" s="94"/>
    </row>
    <row r="144" spans="2:2" x14ac:dyDescent="0.25">
      <c r="B144" s="94"/>
    </row>
    <row r="145" spans="2:2" x14ac:dyDescent="0.25">
      <c r="B145" s="94"/>
    </row>
    <row r="146" spans="2:2" x14ac:dyDescent="0.25">
      <c r="B146" s="94"/>
    </row>
    <row r="147" spans="2:2" x14ac:dyDescent="0.25">
      <c r="B147" s="94"/>
    </row>
    <row r="148" spans="2:2" x14ac:dyDescent="0.25">
      <c r="B148" s="94"/>
    </row>
    <row r="149" spans="2:2" x14ac:dyDescent="0.25">
      <c r="B149" s="94"/>
    </row>
    <row r="150" spans="2:2" x14ac:dyDescent="0.25">
      <c r="B150" s="94"/>
    </row>
    <row r="151" spans="2:2" x14ac:dyDescent="0.25">
      <c r="B151" s="94"/>
    </row>
    <row r="152" spans="2:2" x14ac:dyDescent="0.25">
      <c r="B152" s="94"/>
    </row>
    <row r="153" spans="2:2" x14ac:dyDescent="0.25">
      <c r="B153" s="94"/>
    </row>
    <row r="154" spans="2:2" x14ac:dyDescent="0.25">
      <c r="B154" s="94"/>
    </row>
    <row r="155" spans="2:2" x14ac:dyDescent="0.25">
      <c r="B155" s="94"/>
    </row>
    <row r="156" spans="2:2" x14ac:dyDescent="0.25">
      <c r="B156" s="94"/>
    </row>
    <row r="157" spans="2:2" x14ac:dyDescent="0.25">
      <c r="B157" s="94"/>
    </row>
    <row r="158" spans="2:2" x14ac:dyDescent="0.25">
      <c r="B158" s="94"/>
    </row>
    <row r="159" spans="2:2" x14ac:dyDescent="0.25">
      <c r="B159" s="94"/>
    </row>
    <row r="160" spans="2:2" x14ac:dyDescent="0.25">
      <c r="B160" s="94"/>
    </row>
    <row r="161" spans="2:2" x14ac:dyDescent="0.25">
      <c r="B161" s="94"/>
    </row>
    <row r="162" spans="2:2" x14ac:dyDescent="0.25">
      <c r="B162" s="94"/>
    </row>
    <row r="163" spans="2:2" x14ac:dyDescent="0.25">
      <c r="B163" s="94"/>
    </row>
    <row r="164" spans="2:2" x14ac:dyDescent="0.25">
      <c r="B164" s="94"/>
    </row>
    <row r="165" spans="2:2" x14ac:dyDescent="0.25">
      <c r="B165" s="94"/>
    </row>
    <row r="166" spans="2:2" x14ac:dyDescent="0.25">
      <c r="B166" s="94"/>
    </row>
    <row r="167" spans="2:2" x14ac:dyDescent="0.25">
      <c r="B167" s="94"/>
    </row>
    <row r="168" spans="2:2" x14ac:dyDescent="0.25">
      <c r="B168" s="94"/>
    </row>
    <row r="169" spans="2:2" x14ac:dyDescent="0.25">
      <c r="B169" s="94"/>
    </row>
    <row r="170" spans="2:2" x14ac:dyDescent="0.25">
      <c r="B170" s="94"/>
    </row>
    <row r="171" spans="2:2" x14ac:dyDescent="0.25">
      <c r="B171" s="94"/>
    </row>
    <row r="172" spans="2:2" x14ac:dyDescent="0.25">
      <c r="B172" s="94"/>
    </row>
    <row r="173" spans="2:2" x14ac:dyDescent="0.25">
      <c r="B173" s="94"/>
    </row>
    <row r="174" spans="2:2" x14ac:dyDescent="0.25">
      <c r="B174" s="94"/>
    </row>
    <row r="175" spans="2:2" x14ac:dyDescent="0.25">
      <c r="B175" s="94"/>
    </row>
    <row r="176" spans="2:2" x14ac:dyDescent="0.25">
      <c r="B176" s="94"/>
    </row>
    <row r="177" spans="2:2" x14ac:dyDescent="0.25">
      <c r="B177" s="94"/>
    </row>
    <row r="178" spans="2:2" x14ac:dyDescent="0.25">
      <c r="B178" s="94"/>
    </row>
    <row r="179" spans="2:2" x14ac:dyDescent="0.25">
      <c r="B179" s="94"/>
    </row>
    <row r="180" spans="2:2" x14ac:dyDescent="0.25">
      <c r="B180" s="94"/>
    </row>
    <row r="181" spans="2:2" x14ac:dyDescent="0.25">
      <c r="B181" s="94"/>
    </row>
    <row r="182" spans="2:2" x14ac:dyDescent="0.25">
      <c r="B182" s="94"/>
    </row>
    <row r="183" spans="2:2" x14ac:dyDescent="0.25">
      <c r="B183" s="8"/>
    </row>
  </sheetData>
  <autoFilter ref="A1:G55" xr:uid="{A77C1F31-8F3A-4224-A505-17CBFEF124AD}"/>
  <mergeCells count="103">
    <mergeCell ref="C103:E103"/>
    <mergeCell ref="C104:E104"/>
    <mergeCell ref="C109:E109"/>
    <mergeCell ref="C108:E108"/>
    <mergeCell ref="C107:E107"/>
    <mergeCell ref="C105:E105"/>
    <mergeCell ref="C106:E106"/>
    <mergeCell ref="C98:E98"/>
    <mergeCell ref="C99:E99"/>
    <mergeCell ref="C100:E100"/>
    <mergeCell ref="C101:E101"/>
    <mergeCell ref="C102:E102"/>
    <mergeCell ref="C95:E95"/>
    <mergeCell ref="C61:E61"/>
    <mergeCell ref="C76:E76"/>
    <mergeCell ref="C63:E63"/>
    <mergeCell ref="C69:E69"/>
    <mergeCell ref="C67:E67"/>
    <mergeCell ref="C68:E68"/>
    <mergeCell ref="C64:E64"/>
    <mergeCell ref="C66:E66"/>
    <mergeCell ref="C65:E65"/>
    <mergeCell ref="C29:E29"/>
    <mergeCell ref="D113:E113"/>
    <mergeCell ref="C28:E28"/>
    <mergeCell ref="C26:E26"/>
    <mergeCell ref="C27:E27"/>
    <mergeCell ref="C37:E37"/>
    <mergeCell ref="C36:E36"/>
    <mergeCell ref="C35:E35"/>
    <mergeCell ref="C34:E34"/>
    <mergeCell ref="C47:E47"/>
    <mergeCell ref="C49:E49"/>
    <mergeCell ref="C51:E51"/>
    <mergeCell ref="C42:E42"/>
    <mergeCell ref="C43:E43"/>
    <mergeCell ref="D112:E112"/>
    <mergeCell ref="C62:E62"/>
    <mergeCell ref="C87:E87"/>
    <mergeCell ref="C88:E88"/>
    <mergeCell ref="C89:E89"/>
    <mergeCell ref="C90:E90"/>
    <mergeCell ref="C91:E91"/>
    <mergeCell ref="C92:E92"/>
    <mergeCell ref="C93:E93"/>
    <mergeCell ref="C94:E94"/>
    <mergeCell ref="C38:E38"/>
    <mergeCell ref="C52:E52"/>
    <mergeCell ref="C56:E56"/>
    <mergeCell ref="C55:E55"/>
    <mergeCell ref="C54:E54"/>
    <mergeCell ref="C53:E53"/>
    <mergeCell ref="C44:E44"/>
    <mergeCell ref="C45:E45"/>
    <mergeCell ref="C46:E46"/>
    <mergeCell ref="C3:E3"/>
    <mergeCell ref="C30:E30"/>
    <mergeCell ref="C39:E39"/>
    <mergeCell ref="C4:E4"/>
    <mergeCell ref="C5:E5"/>
    <mergeCell ref="C6:E6"/>
    <mergeCell ref="C15:E15"/>
    <mergeCell ref="C16:E16"/>
    <mergeCell ref="C17:E17"/>
    <mergeCell ref="C18:E18"/>
    <mergeCell ref="C7:E7"/>
    <mergeCell ref="C8:E8"/>
    <mergeCell ref="C11:E11"/>
    <mergeCell ref="C13:E13"/>
    <mergeCell ref="C12:E12"/>
    <mergeCell ref="C10:E10"/>
    <mergeCell ref="C9:E9"/>
    <mergeCell ref="C31:E31"/>
    <mergeCell ref="C19:E19"/>
    <mergeCell ref="C20:E20"/>
    <mergeCell ref="C21:E21"/>
    <mergeCell ref="C22:E22"/>
    <mergeCell ref="C24:E24"/>
    <mergeCell ref="C23:E23"/>
    <mergeCell ref="C96:E96"/>
    <mergeCell ref="C97:E97"/>
    <mergeCell ref="C14:E14"/>
    <mergeCell ref="C85:E85"/>
    <mergeCell ref="C86:E86"/>
    <mergeCell ref="C77:E77"/>
    <mergeCell ref="C78:E78"/>
    <mergeCell ref="C82:E82"/>
    <mergeCell ref="C83:E83"/>
    <mergeCell ref="C84:E84"/>
    <mergeCell ref="C80:E80"/>
    <mergeCell ref="C81:E81"/>
    <mergeCell ref="C79:E79"/>
    <mergeCell ref="C25:E25"/>
    <mergeCell ref="C60:E60"/>
    <mergeCell ref="C59:E59"/>
    <mergeCell ref="C58:E58"/>
    <mergeCell ref="C57:E57"/>
    <mergeCell ref="C48:E48"/>
    <mergeCell ref="C50:E50"/>
    <mergeCell ref="C40:E40"/>
    <mergeCell ref="C41:E41"/>
    <mergeCell ref="C33:E33"/>
    <mergeCell ref="C32:E32"/>
  </mergeCells>
  <conditionalFormatting sqref="D110:D111">
    <cfRule type="cellIs" dxfId="12" priority="1" operator="greaterThan">
      <formula>0</formula>
    </cfRule>
    <cfRule type="cellIs" dxfId="11" priority="2" operator="lessThan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3599D0-751F-44F2-9054-A3E3E5DE5D65}">
  <dimension ref="A1:J20"/>
  <sheetViews>
    <sheetView topLeftCell="A7" workbookViewId="0">
      <selection activeCell="I13" sqref="I13"/>
    </sheetView>
  </sheetViews>
  <sheetFormatPr defaultRowHeight="15" x14ac:dyDescent="0.25"/>
  <cols>
    <col min="1" max="1" width="10.7109375" bestFit="1" customWidth="1"/>
    <col min="3" max="3" width="11.42578125" bestFit="1" customWidth="1"/>
    <col min="4" max="4" width="16.7109375" bestFit="1" customWidth="1"/>
    <col min="5" max="6" width="16.7109375" customWidth="1"/>
    <col min="7" max="7" width="11.7109375" bestFit="1" customWidth="1"/>
    <col min="9" max="9" width="15.42578125" bestFit="1" customWidth="1"/>
    <col min="10" max="10" width="14" bestFit="1" customWidth="1"/>
  </cols>
  <sheetData>
    <row r="1" spans="1:10" x14ac:dyDescent="0.25">
      <c r="A1" t="s">
        <v>103</v>
      </c>
      <c r="B1" t="s">
        <v>100</v>
      </c>
      <c r="C1" t="s">
        <v>101</v>
      </c>
      <c r="D1" t="s">
        <v>102</v>
      </c>
      <c r="F1" t="s">
        <v>119</v>
      </c>
      <c r="G1" t="s">
        <v>82</v>
      </c>
      <c r="H1" t="s">
        <v>14</v>
      </c>
      <c r="I1" t="s">
        <v>105</v>
      </c>
      <c r="J1" t="s">
        <v>118</v>
      </c>
    </row>
    <row r="2" spans="1:10" x14ac:dyDescent="0.25">
      <c r="A2" s="23">
        <v>43311</v>
      </c>
      <c r="B2" t="s">
        <v>104</v>
      </c>
      <c r="C2">
        <v>0.1404</v>
      </c>
      <c r="D2" s="8">
        <v>4225</v>
      </c>
      <c r="E2" s="8"/>
      <c r="F2" s="8"/>
      <c r="I2" t="s">
        <v>106</v>
      </c>
      <c r="J2" s="54" t="e">
        <f>G20-D13</f>
        <v>#VALUE!</v>
      </c>
    </row>
    <row r="3" spans="1:10" x14ac:dyDescent="0.25">
      <c r="A3" s="23">
        <v>43311</v>
      </c>
      <c r="B3" t="s">
        <v>104</v>
      </c>
      <c r="C3">
        <v>1.95E-2</v>
      </c>
      <c r="D3" s="8">
        <v>588.92999999999995</v>
      </c>
      <c r="E3" s="8"/>
      <c r="F3" s="8"/>
      <c r="I3" t="s">
        <v>106</v>
      </c>
    </row>
    <row r="4" spans="1:10" x14ac:dyDescent="0.25">
      <c r="A4" s="23">
        <v>43312</v>
      </c>
      <c r="B4" t="s">
        <v>107</v>
      </c>
      <c r="C4">
        <v>0.18</v>
      </c>
      <c r="D4" s="8">
        <v>311.87</v>
      </c>
      <c r="E4" s="8"/>
      <c r="F4" s="8"/>
      <c r="I4" t="s">
        <v>106</v>
      </c>
    </row>
    <row r="5" spans="1:10" x14ac:dyDescent="0.25">
      <c r="A5" s="23">
        <v>43312</v>
      </c>
      <c r="B5" t="s">
        <v>107</v>
      </c>
      <c r="C5">
        <v>0.37</v>
      </c>
      <c r="D5" s="8">
        <v>629.09</v>
      </c>
      <c r="E5" s="8"/>
      <c r="F5" s="8"/>
      <c r="I5" t="s">
        <v>106</v>
      </c>
    </row>
    <row r="6" spans="1:10" x14ac:dyDescent="0.25">
      <c r="A6" s="23">
        <v>43312</v>
      </c>
      <c r="B6" t="s">
        <v>107</v>
      </c>
      <c r="C6">
        <v>0.14000000000000001</v>
      </c>
      <c r="D6" s="8">
        <v>234.95</v>
      </c>
      <c r="E6" s="8"/>
      <c r="F6" s="8"/>
      <c r="I6" t="s">
        <v>106</v>
      </c>
    </row>
    <row r="7" spans="1:10" x14ac:dyDescent="0.25">
      <c r="A7" s="23">
        <v>43441</v>
      </c>
      <c r="B7" t="s">
        <v>104</v>
      </c>
      <c r="C7">
        <v>0.441</v>
      </c>
      <c r="D7" s="8">
        <v>5647.79</v>
      </c>
      <c r="E7" s="8"/>
      <c r="F7" s="8"/>
      <c r="I7" t="s">
        <v>106</v>
      </c>
    </row>
    <row r="8" spans="1:10" x14ac:dyDescent="0.25">
      <c r="A8" s="23">
        <v>43441</v>
      </c>
      <c r="B8" t="s">
        <v>104</v>
      </c>
      <c r="C8">
        <v>2.7E-2</v>
      </c>
      <c r="D8" s="8">
        <v>345.64</v>
      </c>
      <c r="E8" s="8"/>
      <c r="F8" s="8"/>
      <c r="I8" t="s">
        <v>106</v>
      </c>
    </row>
    <row r="9" spans="1:10" x14ac:dyDescent="0.25">
      <c r="A9" s="23">
        <v>43445</v>
      </c>
      <c r="B9" t="s">
        <v>104</v>
      </c>
      <c r="C9">
        <v>6.3700000000000007E-2</v>
      </c>
      <c r="D9" s="8">
        <v>842</v>
      </c>
      <c r="E9" s="8"/>
      <c r="F9" s="8"/>
      <c r="I9" t="s">
        <v>106</v>
      </c>
    </row>
    <row r="10" spans="1:10" x14ac:dyDescent="0.25">
      <c r="A10" s="23">
        <v>43445</v>
      </c>
      <c r="B10" t="s">
        <v>104</v>
      </c>
      <c r="C10">
        <v>1.21E-2</v>
      </c>
      <c r="D10" s="8">
        <v>160</v>
      </c>
      <c r="E10" s="8"/>
      <c r="F10" s="8"/>
      <c r="I10" t="s">
        <v>106</v>
      </c>
    </row>
    <row r="11" spans="1:10" x14ac:dyDescent="0.25">
      <c r="A11" s="23">
        <v>43340</v>
      </c>
      <c r="B11" t="s">
        <v>104</v>
      </c>
      <c r="C11">
        <v>0.17061999999999999</v>
      </c>
      <c r="D11" s="8">
        <v>5000</v>
      </c>
      <c r="E11" s="8"/>
      <c r="F11" s="8"/>
      <c r="I11" t="s">
        <v>108</v>
      </c>
    </row>
    <row r="12" spans="1:10" x14ac:dyDescent="0.25">
      <c r="A12" s="23">
        <v>44610</v>
      </c>
      <c r="B12" t="s">
        <v>165</v>
      </c>
      <c r="D12" s="8">
        <v>999</v>
      </c>
      <c r="E12" s="8"/>
      <c r="F12" s="8"/>
      <c r="I12" t="s">
        <v>166</v>
      </c>
    </row>
    <row r="13" spans="1:10" x14ac:dyDescent="0.25">
      <c r="D13" s="53">
        <f>SUM(D2:D12)</f>
        <v>18984.27</v>
      </c>
      <c r="E13" s="53"/>
      <c r="F13" s="53"/>
    </row>
    <row r="14" spans="1:10" x14ac:dyDescent="0.25">
      <c r="B14" t="s">
        <v>109</v>
      </c>
      <c r="C14">
        <v>900</v>
      </c>
      <c r="D14" t="s">
        <v>110</v>
      </c>
      <c r="F14" s="55">
        <v>90.44</v>
      </c>
      <c r="G14" s="60" t="s">
        <v>127</v>
      </c>
    </row>
    <row r="15" spans="1:10" x14ac:dyDescent="0.25">
      <c r="B15" t="s">
        <v>111</v>
      </c>
      <c r="C15">
        <v>207000</v>
      </c>
      <c r="D15" t="s">
        <v>112</v>
      </c>
      <c r="F15" s="55">
        <v>91.83</v>
      </c>
      <c r="G15" s="60" t="s">
        <v>128</v>
      </c>
    </row>
    <row r="16" spans="1:10" x14ac:dyDescent="0.25">
      <c r="B16" t="s">
        <v>113</v>
      </c>
      <c r="C16">
        <v>2114</v>
      </c>
      <c r="D16" t="s">
        <v>114</v>
      </c>
      <c r="F16" s="55">
        <v>313.67</v>
      </c>
      <c r="G16" s="60" t="s">
        <v>129</v>
      </c>
    </row>
    <row r="17" spans="2:7" x14ac:dyDescent="0.25">
      <c r="B17" t="s">
        <v>115</v>
      </c>
      <c r="C17">
        <v>1180.94</v>
      </c>
      <c r="F17" s="55">
        <v>1042.6400000000001</v>
      </c>
      <c r="G17" s="60" t="s">
        <v>130</v>
      </c>
    </row>
    <row r="18" spans="2:7" x14ac:dyDescent="0.25">
      <c r="B18" t="s">
        <v>116</v>
      </c>
      <c r="C18">
        <v>12.388999999999999</v>
      </c>
      <c r="D18" t="s">
        <v>117</v>
      </c>
      <c r="F18" s="55">
        <v>874.71</v>
      </c>
      <c r="G18" s="60" t="s">
        <v>131</v>
      </c>
    </row>
    <row r="19" spans="2:7" x14ac:dyDescent="0.25">
      <c r="B19" t="s">
        <v>104</v>
      </c>
      <c r="C19">
        <v>0.1588</v>
      </c>
      <c r="F19" s="55">
        <v>555.84</v>
      </c>
      <c r="G19" s="60" t="s">
        <v>132</v>
      </c>
    </row>
    <row r="20" spans="2:7" x14ac:dyDescent="0.25">
      <c r="G20" s="53" t="s">
        <v>133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4FCDC-D48D-49B4-ACD8-F34E27F2CEA3}">
  <dimension ref="A1:L264"/>
  <sheetViews>
    <sheetView topLeftCell="A84" workbookViewId="0">
      <selection activeCell="J75" sqref="J75"/>
    </sheetView>
  </sheetViews>
  <sheetFormatPr defaultRowHeight="15" x14ac:dyDescent="0.25"/>
  <cols>
    <col min="1" max="1" width="7" bestFit="1" customWidth="1"/>
    <col min="2" max="2" width="11.7109375" customWidth="1"/>
    <col min="3" max="3" width="10.140625" bestFit="1" customWidth="1"/>
    <col min="4" max="4" width="8.28515625" bestFit="1" customWidth="1"/>
    <col min="5" max="5" width="10.5703125" bestFit="1" customWidth="1"/>
    <col min="6" max="6" width="11.28515625" customWidth="1"/>
    <col min="7" max="7" width="11.7109375" bestFit="1" customWidth="1"/>
    <col min="10" max="10" width="13.7109375" customWidth="1"/>
  </cols>
  <sheetData>
    <row r="1" spans="1:12" ht="30" x14ac:dyDescent="0.25">
      <c r="A1" s="1" t="s">
        <v>0</v>
      </c>
      <c r="B1" s="1" t="s">
        <v>20</v>
      </c>
      <c r="C1" s="1" t="s">
        <v>1</v>
      </c>
      <c r="D1" s="1" t="s">
        <v>2</v>
      </c>
      <c r="E1" s="1" t="s">
        <v>3</v>
      </c>
      <c r="F1" s="1" t="s">
        <v>91</v>
      </c>
      <c r="G1" s="1" t="s">
        <v>4</v>
      </c>
      <c r="H1" s="1" t="s">
        <v>154</v>
      </c>
      <c r="I1" s="1" t="s">
        <v>155</v>
      </c>
      <c r="J1" s="1" t="s">
        <v>21</v>
      </c>
    </row>
    <row r="2" spans="1:12" x14ac:dyDescent="0.25">
      <c r="A2" s="1"/>
      <c r="B2" s="1"/>
      <c r="C2" s="1"/>
      <c r="D2" s="1"/>
      <c r="E2" s="1"/>
      <c r="F2" s="1"/>
      <c r="G2" s="1"/>
      <c r="H2" s="1"/>
      <c r="I2" s="1"/>
      <c r="J2" s="1"/>
    </row>
    <row r="3" spans="1:12" x14ac:dyDescent="0.25">
      <c r="A3" s="35">
        <v>42948</v>
      </c>
      <c r="B3" s="28">
        <v>79582.13</v>
      </c>
      <c r="C3" s="28">
        <v>79582.13</v>
      </c>
      <c r="D3" s="29">
        <v>4.1999999999999997E-3</v>
      </c>
      <c r="E3" s="29">
        <f>(C3*D3)</f>
        <v>334.24494600000003</v>
      </c>
      <c r="F3" s="30"/>
      <c r="G3" s="28">
        <f>(C3+E3+F3)</f>
        <v>79916.374946000011</v>
      </c>
      <c r="H3" s="28"/>
      <c r="I3" s="28"/>
      <c r="J3" s="30"/>
    </row>
    <row r="4" spans="1:12" x14ac:dyDescent="0.25">
      <c r="A4" s="35">
        <v>42979</v>
      </c>
      <c r="B4" s="28">
        <f>(G3)</f>
        <v>79916.374946000011</v>
      </c>
      <c r="C4" s="28">
        <v>16562</v>
      </c>
      <c r="D4" s="29">
        <v>4.1999999999999997E-3</v>
      </c>
      <c r="E4" s="29">
        <f>(B4*D4)</f>
        <v>335.64877477320005</v>
      </c>
      <c r="F4" s="30"/>
      <c r="G4" s="28">
        <f>(G3+C4+E4+F4)</f>
        <v>96814.023720773213</v>
      </c>
      <c r="H4" s="28"/>
      <c r="I4" s="28"/>
      <c r="J4" s="30"/>
    </row>
    <row r="5" spans="1:12" x14ac:dyDescent="0.25">
      <c r="A5" s="35">
        <v>43009</v>
      </c>
      <c r="B5" s="28">
        <f t="shared" ref="B5:B68" si="0">(G4)</f>
        <v>96814.023720773213</v>
      </c>
      <c r="C5" s="28">
        <v>1250</v>
      </c>
      <c r="D5" s="29">
        <v>4.1999999999999997E-3</v>
      </c>
      <c r="E5" s="29">
        <f t="shared" ref="E5:E68" si="1">(B5*D5)</f>
        <v>406.61889962724746</v>
      </c>
      <c r="F5" s="30"/>
      <c r="G5" s="28">
        <f>(G4+C5+E5+F5)</f>
        <v>98470.642620400467</v>
      </c>
      <c r="H5" s="28"/>
      <c r="I5" s="28"/>
      <c r="J5" s="30"/>
      <c r="K5">
        <f>(0.0042*12)</f>
        <v>5.04E-2</v>
      </c>
      <c r="L5" t="s">
        <v>22</v>
      </c>
    </row>
    <row r="6" spans="1:12" x14ac:dyDescent="0.25">
      <c r="A6" s="35">
        <v>43040</v>
      </c>
      <c r="B6" s="28">
        <f t="shared" si="0"/>
        <v>98470.642620400467</v>
      </c>
      <c r="C6" s="28">
        <v>4450</v>
      </c>
      <c r="D6" s="29">
        <v>4.1999999999999997E-3</v>
      </c>
      <c r="E6" s="29">
        <f t="shared" si="1"/>
        <v>413.57669900568192</v>
      </c>
      <c r="F6" s="30"/>
      <c r="G6" s="28">
        <f t="shared" ref="G6:G69" si="2">(G5+C6+E6+F6)</f>
        <v>103334.21931940615</v>
      </c>
      <c r="H6" s="28"/>
      <c r="I6" s="28"/>
      <c r="J6" s="30"/>
    </row>
    <row r="7" spans="1:12" x14ac:dyDescent="0.25">
      <c r="A7" s="35">
        <v>43070</v>
      </c>
      <c r="B7" s="28">
        <f>(G6)</f>
        <v>103334.21931940615</v>
      </c>
      <c r="C7" s="28">
        <v>0</v>
      </c>
      <c r="D7" s="29">
        <v>4.1999999999999997E-3</v>
      </c>
      <c r="E7" s="29">
        <f t="shared" si="1"/>
        <v>434.00372114150582</v>
      </c>
      <c r="F7" s="30"/>
      <c r="G7" s="28">
        <f>(G6+C7+E7+F7)</f>
        <v>103768.22304054766</v>
      </c>
      <c r="H7" s="28"/>
      <c r="I7" s="28"/>
      <c r="J7" s="30"/>
    </row>
    <row r="8" spans="1:12" x14ac:dyDescent="0.25">
      <c r="A8" s="35">
        <v>43101</v>
      </c>
      <c r="B8" s="28">
        <f t="shared" si="0"/>
        <v>103768.22304054766</v>
      </c>
      <c r="C8" s="28">
        <v>0</v>
      </c>
      <c r="D8" s="29">
        <v>4.1999999999999997E-3</v>
      </c>
      <c r="E8" s="29">
        <f t="shared" si="1"/>
        <v>435.82653677030015</v>
      </c>
      <c r="F8" s="30"/>
      <c r="G8" s="28">
        <f t="shared" si="2"/>
        <v>104204.04957731796</v>
      </c>
      <c r="H8" s="28"/>
      <c r="I8" s="28"/>
      <c r="J8" s="30"/>
    </row>
    <row r="9" spans="1:12" x14ac:dyDescent="0.25">
      <c r="A9" s="35">
        <v>43132</v>
      </c>
      <c r="B9" s="28">
        <f t="shared" si="0"/>
        <v>104204.04957731796</v>
      </c>
      <c r="C9" s="28">
        <v>28050</v>
      </c>
      <c r="D9" s="29">
        <v>4.1999999999999997E-3</v>
      </c>
      <c r="E9" s="29">
        <f t="shared" si="1"/>
        <v>437.65700822473542</v>
      </c>
      <c r="F9" s="30"/>
      <c r="G9" s="28">
        <f t="shared" si="2"/>
        <v>132691.70658554271</v>
      </c>
      <c r="H9" s="28"/>
      <c r="I9" s="28"/>
      <c r="J9" s="31"/>
    </row>
    <row r="10" spans="1:12" x14ac:dyDescent="0.25">
      <c r="A10" s="35">
        <v>43160</v>
      </c>
      <c r="B10" s="28">
        <f>(G9)</f>
        <v>132691.70658554271</v>
      </c>
      <c r="C10" s="28">
        <v>46200</v>
      </c>
      <c r="D10" s="29">
        <v>4.1999999999999997E-3</v>
      </c>
      <c r="E10" s="29">
        <f t="shared" si="1"/>
        <v>557.30516765927928</v>
      </c>
      <c r="F10" s="30"/>
      <c r="G10" s="28">
        <f>(G9+C10+E10+F10)</f>
        <v>179449.01175320198</v>
      </c>
      <c r="H10" s="28"/>
      <c r="I10" s="28"/>
      <c r="J10" s="31"/>
    </row>
    <row r="11" spans="1:12" x14ac:dyDescent="0.25">
      <c r="A11" s="35">
        <v>43191</v>
      </c>
      <c r="B11" s="28">
        <f t="shared" si="0"/>
        <v>179449.01175320198</v>
      </c>
      <c r="C11" s="28">
        <v>-10814</v>
      </c>
      <c r="D11" s="29">
        <v>4.1999999999999997E-3</v>
      </c>
      <c r="E11" s="29">
        <f t="shared" si="1"/>
        <v>753.68584936344826</v>
      </c>
      <c r="F11" s="30"/>
      <c r="G11" s="28">
        <f t="shared" si="2"/>
        <v>169388.69760256543</v>
      </c>
      <c r="H11" s="28"/>
      <c r="I11" s="28"/>
      <c r="J11" s="31"/>
    </row>
    <row r="12" spans="1:12" x14ac:dyDescent="0.25">
      <c r="A12" s="35">
        <v>43221</v>
      </c>
      <c r="B12" s="28">
        <f t="shared" si="0"/>
        <v>169388.69760256543</v>
      </c>
      <c r="C12" s="28">
        <v>14077.91</v>
      </c>
      <c r="D12" s="29">
        <v>4.1999999999999997E-3</v>
      </c>
      <c r="E12" s="29">
        <f t="shared" si="1"/>
        <v>711.43252993077476</v>
      </c>
      <c r="F12" s="30"/>
      <c r="G12" s="28">
        <f t="shared" si="2"/>
        <v>184178.04013249621</v>
      </c>
      <c r="H12" s="38"/>
      <c r="I12" s="38"/>
      <c r="J12" s="31"/>
    </row>
    <row r="13" spans="1:12" x14ac:dyDescent="0.25">
      <c r="A13" s="35">
        <v>43252</v>
      </c>
      <c r="B13" s="28">
        <f t="shared" si="0"/>
        <v>184178.04013249621</v>
      </c>
      <c r="C13" s="28">
        <v>2170</v>
      </c>
      <c r="D13" s="29">
        <v>4.1999999999999997E-3</v>
      </c>
      <c r="E13" s="29">
        <f t="shared" si="1"/>
        <v>773.54776855648402</v>
      </c>
      <c r="F13" s="30"/>
      <c r="G13" s="28">
        <f t="shared" si="2"/>
        <v>187121.5879010527</v>
      </c>
      <c r="H13" s="38"/>
      <c r="I13" s="38"/>
      <c r="J13" s="27"/>
    </row>
    <row r="14" spans="1:12" x14ac:dyDescent="0.25">
      <c r="A14" s="35">
        <v>43282</v>
      </c>
      <c r="B14" s="28">
        <f t="shared" si="0"/>
        <v>187121.5879010527</v>
      </c>
      <c r="C14" s="28">
        <v>-6003.6</v>
      </c>
      <c r="D14" s="29">
        <v>4.1999999999999997E-3</v>
      </c>
      <c r="E14" s="29">
        <f t="shared" si="1"/>
        <v>785.91066918442129</v>
      </c>
      <c r="F14" s="30"/>
      <c r="G14" s="28">
        <f t="shared" si="2"/>
        <v>181903.89857023713</v>
      </c>
      <c r="H14" s="38"/>
      <c r="I14" s="38"/>
      <c r="J14" s="27"/>
    </row>
    <row r="15" spans="1:12" x14ac:dyDescent="0.25">
      <c r="A15" s="35">
        <v>43313</v>
      </c>
      <c r="B15" s="28">
        <f t="shared" si="0"/>
        <v>181903.89857023713</v>
      </c>
      <c r="C15" s="28">
        <v>780</v>
      </c>
      <c r="D15" s="29">
        <v>4.1999999999999997E-3</v>
      </c>
      <c r="E15" s="29">
        <f t="shared" si="1"/>
        <v>763.99637399499591</v>
      </c>
      <c r="F15" s="30"/>
      <c r="G15" s="28">
        <f t="shared" si="2"/>
        <v>183447.89494423213</v>
      </c>
      <c r="H15" s="38"/>
      <c r="I15" s="38"/>
      <c r="J15" s="31"/>
    </row>
    <row r="16" spans="1:12" x14ac:dyDescent="0.25">
      <c r="A16" s="35">
        <v>43344</v>
      </c>
      <c r="B16" s="28">
        <f t="shared" si="0"/>
        <v>183447.89494423213</v>
      </c>
      <c r="C16" s="28">
        <v>3000</v>
      </c>
      <c r="D16" s="29">
        <v>4.1999999999999997E-3</v>
      </c>
      <c r="E16" s="29">
        <f t="shared" si="1"/>
        <v>770.48115876577492</v>
      </c>
      <c r="F16" s="30"/>
      <c r="G16" s="28">
        <f t="shared" si="2"/>
        <v>187218.37610299789</v>
      </c>
      <c r="H16" s="38"/>
      <c r="I16" s="38"/>
      <c r="J16" s="31"/>
    </row>
    <row r="17" spans="1:10" x14ac:dyDescent="0.25">
      <c r="A17" s="35">
        <v>43374</v>
      </c>
      <c r="B17" s="28">
        <f t="shared" si="0"/>
        <v>187218.37610299789</v>
      </c>
      <c r="C17" s="28">
        <v>3150</v>
      </c>
      <c r="D17" s="29">
        <v>4.1999999999999997E-3</v>
      </c>
      <c r="E17" s="29">
        <f t="shared" si="1"/>
        <v>786.31717963259109</v>
      </c>
      <c r="F17" s="30"/>
      <c r="G17" s="28">
        <f t="shared" si="2"/>
        <v>191154.69328263047</v>
      </c>
      <c r="H17" s="38"/>
      <c r="I17" s="38"/>
      <c r="J17" s="31"/>
    </row>
    <row r="18" spans="1:10" x14ac:dyDescent="0.25">
      <c r="A18" s="35">
        <v>43405</v>
      </c>
      <c r="B18" s="28">
        <f t="shared" si="0"/>
        <v>191154.69328263047</v>
      </c>
      <c r="C18" s="28">
        <v>22000</v>
      </c>
      <c r="D18" s="29">
        <v>4.1999999999999997E-3</v>
      </c>
      <c r="E18" s="29">
        <f t="shared" si="1"/>
        <v>802.84971178704791</v>
      </c>
      <c r="F18" s="30"/>
      <c r="G18" s="28">
        <f>(G17+C18+E18+F18)</f>
        <v>213957.54299441751</v>
      </c>
      <c r="H18" s="38"/>
      <c r="I18" s="38"/>
      <c r="J18" s="50"/>
    </row>
    <row r="19" spans="1:10" x14ac:dyDescent="0.25">
      <c r="A19" s="35">
        <v>43435</v>
      </c>
      <c r="B19" s="28">
        <f t="shared" si="0"/>
        <v>213957.54299441751</v>
      </c>
      <c r="C19" s="28">
        <v>3500</v>
      </c>
      <c r="D19" s="29">
        <v>4.1999999999999997E-3</v>
      </c>
      <c r="E19" s="29">
        <f t="shared" si="1"/>
        <v>898.62168057655344</v>
      </c>
      <c r="F19" s="30"/>
      <c r="G19" s="28">
        <f t="shared" si="2"/>
        <v>218356.16467499407</v>
      </c>
      <c r="H19" s="51"/>
      <c r="I19" s="51"/>
      <c r="J19" s="27"/>
    </row>
    <row r="20" spans="1:10" x14ac:dyDescent="0.25">
      <c r="A20" s="35">
        <v>43466</v>
      </c>
      <c r="B20" s="28">
        <f t="shared" si="0"/>
        <v>218356.16467499407</v>
      </c>
      <c r="C20" s="28">
        <v>3000</v>
      </c>
      <c r="D20" s="29">
        <v>4.1999999999999997E-3</v>
      </c>
      <c r="E20" s="29">
        <f t="shared" si="1"/>
        <v>917.09589163497503</v>
      </c>
      <c r="F20" s="30"/>
      <c r="G20" s="28">
        <f t="shared" si="2"/>
        <v>222273.26056662903</v>
      </c>
      <c r="H20" s="51"/>
      <c r="I20" s="51"/>
      <c r="J20" s="27"/>
    </row>
    <row r="21" spans="1:10" x14ac:dyDescent="0.25">
      <c r="A21" s="35">
        <v>43497</v>
      </c>
      <c r="B21" s="28">
        <f t="shared" si="0"/>
        <v>222273.26056662903</v>
      </c>
      <c r="C21" s="28">
        <v>55520</v>
      </c>
      <c r="D21" s="29">
        <v>4.1999999999999997E-3</v>
      </c>
      <c r="E21" s="29">
        <f t="shared" si="1"/>
        <v>933.54769437984191</v>
      </c>
      <c r="F21" s="30"/>
      <c r="G21" s="28">
        <f t="shared" si="2"/>
        <v>278726.80826100882</v>
      </c>
      <c r="H21" s="38"/>
      <c r="I21" s="38"/>
      <c r="J21" s="27"/>
    </row>
    <row r="22" spans="1:10" x14ac:dyDescent="0.25">
      <c r="A22" s="35">
        <v>43525</v>
      </c>
      <c r="B22" s="28">
        <f t="shared" si="0"/>
        <v>278726.80826100882</v>
      </c>
      <c r="C22" s="28">
        <v>0</v>
      </c>
      <c r="D22" s="29">
        <v>4.1999999999999997E-3</v>
      </c>
      <c r="E22" s="29">
        <f t="shared" si="1"/>
        <v>1170.652594696237</v>
      </c>
      <c r="F22" s="30"/>
      <c r="G22" s="28">
        <f t="shared" si="2"/>
        <v>279897.46085570508</v>
      </c>
      <c r="H22" s="38"/>
      <c r="I22" s="38"/>
      <c r="J22" s="61"/>
    </row>
    <row r="23" spans="1:10" x14ac:dyDescent="0.25">
      <c r="A23" s="35">
        <v>43556</v>
      </c>
      <c r="B23" s="28">
        <f t="shared" si="0"/>
        <v>279897.46085570508</v>
      </c>
      <c r="C23" s="28">
        <v>1000</v>
      </c>
      <c r="D23" s="29">
        <v>4.1999999999999997E-3</v>
      </c>
      <c r="E23" s="29">
        <f t="shared" si="1"/>
        <v>1175.5693355939613</v>
      </c>
      <c r="F23" s="30"/>
      <c r="G23" s="28">
        <f t="shared" si="2"/>
        <v>282073.03019129904</v>
      </c>
      <c r="H23" s="38"/>
      <c r="I23" s="38"/>
      <c r="J23" s="39"/>
    </row>
    <row r="24" spans="1:10" x14ac:dyDescent="0.25">
      <c r="A24" s="35">
        <v>43586</v>
      </c>
      <c r="B24" s="28">
        <f t="shared" si="0"/>
        <v>282073.03019129904</v>
      </c>
      <c r="C24" s="28">
        <v>10000</v>
      </c>
      <c r="D24" s="29">
        <v>4.1999999999999997E-3</v>
      </c>
      <c r="E24" s="29">
        <f t="shared" si="1"/>
        <v>1184.7067268034559</v>
      </c>
      <c r="F24" s="30"/>
      <c r="G24" s="28">
        <f t="shared" si="2"/>
        <v>293257.73691810248</v>
      </c>
      <c r="H24" s="38"/>
      <c r="I24" s="38"/>
      <c r="J24" s="39"/>
    </row>
    <row r="25" spans="1:10" x14ac:dyDescent="0.25">
      <c r="A25" s="35">
        <v>43617</v>
      </c>
      <c r="B25" s="28">
        <f t="shared" si="0"/>
        <v>293257.73691810248</v>
      </c>
      <c r="C25" s="28">
        <v>1500</v>
      </c>
      <c r="D25" s="29">
        <v>4.1999999999999997E-3</v>
      </c>
      <c r="E25" s="29">
        <f t="shared" si="1"/>
        <v>1231.6824950560303</v>
      </c>
      <c r="F25" s="30"/>
      <c r="G25" s="28">
        <f t="shared" si="2"/>
        <v>295989.4194131585</v>
      </c>
      <c r="H25" s="38"/>
      <c r="I25" s="38"/>
      <c r="J25" s="39"/>
    </row>
    <row r="26" spans="1:10" x14ac:dyDescent="0.25">
      <c r="A26" s="35">
        <v>43647</v>
      </c>
      <c r="B26" s="28">
        <f t="shared" si="0"/>
        <v>295989.4194131585</v>
      </c>
      <c r="C26" s="28">
        <v>0</v>
      </c>
      <c r="D26" s="29">
        <v>4.1999999999999997E-3</v>
      </c>
      <c r="E26" s="29">
        <f t="shared" si="1"/>
        <v>1243.1555615352656</v>
      </c>
      <c r="F26" s="30"/>
      <c r="G26" s="28">
        <f t="shared" si="2"/>
        <v>297232.57497469377</v>
      </c>
      <c r="H26" s="38"/>
      <c r="I26" s="38"/>
      <c r="J26" s="39"/>
    </row>
    <row r="27" spans="1:10" x14ac:dyDescent="0.25">
      <c r="A27" s="35">
        <v>43678</v>
      </c>
      <c r="B27" s="28">
        <f t="shared" si="0"/>
        <v>297232.57497469377</v>
      </c>
      <c r="C27" s="28">
        <v>3000</v>
      </c>
      <c r="D27" s="29">
        <v>4.1999999999999997E-3</v>
      </c>
      <c r="E27" s="29">
        <f t="shared" si="1"/>
        <v>1248.3768148937138</v>
      </c>
      <c r="F27" s="30"/>
      <c r="G27" s="28">
        <f t="shared" si="2"/>
        <v>301480.9517895875</v>
      </c>
      <c r="H27" s="38"/>
      <c r="I27" s="38"/>
      <c r="J27" s="61"/>
    </row>
    <row r="28" spans="1:10" x14ac:dyDescent="0.25">
      <c r="A28" s="35">
        <v>43709</v>
      </c>
      <c r="B28" s="28">
        <f t="shared" si="0"/>
        <v>301480.9517895875</v>
      </c>
      <c r="C28" s="28">
        <v>2000</v>
      </c>
      <c r="D28" s="29">
        <v>4.1999999999999997E-3</v>
      </c>
      <c r="E28" s="29">
        <f t="shared" si="1"/>
        <v>1266.2199975162675</v>
      </c>
      <c r="F28" s="30"/>
      <c r="G28" s="28">
        <f t="shared" si="2"/>
        <v>304747.17178710375</v>
      </c>
      <c r="H28" s="38"/>
      <c r="I28" s="38"/>
      <c r="J28" s="4"/>
    </row>
    <row r="29" spans="1:10" x14ac:dyDescent="0.25">
      <c r="A29" s="35">
        <v>43739</v>
      </c>
      <c r="B29" s="28">
        <f t="shared" si="0"/>
        <v>304747.17178710375</v>
      </c>
      <c r="C29" s="28">
        <v>3000</v>
      </c>
      <c r="D29" s="29">
        <v>4.1999999999999997E-3</v>
      </c>
      <c r="E29" s="29">
        <f t="shared" si="1"/>
        <v>1279.9381215058356</v>
      </c>
      <c r="F29" s="30"/>
      <c r="G29" s="28">
        <f t="shared" si="2"/>
        <v>309027.10990860959</v>
      </c>
      <c r="H29" s="38"/>
      <c r="I29" s="38"/>
      <c r="J29" s="61"/>
    </row>
    <row r="30" spans="1:10" x14ac:dyDescent="0.25">
      <c r="A30" s="35">
        <v>43770</v>
      </c>
      <c r="B30" s="28">
        <f t="shared" si="0"/>
        <v>309027.10990860959</v>
      </c>
      <c r="C30" s="28">
        <v>3850</v>
      </c>
      <c r="D30" s="29">
        <v>4.1999999999999997E-3</v>
      </c>
      <c r="E30" s="29">
        <f t="shared" si="1"/>
        <v>1297.9138616161601</v>
      </c>
      <c r="F30" s="30"/>
      <c r="G30" s="28">
        <f t="shared" si="2"/>
        <v>314175.02377022576</v>
      </c>
      <c r="H30" s="70"/>
      <c r="I30" s="70"/>
      <c r="J30" s="31"/>
    </row>
    <row r="31" spans="1:10" x14ac:dyDescent="0.25">
      <c r="A31" s="35">
        <v>43800</v>
      </c>
      <c r="B31" s="28">
        <f t="shared" si="0"/>
        <v>314175.02377022576</v>
      </c>
      <c r="C31" s="28">
        <v>3000</v>
      </c>
      <c r="D31" s="29">
        <v>4.1999999999999997E-3</v>
      </c>
      <c r="E31" s="29">
        <f t="shared" si="1"/>
        <v>1319.5350998349481</v>
      </c>
      <c r="F31" s="30"/>
      <c r="G31" s="28">
        <f t="shared" si="2"/>
        <v>318494.55887006072</v>
      </c>
      <c r="H31" s="70"/>
      <c r="I31" s="70"/>
      <c r="J31" s="31"/>
    </row>
    <row r="32" spans="1:10" x14ac:dyDescent="0.25">
      <c r="A32" s="35">
        <v>43831</v>
      </c>
      <c r="B32" s="28">
        <f t="shared" si="0"/>
        <v>318494.55887006072</v>
      </c>
      <c r="C32" s="28">
        <v>14058</v>
      </c>
      <c r="D32" s="29">
        <v>4.1999999999999997E-3</v>
      </c>
      <c r="E32" s="29">
        <f t="shared" si="1"/>
        <v>1337.677147254255</v>
      </c>
      <c r="F32" s="30"/>
      <c r="G32" s="28">
        <f t="shared" si="2"/>
        <v>333890.23601731495</v>
      </c>
      <c r="H32" s="70"/>
      <c r="I32" s="70"/>
      <c r="J32" s="31"/>
    </row>
    <row r="33" spans="1:10" x14ac:dyDescent="0.25">
      <c r="A33" s="35">
        <v>43862</v>
      </c>
      <c r="B33" s="28">
        <f t="shared" si="0"/>
        <v>333890.23601731495</v>
      </c>
      <c r="C33" s="28">
        <v>0</v>
      </c>
      <c r="D33" s="29">
        <v>4.1999999999999997E-3</v>
      </c>
      <c r="E33" s="29">
        <f t="shared" si="1"/>
        <v>1402.3389912727228</v>
      </c>
      <c r="F33" s="30"/>
      <c r="G33" s="28">
        <f t="shared" si="2"/>
        <v>335292.57500858768</v>
      </c>
      <c r="H33" s="69"/>
      <c r="I33" s="69"/>
      <c r="J33" s="27"/>
    </row>
    <row r="34" spans="1:10" x14ac:dyDescent="0.25">
      <c r="A34" s="35">
        <v>43891</v>
      </c>
      <c r="B34" s="28">
        <f t="shared" si="0"/>
        <v>335292.57500858768</v>
      </c>
      <c r="C34" s="28">
        <v>40000</v>
      </c>
      <c r="D34" s="29">
        <v>4.1999999999999997E-3</v>
      </c>
      <c r="E34" s="29">
        <f t="shared" si="1"/>
        <v>1408.2288150360682</v>
      </c>
      <c r="F34" s="30"/>
      <c r="G34" s="28">
        <f t="shared" si="2"/>
        <v>376700.80382362375</v>
      </c>
      <c r="H34" s="70"/>
      <c r="I34" s="70"/>
      <c r="J34" s="31"/>
    </row>
    <row r="35" spans="1:10" x14ac:dyDescent="0.25">
      <c r="A35" s="35">
        <v>43922</v>
      </c>
      <c r="B35" s="28">
        <f t="shared" si="0"/>
        <v>376700.80382362375</v>
      </c>
      <c r="C35" s="28">
        <v>0</v>
      </c>
      <c r="D35" s="29">
        <v>4.1999999999999997E-3</v>
      </c>
      <c r="E35" s="29">
        <f t="shared" si="1"/>
        <v>1582.1433760592197</v>
      </c>
      <c r="F35" s="30"/>
      <c r="G35" s="28">
        <f t="shared" si="2"/>
        <v>378282.947199683</v>
      </c>
      <c r="H35" s="72"/>
      <c r="I35" s="72"/>
      <c r="J35" s="73"/>
    </row>
    <row r="36" spans="1:10" x14ac:dyDescent="0.25">
      <c r="A36" s="35">
        <v>43952</v>
      </c>
      <c r="B36" s="28">
        <f t="shared" si="0"/>
        <v>378282.947199683</v>
      </c>
      <c r="C36" s="28">
        <v>0</v>
      </c>
      <c r="D36" s="29">
        <v>4.1999999999999997E-3</v>
      </c>
      <c r="E36" s="29">
        <f t="shared" si="1"/>
        <v>1588.7883782386684</v>
      </c>
      <c r="F36" s="30"/>
      <c r="G36" s="28">
        <f t="shared" si="2"/>
        <v>379871.73557792167</v>
      </c>
      <c r="H36" s="72"/>
      <c r="I36" s="72"/>
      <c r="J36" s="73"/>
    </row>
    <row r="37" spans="1:10" x14ac:dyDescent="0.25">
      <c r="A37" s="35">
        <v>43983</v>
      </c>
      <c r="B37" s="28">
        <f t="shared" si="0"/>
        <v>379871.73557792167</v>
      </c>
      <c r="C37" s="28">
        <v>0</v>
      </c>
      <c r="D37" s="29">
        <v>4.1999999999999997E-3</v>
      </c>
      <c r="E37" s="29">
        <f t="shared" si="1"/>
        <v>1595.4612894272709</v>
      </c>
      <c r="F37" s="30"/>
      <c r="G37" s="28">
        <f t="shared" si="2"/>
        <v>381467.19686734892</v>
      </c>
      <c r="H37" s="72"/>
      <c r="I37" s="72"/>
      <c r="J37" s="73"/>
    </row>
    <row r="38" spans="1:10" x14ac:dyDescent="0.25">
      <c r="A38" s="35">
        <v>44013</v>
      </c>
      <c r="B38" s="28">
        <f t="shared" si="0"/>
        <v>381467.19686734892</v>
      </c>
      <c r="C38" s="28">
        <v>0</v>
      </c>
      <c r="D38" s="29">
        <v>4.1999999999999997E-3</v>
      </c>
      <c r="E38" s="29">
        <f t="shared" si="1"/>
        <v>1602.1622268428653</v>
      </c>
      <c r="F38" s="30"/>
      <c r="G38" s="28">
        <f t="shared" si="2"/>
        <v>383069.35909419181</v>
      </c>
      <c r="H38" s="72"/>
      <c r="I38" s="72"/>
      <c r="J38" s="73"/>
    </row>
    <row r="39" spans="1:10" x14ac:dyDescent="0.25">
      <c r="A39" s="35">
        <v>44044</v>
      </c>
      <c r="B39" s="28">
        <f t="shared" si="0"/>
        <v>383069.35909419181</v>
      </c>
      <c r="C39" s="28">
        <v>0</v>
      </c>
      <c r="D39" s="29">
        <v>4.1999999999999997E-3</v>
      </c>
      <c r="E39" s="29">
        <f t="shared" si="1"/>
        <v>1608.8913081956055</v>
      </c>
      <c r="F39" s="30"/>
      <c r="G39" s="28">
        <f t="shared" si="2"/>
        <v>384678.25040238741</v>
      </c>
      <c r="H39" s="72"/>
      <c r="I39" s="72"/>
      <c r="J39" s="73"/>
    </row>
    <row r="40" spans="1:10" x14ac:dyDescent="0.25">
      <c r="A40" s="35">
        <v>44075</v>
      </c>
      <c r="B40" s="28">
        <f t="shared" si="0"/>
        <v>384678.25040238741</v>
      </c>
      <c r="C40" s="28">
        <v>0</v>
      </c>
      <c r="D40" s="29">
        <v>4.1999999999999997E-3</v>
      </c>
      <c r="E40" s="29">
        <f t="shared" si="1"/>
        <v>1615.648651690027</v>
      </c>
      <c r="F40" s="30"/>
      <c r="G40" s="28">
        <f t="shared" si="2"/>
        <v>386293.89905407745</v>
      </c>
      <c r="H40" s="72"/>
      <c r="I40" s="72"/>
      <c r="J40" s="73"/>
    </row>
    <row r="41" spans="1:10" x14ac:dyDescent="0.25">
      <c r="A41" s="35">
        <v>44105</v>
      </c>
      <c r="B41" s="28">
        <f t="shared" si="0"/>
        <v>386293.89905407745</v>
      </c>
      <c r="C41" s="28">
        <v>0</v>
      </c>
      <c r="D41" s="29">
        <v>4.1999999999999997E-3</v>
      </c>
      <c r="E41" s="29">
        <f t="shared" si="1"/>
        <v>1622.4343760271252</v>
      </c>
      <c r="F41" s="30"/>
      <c r="G41" s="28">
        <f t="shared" si="2"/>
        <v>387916.3334301046</v>
      </c>
      <c r="H41" s="72"/>
      <c r="I41" s="72"/>
      <c r="J41" s="73"/>
    </row>
    <row r="42" spans="1:10" x14ac:dyDescent="0.25">
      <c r="A42" s="35">
        <v>44136</v>
      </c>
      <c r="B42" s="28">
        <f t="shared" si="0"/>
        <v>387916.3334301046</v>
      </c>
      <c r="C42" s="28">
        <v>0</v>
      </c>
      <c r="D42" s="29">
        <v>4.1999999999999997E-3</v>
      </c>
      <c r="E42" s="29">
        <f t="shared" si="1"/>
        <v>1629.2486004064392</v>
      </c>
      <c r="F42" s="30"/>
      <c r="G42" s="28">
        <f t="shared" si="2"/>
        <v>389545.58203051105</v>
      </c>
      <c r="H42" s="72"/>
      <c r="I42" s="72"/>
      <c r="J42" s="73"/>
    </row>
    <row r="43" spans="1:10" x14ac:dyDescent="0.25">
      <c r="A43" s="35">
        <v>44166</v>
      </c>
      <c r="B43" s="28">
        <f t="shared" si="0"/>
        <v>389545.58203051105</v>
      </c>
      <c r="C43" s="28">
        <v>0</v>
      </c>
      <c r="D43" s="29">
        <v>4.1999999999999997E-3</v>
      </c>
      <c r="E43" s="29">
        <f t="shared" si="1"/>
        <v>1636.0914445281462</v>
      </c>
      <c r="F43" s="30"/>
      <c r="G43" s="28">
        <f t="shared" si="2"/>
        <v>391181.67347503919</v>
      </c>
      <c r="H43" s="72"/>
      <c r="I43" s="72"/>
      <c r="J43" s="73"/>
    </row>
    <row r="44" spans="1:10" x14ac:dyDescent="0.25">
      <c r="A44" s="35">
        <v>44197</v>
      </c>
      <c r="B44" s="28">
        <f t="shared" si="0"/>
        <v>391181.67347503919</v>
      </c>
      <c r="C44" s="28">
        <v>0</v>
      </c>
      <c r="D44" s="29">
        <v>4.1999999999999997E-3</v>
      </c>
      <c r="E44" s="29">
        <f t="shared" si="1"/>
        <v>1642.9630285951646</v>
      </c>
      <c r="F44" s="30"/>
      <c r="G44" s="28">
        <f t="shared" si="2"/>
        <v>392824.63650363433</v>
      </c>
      <c r="H44" s="72"/>
      <c r="I44" s="72"/>
      <c r="J44" s="73"/>
    </row>
    <row r="45" spans="1:10" x14ac:dyDescent="0.25">
      <c r="A45" s="35">
        <v>44228</v>
      </c>
      <c r="B45" s="28">
        <f t="shared" si="0"/>
        <v>392824.63650363433</v>
      </c>
      <c r="C45" s="28">
        <v>0</v>
      </c>
      <c r="D45" s="29">
        <v>4.1999999999999997E-3</v>
      </c>
      <c r="E45" s="29">
        <f t="shared" si="1"/>
        <v>1649.8634733152642</v>
      </c>
      <c r="F45" s="30"/>
      <c r="G45" s="28">
        <f t="shared" si="2"/>
        <v>394474.49997694959</v>
      </c>
      <c r="H45" s="72"/>
      <c r="I45" s="72"/>
      <c r="J45" s="73"/>
    </row>
    <row r="46" spans="1:10" x14ac:dyDescent="0.25">
      <c r="A46" s="35">
        <v>44256</v>
      </c>
      <c r="B46" s="28">
        <f t="shared" si="0"/>
        <v>394474.49997694959</v>
      </c>
      <c r="C46" s="28">
        <v>60000</v>
      </c>
      <c r="D46" s="29">
        <v>4.1999999999999997E-3</v>
      </c>
      <c r="E46" s="29">
        <f t="shared" si="1"/>
        <v>1656.7928999031881</v>
      </c>
      <c r="F46" s="30"/>
      <c r="G46" s="28">
        <f t="shared" si="2"/>
        <v>456131.29287685279</v>
      </c>
      <c r="H46" s="72"/>
      <c r="I46" s="72"/>
      <c r="J46" s="73"/>
    </row>
    <row r="47" spans="1:10" x14ac:dyDescent="0.25">
      <c r="A47" s="35">
        <v>44287</v>
      </c>
      <c r="B47" s="28">
        <f t="shared" si="0"/>
        <v>456131.29287685279</v>
      </c>
      <c r="C47" s="28">
        <v>0</v>
      </c>
      <c r="D47" s="29">
        <v>4.1999999999999997E-3</v>
      </c>
      <c r="E47" s="29">
        <f t="shared" si="1"/>
        <v>1915.7514300827816</v>
      </c>
      <c r="F47" s="30"/>
      <c r="G47" s="28">
        <f t="shared" si="2"/>
        <v>458047.04430693557</v>
      </c>
      <c r="H47" s="72"/>
      <c r="I47" s="72"/>
      <c r="J47" s="73"/>
    </row>
    <row r="48" spans="1:10" x14ac:dyDescent="0.25">
      <c r="A48" s="35">
        <v>44317</v>
      </c>
      <c r="B48" s="28">
        <f t="shared" si="0"/>
        <v>458047.04430693557</v>
      </c>
      <c r="C48" s="28">
        <v>0</v>
      </c>
      <c r="D48" s="29">
        <v>4.1999999999999997E-3</v>
      </c>
      <c r="E48" s="29">
        <f t="shared" si="1"/>
        <v>1923.7975860891293</v>
      </c>
      <c r="F48" s="30"/>
      <c r="G48" s="28">
        <f t="shared" si="2"/>
        <v>459970.84189302468</v>
      </c>
      <c r="H48" s="72"/>
      <c r="I48" s="72"/>
      <c r="J48" s="73"/>
    </row>
    <row r="49" spans="1:10" x14ac:dyDescent="0.25">
      <c r="A49" s="35">
        <v>44348</v>
      </c>
      <c r="B49" s="28">
        <f t="shared" si="0"/>
        <v>459970.84189302468</v>
      </c>
      <c r="C49" s="28">
        <v>0</v>
      </c>
      <c r="D49" s="29">
        <v>4.1999999999999997E-3</v>
      </c>
      <c r="E49" s="29">
        <f t="shared" si="1"/>
        <v>1931.8775359507035</v>
      </c>
      <c r="F49" s="30"/>
      <c r="G49" s="28">
        <f t="shared" si="2"/>
        <v>461902.71942897537</v>
      </c>
      <c r="H49" s="72"/>
      <c r="I49" s="72"/>
      <c r="J49" s="73"/>
    </row>
    <row r="50" spans="1:10" x14ac:dyDescent="0.25">
      <c r="A50" s="35">
        <v>44378</v>
      </c>
      <c r="B50" s="28">
        <f t="shared" si="0"/>
        <v>461902.71942897537</v>
      </c>
      <c r="C50" s="28">
        <v>0</v>
      </c>
      <c r="D50" s="29">
        <v>4.1999999999999997E-3</v>
      </c>
      <c r="E50" s="29">
        <f t="shared" si="1"/>
        <v>1939.9914216016964</v>
      </c>
      <c r="F50" s="30"/>
      <c r="G50" s="28">
        <f t="shared" si="2"/>
        <v>463842.71085057704</v>
      </c>
      <c r="H50" s="72"/>
      <c r="I50" s="72"/>
      <c r="J50" s="73"/>
    </row>
    <row r="51" spans="1:10" x14ac:dyDescent="0.25">
      <c r="A51" s="35">
        <v>44409</v>
      </c>
      <c r="B51" s="28">
        <f t="shared" si="0"/>
        <v>463842.71085057704</v>
      </c>
      <c r="C51" s="28">
        <v>-82517.95</v>
      </c>
      <c r="D51" s="29">
        <v>4.1999999999999997E-3</v>
      </c>
      <c r="E51" s="29">
        <f t="shared" si="1"/>
        <v>1948.1393855724234</v>
      </c>
      <c r="F51" s="30"/>
      <c r="G51" s="28">
        <f t="shared" si="2"/>
        <v>383272.90023614943</v>
      </c>
      <c r="H51" s="72"/>
      <c r="I51" s="72"/>
      <c r="J51" s="73"/>
    </row>
    <row r="52" spans="1:10" x14ac:dyDescent="0.25">
      <c r="A52" s="35">
        <v>44440</v>
      </c>
      <c r="B52" s="28">
        <f t="shared" si="0"/>
        <v>383272.90023614943</v>
      </c>
      <c r="C52" s="28">
        <v>10000</v>
      </c>
      <c r="D52" s="29">
        <v>4.1999999999999997E-3</v>
      </c>
      <c r="E52" s="29">
        <f t="shared" si="1"/>
        <v>1609.7461809918275</v>
      </c>
      <c r="F52" s="30"/>
      <c r="G52" s="28">
        <f t="shared" si="2"/>
        <v>394882.64641714125</v>
      </c>
      <c r="H52" s="72"/>
      <c r="I52" s="72"/>
      <c r="J52" s="73"/>
    </row>
    <row r="53" spans="1:10" x14ac:dyDescent="0.25">
      <c r="A53" s="35">
        <v>44470</v>
      </c>
      <c r="B53" s="28">
        <f t="shared" si="0"/>
        <v>394882.64641714125</v>
      </c>
      <c r="C53" s="28">
        <v>0</v>
      </c>
      <c r="D53" s="29">
        <v>4.1999999999999997E-3</v>
      </c>
      <c r="E53" s="29">
        <f t="shared" si="1"/>
        <v>1658.5071149519931</v>
      </c>
      <c r="F53" s="30"/>
      <c r="G53" s="28">
        <f t="shared" si="2"/>
        <v>396541.15353209322</v>
      </c>
      <c r="H53" s="72"/>
      <c r="I53" s="72"/>
      <c r="J53" s="73"/>
    </row>
    <row r="54" spans="1:10" x14ac:dyDescent="0.25">
      <c r="A54" s="35">
        <v>44501</v>
      </c>
      <c r="B54" s="28">
        <f t="shared" si="0"/>
        <v>396541.15353209322</v>
      </c>
      <c r="C54" s="28">
        <v>0</v>
      </c>
      <c r="D54" s="29">
        <v>4.1999999999999997E-3</v>
      </c>
      <c r="E54" s="29">
        <f t="shared" si="1"/>
        <v>1665.4728448347914</v>
      </c>
      <c r="F54" s="30"/>
      <c r="G54" s="28">
        <f t="shared" si="2"/>
        <v>398206.626376928</v>
      </c>
      <c r="H54" s="72"/>
      <c r="I54" s="72"/>
      <c r="J54" s="73"/>
    </row>
    <row r="55" spans="1:10" x14ac:dyDescent="0.25">
      <c r="A55" s="35">
        <v>44531</v>
      </c>
      <c r="B55" s="28">
        <f t="shared" si="0"/>
        <v>398206.626376928</v>
      </c>
      <c r="C55" s="28">
        <v>10000</v>
      </c>
      <c r="D55" s="29">
        <v>4.1999999999999997E-3</v>
      </c>
      <c r="E55" s="29">
        <f t="shared" si="1"/>
        <v>1672.4678307830975</v>
      </c>
      <c r="F55" s="30"/>
      <c r="G55" s="28">
        <f t="shared" si="2"/>
        <v>409879.09420771111</v>
      </c>
      <c r="H55" s="72"/>
      <c r="I55" s="72"/>
      <c r="J55" s="73"/>
    </row>
    <row r="56" spans="1:10" x14ac:dyDescent="0.25">
      <c r="A56" s="35">
        <v>44562</v>
      </c>
      <c r="B56" s="28">
        <f t="shared" si="0"/>
        <v>409879.09420771111</v>
      </c>
      <c r="C56" s="28">
        <v>100000</v>
      </c>
      <c r="D56" s="29">
        <v>4.1999999999999997E-3</v>
      </c>
      <c r="E56" s="29">
        <f t="shared" si="1"/>
        <v>1721.4921956723865</v>
      </c>
      <c r="F56" s="30"/>
      <c r="G56" s="28">
        <f t="shared" si="2"/>
        <v>511600.58640338352</v>
      </c>
      <c r="H56" s="69"/>
      <c r="I56" s="69"/>
      <c r="J56" s="27"/>
    </row>
    <row r="57" spans="1:10" x14ac:dyDescent="0.25">
      <c r="A57" s="35">
        <v>44593</v>
      </c>
      <c r="B57" s="28">
        <f t="shared" si="0"/>
        <v>511600.58640338352</v>
      </c>
      <c r="C57" s="28">
        <v>3000</v>
      </c>
      <c r="D57" s="29">
        <v>4.1999999999999997E-3</v>
      </c>
      <c r="E57" s="29">
        <f t="shared" si="1"/>
        <v>2148.7224628942108</v>
      </c>
      <c r="F57" s="30"/>
      <c r="G57" s="28">
        <f t="shared" si="2"/>
        <v>516749.30886627774</v>
      </c>
      <c r="H57" s="69"/>
      <c r="I57" s="69"/>
      <c r="J57" s="27"/>
    </row>
    <row r="58" spans="1:10" x14ac:dyDescent="0.25">
      <c r="A58" s="35">
        <v>44621</v>
      </c>
      <c r="B58" s="28">
        <f t="shared" si="0"/>
        <v>516749.30886627774</v>
      </c>
      <c r="C58" s="28">
        <v>2000</v>
      </c>
      <c r="D58" s="29">
        <v>4.1999999999999997E-3</v>
      </c>
      <c r="E58" s="29">
        <f t="shared" si="1"/>
        <v>2170.3470972383666</v>
      </c>
      <c r="F58" s="30"/>
      <c r="G58" s="28">
        <f t="shared" si="2"/>
        <v>520919.6559635161</v>
      </c>
      <c r="H58" s="69"/>
      <c r="I58" s="69"/>
      <c r="J58" s="27"/>
    </row>
    <row r="59" spans="1:10" x14ac:dyDescent="0.25">
      <c r="A59" s="35">
        <v>44652</v>
      </c>
      <c r="B59" s="28">
        <f t="shared" si="0"/>
        <v>520919.6559635161</v>
      </c>
      <c r="C59" s="28">
        <v>2000</v>
      </c>
      <c r="D59" s="29">
        <v>4.1999999999999997E-3</v>
      </c>
      <c r="E59" s="29">
        <f t="shared" si="1"/>
        <v>2187.8625550467673</v>
      </c>
      <c r="F59" s="30"/>
      <c r="G59" s="28">
        <f t="shared" si="2"/>
        <v>525107.51851856289</v>
      </c>
      <c r="H59" s="69"/>
      <c r="I59" s="69"/>
      <c r="J59" s="27"/>
    </row>
    <row r="60" spans="1:10" x14ac:dyDescent="0.25">
      <c r="A60" s="35">
        <v>44682</v>
      </c>
      <c r="B60" s="28">
        <f>(G59)</f>
        <v>525107.51851856289</v>
      </c>
      <c r="C60" s="28">
        <v>15100</v>
      </c>
      <c r="D60" s="29">
        <v>4.1999999999999997E-3</v>
      </c>
      <c r="E60" s="29">
        <f t="shared" si="1"/>
        <v>2205.4515777779638</v>
      </c>
      <c r="F60" s="30"/>
      <c r="G60" s="28">
        <f>(G59+C60+E60+F60)</f>
        <v>542412.97009634087</v>
      </c>
      <c r="H60" s="69"/>
      <c r="I60" s="69"/>
      <c r="J60" s="27"/>
    </row>
    <row r="61" spans="1:10" x14ac:dyDescent="0.25">
      <c r="A61" s="35">
        <v>44713</v>
      </c>
      <c r="B61" s="28">
        <f t="shared" si="0"/>
        <v>542412.97009634087</v>
      </c>
      <c r="C61" s="28">
        <v>13000</v>
      </c>
      <c r="D61" s="29">
        <v>4.1999999999999997E-3</v>
      </c>
      <c r="E61" s="29">
        <f t="shared" si="1"/>
        <v>2278.1344744046314</v>
      </c>
      <c r="F61" s="30"/>
      <c r="G61" s="28">
        <f t="shared" si="2"/>
        <v>557691.10457074549</v>
      </c>
      <c r="H61" s="69"/>
      <c r="I61" s="69"/>
      <c r="J61" s="27"/>
    </row>
    <row r="62" spans="1:10" x14ac:dyDescent="0.25">
      <c r="A62" s="35">
        <v>44743</v>
      </c>
      <c r="B62" s="28">
        <f t="shared" si="0"/>
        <v>557691.10457074549</v>
      </c>
      <c r="C62" s="28">
        <v>0</v>
      </c>
      <c r="D62" s="29">
        <v>4.1999999999999997E-3</v>
      </c>
      <c r="E62" s="29">
        <f t="shared" si="1"/>
        <v>2342.3026391971307</v>
      </c>
      <c r="F62" s="30"/>
      <c r="G62" s="28">
        <f t="shared" si="2"/>
        <v>560033.40720994258</v>
      </c>
      <c r="H62" s="69"/>
      <c r="I62" s="69"/>
      <c r="J62" s="27"/>
    </row>
    <row r="63" spans="1:10" x14ac:dyDescent="0.25">
      <c r="A63" s="35">
        <v>44774</v>
      </c>
      <c r="B63" s="28">
        <f t="shared" si="0"/>
        <v>560033.40720994258</v>
      </c>
      <c r="C63" s="28">
        <v>12000</v>
      </c>
      <c r="D63" s="29">
        <v>4.1999999999999997E-3</v>
      </c>
      <c r="E63" s="29">
        <f t="shared" si="1"/>
        <v>2352.1403102817585</v>
      </c>
      <c r="F63" s="30"/>
      <c r="G63" s="28">
        <f t="shared" si="2"/>
        <v>574385.54752022435</v>
      </c>
      <c r="H63" s="69"/>
      <c r="I63" s="69"/>
      <c r="J63" s="27"/>
    </row>
    <row r="64" spans="1:10" x14ac:dyDescent="0.25">
      <c r="A64" s="35">
        <v>44805</v>
      </c>
      <c r="B64" s="28">
        <f t="shared" si="0"/>
        <v>574385.54752022435</v>
      </c>
      <c r="C64" s="28">
        <v>0</v>
      </c>
      <c r="D64" s="29">
        <v>4.1999999999999997E-3</v>
      </c>
      <c r="E64" s="29">
        <f t="shared" si="1"/>
        <v>2412.4192995849421</v>
      </c>
      <c r="F64" s="30"/>
      <c r="G64" s="28">
        <f t="shared" si="2"/>
        <v>576797.96681980928</v>
      </c>
      <c r="H64" s="69"/>
      <c r="I64" s="69"/>
      <c r="J64" s="27"/>
    </row>
    <row r="65" spans="1:10" x14ac:dyDescent="0.25">
      <c r="A65" s="35">
        <v>44835</v>
      </c>
      <c r="B65" s="28">
        <f t="shared" si="0"/>
        <v>576797.96681980928</v>
      </c>
      <c r="C65" s="28">
        <v>5500</v>
      </c>
      <c r="D65" s="29">
        <v>4.1999999999999997E-3</v>
      </c>
      <c r="E65" s="29">
        <f t="shared" si="1"/>
        <v>2422.5514606431989</v>
      </c>
      <c r="F65" s="30"/>
      <c r="G65" s="28">
        <f t="shared" si="2"/>
        <v>584720.51828045247</v>
      </c>
      <c r="H65" s="69"/>
      <c r="I65" s="69"/>
      <c r="J65" s="27"/>
    </row>
    <row r="66" spans="1:10" x14ac:dyDescent="0.25">
      <c r="A66" s="35">
        <v>44866</v>
      </c>
      <c r="B66" s="28">
        <f t="shared" si="0"/>
        <v>584720.51828045247</v>
      </c>
      <c r="C66" s="28">
        <v>4000</v>
      </c>
      <c r="D66" s="29">
        <v>4.1999999999999997E-3</v>
      </c>
      <c r="E66" s="29">
        <f t="shared" si="1"/>
        <v>2455.8261767779004</v>
      </c>
      <c r="F66" s="30"/>
      <c r="G66" s="28">
        <f t="shared" si="2"/>
        <v>591176.34445723041</v>
      </c>
      <c r="H66" s="69"/>
      <c r="I66" s="69"/>
      <c r="J66" s="27"/>
    </row>
    <row r="67" spans="1:10" x14ac:dyDescent="0.25">
      <c r="A67" s="35">
        <v>44896</v>
      </c>
      <c r="B67" s="28">
        <f t="shared" si="0"/>
        <v>591176.34445723041</v>
      </c>
      <c r="C67" s="28">
        <v>6000</v>
      </c>
      <c r="D67" s="29">
        <v>4.1999999999999997E-3</v>
      </c>
      <c r="E67" s="29">
        <f t="shared" si="1"/>
        <v>2482.9406467203676</v>
      </c>
      <c r="F67" s="30"/>
      <c r="G67" s="28">
        <f t="shared" si="2"/>
        <v>599659.28510395077</v>
      </c>
      <c r="H67" s="69"/>
      <c r="I67" s="69"/>
      <c r="J67" s="27"/>
    </row>
    <row r="68" spans="1:10" x14ac:dyDescent="0.25">
      <c r="A68" s="35">
        <v>44927</v>
      </c>
      <c r="B68" s="28">
        <f t="shared" si="0"/>
        <v>599659.28510395077</v>
      </c>
      <c r="C68" s="28">
        <v>0</v>
      </c>
      <c r="D68" s="29">
        <v>4.1999999999999997E-3</v>
      </c>
      <c r="E68" s="29">
        <f t="shared" si="1"/>
        <v>2518.5689974365932</v>
      </c>
      <c r="F68" s="30"/>
      <c r="G68" s="28">
        <f t="shared" si="2"/>
        <v>602177.85410138732</v>
      </c>
      <c r="H68" s="69"/>
      <c r="I68" s="69"/>
      <c r="J68" s="27"/>
    </row>
    <row r="69" spans="1:10" x14ac:dyDescent="0.25">
      <c r="A69" s="35">
        <v>44958</v>
      </c>
      <c r="B69" s="28">
        <f t="shared" ref="B69:B127" si="3">(G68)</f>
        <v>602177.85410138732</v>
      </c>
      <c r="C69" s="28">
        <v>32500</v>
      </c>
      <c r="D69" s="29">
        <v>4.1999999999999997E-3</v>
      </c>
      <c r="E69" s="29">
        <f t="shared" ref="E69:E127" si="4">(B69*D69)</f>
        <v>2529.1469872258267</v>
      </c>
      <c r="F69" s="30"/>
      <c r="G69" s="28">
        <f t="shared" si="2"/>
        <v>637207.00108861318</v>
      </c>
      <c r="H69" s="69"/>
      <c r="I69" s="69"/>
      <c r="J69" s="27"/>
    </row>
    <row r="70" spans="1:10" x14ac:dyDescent="0.25">
      <c r="A70" s="35">
        <v>44986</v>
      </c>
      <c r="B70" s="28">
        <f t="shared" si="3"/>
        <v>637207.00108861318</v>
      </c>
      <c r="C70" s="28">
        <v>29550</v>
      </c>
      <c r="D70" s="29">
        <v>4.1999999999999997E-3</v>
      </c>
      <c r="E70" s="29">
        <f t="shared" si="4"/>
        <v>2676.2694045721751</v>
      </c>
      <c r="F70" s="30"/>
      <c r="G70" s="28">
        <f t="shared" ref="G70:G127" si="5">(G69+C70+E70+F70)</f>
        <v>669433.27049318538</v>
      </c>
      <c r="H70" s="69"/>
      <c r="I70" s="69"/>
      <c r="J70" s="27"/>
    </row>
    <row r="71" spans="1:10" x14ac:dyDescent="0.25">
      <c r="A71" s="35">
        <v>45017</v>
      </c>
      <c r="B71" s="28">
        <f t="shared" si="3"/>
        <v>669433.27049318538</v>
      </c>
      <c r="C71" s="28">
        <v>0</v>
      </c>
      <c r="D71" s="29">
        <v>4.1999999999999997E-3</v>
      </c>
      <c r="E71" s="29">
        <f t="shared" si="4"/>
        <v>2811.6197360713786</v>
      </c>
      <c r="F71" s="30"/>
      <c r="G71" s="28">
        <f t="shared" si="5"/>
        <v>672244.89022925671</v>
      </c>
      <c r="H71" s="69"/>
      <c r="I71" s="69"/>
      <c r="J71" s="27"/>
    </row>
    <row r="72" spans="1:10" x14ac:dyDescent="0.25">
      <c r="A72" s="35">
        <v>45047</v>
      </c>
      <c r="B72" s="28">
        <f t="shared" si="3"/>
        <v>672244.89022925671</v>
      </c>
      <c r="C72" s="28">
        <v>27600</v>
      </c>
      <c r="D72" s="29">
        <v>4.1999999999999997E-3</v>
      </c>
      <c r="E72" s="29">
        <f t="shared" si="4"/>
        <v>2823.4285389628781</v>
      </c>
      <c r="F72" s="30"/>
      <c r="G72" s="28">
        <f t="shared" si="5"/>
        <v>702668.31876821956</v>
      </c>
      <c r="H72" s="69"/>
      <c r="I72" s="69"/>
      <c r="J72" s="27"/>
    </row>
    <row r="73" spans="1:10" x14ac:dyDescent="0.25">
      <c r="A73" s="35">
        <v>45078</v>
      </c>
      <c r="B73" s="28">
        <f t="shared" si="3"/>
        <v>702668.31876821956</v>
      </c>
      <c r="C73" s="28">
        <v>17000</v>
      </c>
      <c r="D73" s="29">
        <v>4.1999999999999997E-3</v>
      </c>
      <c r="E73" s="29">
        <f t="shared" si="4"/>
        <v>2951.2069388265218</v>
      </c>
      <c r="F73" s="30"/>
      <c r="G73" s="28">
        <f t="shared" si="5"/>
        <v>722619.52570704604</v>
      </c>
      <c r="H73" s="69"/>
      <c r="I73" s="69"/>
      <c r="J73" s="27"/>
    </row>
    <row r="74" spans="1:10" x14ac:dyDescent="0.25">
      <c r="A74" s="35">
        <v>45108</v>
      </c>
      <c r="B74" s="28">
        <f t="shared" si="3"/>
        <v>722619.52570704604</v>
      </c>
      <c r="C74" s="28">
        <v>4000</v>
      </c>
      <c r="D74" s="29">
        <v>4.1999999999999997E-3</v>
      </c>
      <c r="E74" s="29">
        <f t="shared" si="4"/>
        <v>3035.0020079695933</v>
      </c>
      <c r="F74" s="30"/>
      <c r="G74" s="28">
        <f t="shared" si="5"/>
        <v>729654.52771501557</v>
      </c>
      <c r="H74" s="69"/>
      <c r="I74" s="69"/>
      <c r="J74" s="27"/>
    </row>
    <row r="75" spans="1:10" x14ac:dyDescent="0.25">
      <c r="A75" s="35">
        <v>45139</v>
      </c>
      <c r="B75" s="28">
        <f t="shared" si="3"/>
        <v>729654.52771501557</v>
      </c>
      <c r="C75" s="28">
        <v>4000</v>
      </c>
      <c r="D75" s="29">
        <v>4.1999999999999997E-3</v>
      </c>
      <c r="E75" s="29">
        <f t="shared" si="4"/>
        <v>3064.5490164030653</v>
      </c>
      <c r="F75" s="30"/>
      <c r="G75" s="28">
        <f t="shared" si="5"/>
        <v>736719.07673141861</v>
      </c>
      <c r="H75" s="69"/>
      <c r="I75" s="69"/>
      <c r="J75" s="73"/>
    </row>
    <row r="76" spans="1:10" x14ac:dyDescent="0.25">
      <c r="A76" s="5">
        <v>45170</v>
      </c>
      <c r="B76" s="3">
        <f t="shared" si="3"/>
        <v>736719.07673141861</v>
      </c>
      <c r="C76" s="3">
        <v>3000</v>
      </c>
      <c r="D76" s="29">
        <v>4.1999999999999997E-3</v>
      </c>
      <c r="E76" s="2">
        <f t="shared" si="4"/>
        <v>3094.2201222719582</v>
      </c>
      <c r="F76" s="4"/>
      <c r="G76" s="3">
        <f t="shared" si="5"/>
        <v>742813.29685369052</v>
      </c>
      <c r="H76" s="69"/>
      <c r="I76" s="69"/>
      <c r="J76" s="27"/>
    </row>
    <row r="77" spans="1:10" x14ac:dyDescent="0.25">
      <c r="A77" s="5">
        <v>45200</v>
      </c>
      <c r="B77" s="3">
        <f t="shared" si="3"/>
        <v>742813.29685369052</v>
      </c>
      <c r="C77" s="3">
        <v>3000</v>
      </c>
      <c r="D77" s="29">
        <v>4.1999999999999997E-3</v>
      </c>
      <c r="E77" s="2">
        <f t="shared" si="4"/>
        <v>3119.8158467855001</v>
      </c>
      <c r="F77" s="4"/>
      <c r="G77" s="3">
        <f t="shared" si="5"/>
        <v>748933.11270047608</v>
      </c>
      <c r="H77" s="69"/>
      <c r="I77" s="69"/>
      <c r="J77" s="27"/>
    </row>
    <row r="78" spans="1:10" x14ac:dyDescent="0.25">
      <c r="A78" s="5">
        <v>45231</v>
      </c>
      <c r="B78" s="3">
        <f t="shared" si="3"/>
        <v>748933.11270047608</v>
      </c>
      <c r="C78" s="3">
        <v>3000</v>
      </c>
      <c r="D78" s="29">
        <v>4.1999999999999997E-3</v>
      </c>
      <c r="E78" s="2">
        <f t="shared" si="4"/>
        <v>3145.5190733419995</v>
      </c>
      <c r="F78" s="4"/>
      <c r="G78" s="3">
        <f t="shared" si="5"/>
        <v>755078.63177381805</v>
      </c>
      <c r="H78" s="69"/>
      <c r="I78" s="69"/>
      <c r="J78" s="27"/>
    </row>
    <row r="79" spans="1:10" x14ac:dyDescent="0.25">
      <c r="A79" s="5">
        <v>45261</v>
      </c>
      <c r="B79" s="3">
        <f t="shared" si="3"/>
        <v>755078.63177381805</v>
      </c>
      <c r="C79" s="3">
        <v>3000</v>
      </c>
      <c r="D79" s="29">
        <v>4.1999999999999997E-3</v>
      </c>
      <c r="E79" s="2">
        <f t="shared" si="4"/>
        <v>3171.3302534500358</v>
      </c>
      <c r="F79" s="4"/>
      <c r="G79" s="3">
        <f t="shared" si="5"/>
        <v>761249.96202726813</v>
      </c>
      <c r="H79" s="69"/>
      <c r="I79" s="69"/>
      <c r="J79" s="27"/>
    </row>
    <row r="80" spans="1:10" x14ac:dyDescent="0.25">
      <c r="A80" s="5">
        <v>45292</v>
      </c>
      <c r="B80" s="3">
        <f t="shared" si="3"/>
        <v>761249.96202726813</v>
      </c>
      <c r="C80" s="3">
        <v>3000</v>
      </c>
      <c r="D80" s="29">
        <v>4.1999999999999997E-3</v>
      </c>
      <c r="E80" s="2">
        <f t="shared" si="4"/>
        <v>3197.2498405145261</v>
      </c>
      <c r="F80" s="4"/>
      <c r="G80" s="3">
        <f t="shared" si="5"/>
        <v>767447.21186778264</v>
      </c>
      <c r="H80" s="69"/>
      <c r="I80" s="69"/>
      <c r="J80" s="27"/>
    </row>
    <row r="81" spans="1:10" x14ac:dyDescent="0.25">
      <c r="A81" s="5">
        <v>45323</v>
      </c>
      <c r="B81" s="3">
        <f t="shared" si="3"/>
        <v>767447.21186778264</v>
      </c>
      <c r="C81" s="3">
        <v>3000</v>
      </c>
      <c r="D81" s="29">
        <v>4.1999999999999997E-3</v>
      </c>
      <c r="E81" s="2">
        <f t="shared" si="4"/>
        <v>3223.2782898446867</v>
      </c>
      <c r="F81" s="4"/>
      <c r="G81" s="3">
        <f t="shared" si="5"/>
        <v>773670.49015762727</v>
      </c>
      <c r="H81" s="69"/>
      <c r="I81" s="69"/>
      <c r="J81" s="27"/>
    </row>
    <row r="82" spans="1:10" x14ac:dyDescent="0.25">
      <c r="A82" s="5">
        <v>45352</v>
      </c>
      <c r="B82" s="3">
        <f t="shared" si="3"/>
        <v>773670.49015762727</v>
      </c>
      <c r="C82" s="3">
        <v>3000</v>
      </c>
      <c r="D82" s="29">
        <v>4.1999999999999997E-3</v>
      </c>
      <c r="E82" s="2">
        <f t="shared" si="4"/>
        <v>3249.4160586620342</v>
      </c>
      <c r="F82" s="4"/>
      <c r="G82" s="3">
        <f t="shared" si="5"/>
        <v>779919.90621628927</v>
      </c>
      <c r="H82" s="69"/>
      <c r="I82" s="69"/>
      <c r="J82" s="27"/>
    </row>
    <row r="83" spans="1:10" x14ac:dyDescent="0.25">
      <c r="A83" s="5">
        <v>45383</v>
      </c>
      <c r="B83" s="3">
        <f t="shared" si="3"/>
        <v>779919.90621628927</v>
      </c>
      <c r="C83" s="3">
        <v>3000</v>
      </c>
      <c r="D83" s="29">
        <v>4.1999999999999997E-3</v>
      </c>
      <c r="E83" s="2">
        <f t="shared" si="4"/>
        <v>3275.6636061084146</v>
      </c>
      <c r="F83" s="4"/>
      <c r="G83" s="3">
        <f t="shared" si="5"/>
        <v>786195.56982239767</v>
      </c>
      <c r="H83" s="69"/>
      <c r="I83" s="69"/>
      <c r="J83" s="27"/>
    </row>
    <row r="84" spans="1:10" x14ac:dyDescent="0.25">
      <c r="A84" s="5">
        <v>45413</v>
      </c>
      <c r="B84" s="3">
        <f t="shared" si="3"/>
        <v>786195.56982239767</v>
      </c>
      <c r="C84" s="3">
        <v>3000</v>
      </c>
      <c r="D84" s="29">
        <v>4.1999999999999997E-3</v>
      </c>
      <c r="E84" s="2">
        <f t="shared" si="4"/>
        <v>3302.0213932540701</v>
      </c>
      <c r="F84" s="4"/>
      <c r="G84" s="3">
        <f t="shared" si="5"/>
        <v>792497.59121565172</v>
      </c>
      <c r="H84" s="69"/>
      <c r="I84" s="69"/>
      <c r="J84" s="27"/>
    </row>
    <row r="85" spans="1:10" x14ac:dyDescent="0.25">
      <c r="A85" s="5">
        <v>45444</v>
      </c>
      <c r="B85" s="3">
        <f t="shared" si="3"/>
        <v>792497.59121565172</v>
      </c>
      <c r="C85" s="3">
        <v>3000</v>
      </c>
      <c r="D85" s="29">
        <v>4.1999999999999997E-3</v>
      </c>
      <c r="E85" s="2">
        <f t="shared" si="4"/>
        <v>3328.4898831057371</v>
      </c>
      <c r="F85" s="4"/>
      <c r="G85" s="3">
        <f t="shared" si="5"/>
        <v>798826.08109875745</v>
      </c>
      <c r="H85" s="69"/>
      <c r="I85" s="69"/>
      <c r="J85" s="27"/>
    </row>
    <row r="86" spans="1:10" x14ac:dyDescent="0.25">
      <c r="A86" s="5">
        <v>45474</v>
      </c>
      <c r="B86" s="3">
        <f t="shared" si="3"/>
        <v>798826.08109875745</v>
      </c>
      <c r="C86" s="3">
        <v>3000</v>
      </c>
      <c r="D86" s="29">
        <v>4.1999999999999997E-3</v>
      </c>
      <c r="E86" s="2">
        <f t="shared" si="4"/>
        <v>3355.0695406147811</v>
      </c>
      <c r="F86" s="4"/>
      <c r="G86" s="3">
        <f t="shared" si="5"/>
        <v>805181.15063937218</v>
      </c>
      <c r="H86" s="69"/>
      <c r="I86" s="69"/>
      <c r="J86" s="27"/>
    </row>
    <row r="87" spans="1:10" x14ac:dyDescent="0.25">
      <c r="A87" s="5">
        <v>45505</v>
      </c>
      <c r="B87" s="3">
        <f t="shared" si="3"/>
        <v>805181.15063937218</v>
      </c>
      <c r="C87" s="3">
        <v>3000</v>
      </c>
      <c r="D87" s="29">
        <v>4.1999999999999997E-3</v>
      </c>
      <c r="E87" s="2">
        <f t="shared" si="4"/>
        <v>3381.7608326853629</v>
      </c>
      <c r="F87" s="4"/>
      <c r="G87" s="3">
        <f t="shared" si="5"/>
        <v>811562.91147205757</v>
      </c>
      <c r="H87" s="69"/>
      <c r="I87" s="69"/>
      <c r="J87" s="27"/>
    </row>
    <row r="88" spans="1:10" x14ac:dyDescent="0.25">
      <c r="A88" s="5">
        <v>45536</v>
      </c>
      <c r="B88" s="3">
        <f t="shared" si="3"/>
        <v>811562.91147205757</v>
      </c>
      <c r="C88" s="3">
        <v>3000</v>
      </c>
      <c r="D88" s="29">
        <v>4.1999999999999997E-3</v>
      </c>
      <c r="E88" s="2">
        <f t="shared" si="4"/>
        <v>3408.5642281826417</v>
      </c>
      <c r="F88" s="4"/>
      <c r="G88" s="3">
        <f t="shared" si="5"/>
        <v>817971.47570024023</v>
      </c>
      <c r="H88" s="69"/>
      <c r="I88" s="69"/>
      <c r="J88" s="27"/>
    </row>
    <row r="89" spans="1:10" x14ac:dyDescent="0.25">
      <c r="A89" s="5">
        <v>45566</v>
      </c>
      <c r="B89" s="3">
        <f t="shared" si="3"/>
        <v>817971.47570024023</v>
      </c>
      <c r="C89" s="3">
        <v>3000</v>
      </c>
      <c r="D89" s="29">
        <v>4.1999999999999997E-3</v>
      </c>
      <c r="E89" s="2">
        <f t="shared" si="4"/>
        <v>3435.4801979410086</v>
      </c>
      <c r="F89" s="4"/>
      <c r="G89" s="3">
        <f t="shared" si="5"/>
        <v>824406.95589818119</v>
      </c>
      <c r="H89" s="69"/>
      <c r="I89" s="69"/>
      <c r="J89" s="27"/>
    </row>
    <row r="90" spans="1:10" x14ac:dyDescent="0.25">
      <c r="A90" s="5">
        <v>45597</v>
      </c>
      <c r="B90" s="3">
        <f t="shared" si="3"/>
        <v>824406.95589818119</v>
      </c>
      <c r="C90" s="3">
        <v>3000</v>
      </c>
      <c r="D90" s="29">
        <v>4.1999999999999997E-3</v>
      </c>
      <c r="E90" s="2">
        <f t="shared" si="4"/>
        <v>3462.5092147723608</v>
      </c>
      <c r="F90" s="4"/>
      <c r="G90" s="3">
        <f t="shared" si="5"/>
        <v>830869.46511295356</v>
      </c>
      <c r="H90" s="69"/>
      <c r="I90" s="69"/>
      <c r="J90" s="27"/>
    </row>
    <row r="91" spans="1:10" x14ac:dyDescent="0.25">
      <c r="A91" s="5">
        <v>45627</v>
      </c>
      <c r="B91" s="3">
        <f t="shared" si="3"/>
        <v>830869.46511295356</v>
      </c>
      <c r="C91" s="3">
        <v>3000</v>
      </c>
      <c r="D91" s="29">
        <v>4.1999999999999997E-3</v>
      </c>
      <c r="E91" s="2">
        <f t="shared" si="4"/>
        <v>3489.6517534744048</v>
      </c>
      <c r="F91" s="4"/>
      <c r="G91" s="3">
        <f t="shared" si="5"/>
        <v>837359.11686642794</v>
      </c>
      <c r="H91" s="69"/>
      <c r="I91" s="69"/>
      <c r="J91" s="27"/>
    </row>
    <row r="92" spans="1:10" x14ac:dyDescent="0.25">
      <c r="A92" s="5">
        <v>45658</v>
      </c>
      <c r="B92" s="3">
        <f t="shared" si="3"/>
        <v>837359.11686642794</v>
      </c>
      <c r="C92" s="3">
        <v>3000</v>
      </c>
      <c r="D92" s="29">
        <v>4.1999999999999997E-3</v>
      </c>
      <c r="E92" s="2">
        <f t="shared" si="4"/>
        <v>3516.9082908389973</v>
      </c>
      <c r="F92" s="4"/>
      <c r="G92" s="3">
        <f t="shared" si="5"/>
        <v>843876.02515726699</v>
      </c>
      <c r="H92" s="69"/>
      <c r="I92" s="69"/>
      <c r="J92" s="27"/>
    </row>
    <row r="93" spans="1:10" x14ac:dyDescent="0.25">
      <c r="A93" s="5">
        <v>45689</v>
      </c>
      <c r="B93" s="3">
        <f t="shared" si="3"/>
        <v>843876.02515726699</v>
      </c>
      <c r="C93" s="3">
        <v>3000</v>
      </c>
      <c r="D93" s="29">
        <v>4.1999999999999997E-3</v>
      </c>
      <c r="E93" s="2">
        <f t="shared" si="4"/>
        <v>3544.279305660521</v>
      </c>
      <c r="F93" s="4"/>
      <c r="G93" s="3">
        <f t="shared" si="5"/>
        <v>850420.30446292751</v>
      </c>
      <c r="H93" s="69"/>
      <c r="I93" s="69"/>
      <c r="J93" s="27"/>
    </row>
    <row r="94" spans="1:10" x14ac:dyDescent="0.25">
      <c r="A94" s="5">
        <v>45717</v>
      </c>
      <c r="B94" s="3">
        <f t="shared" si="3"/>
        <v>850420.30446292751</v>
      </c>
      <c r="C94" s="3">
        <v>3000</v>
      </c>
      <c r="D94" s="29">
        <v>4.1999999999999997E-3</v>
      </c>
      <c r="E94" s="2">
        <f t="shared" si="4"/>
        <v>3571.7652787442953</v>
      </c>
      <c r="F94" s="4"/>
      <c r="G94" s="3">
        <f t="shared" si="5"/>
        <v>856992.06974167179</v>
      </c>
      <c r="H94" s="69"/>
      <c r="I94" s="69"/>
      <c r="J94" s="27"/>
    </row>
    <row r="95" spans="1:10" x14ac:dyDescent="0.25">
      <c r="A95" s="5">
        <v>45748</v>
      </c>
      <c r="B95" s="3">
        <f t="shared" si="3"/>
        <v>856992.06974167179</v>
      </c>
      <c r="C95" s="3">
        <v>3000</v>
      </c>
      <c r="D95" s="29">
        <v>4.1999999999999997E-3</v>
      </c>
      <c r="E95" s="2">
        <f t="shared" si="4"/>
        <v>3599.3666929150213</v>
      </c>
      <c r="F95" s="4"/>
      <c r="G95" s="3">
        <f t="shared" si="5"/>
        <v>863591.43643458677</v>
      </c>
      <c r="H95" s="69"/>
      <c r="I95" s="69"/>
      <c r="J95" s="27"/>
    </row>
    <row r="96" spans="1:10" x14ac:dyDescent="0.25">
      <c r="A96" s="5">
        <v>45778</v>
      </c>
      <c r="B96" s="3">
        <f t="shared" si="3"/>
        <v>863591.43643458677</v>
      </c>
      <c r="C96" s="3">
        <v>3000</v>
      </c>
      <c r="D96" s="29">
        <v>4.1999999999999997E-3</v>
      </c>
      <c r="E96" s="2">
        <f t="shared" si="4"/>
        <v>3627.084033025264</v>
      </c>
      <c r="F96" s="4"/>
      <c r="G96" s="3">
        <f t="shared" si="5"/>
        <v>870218.52046761208</v>
      </c>
      <c r="H96" s="69"/>
      <c r="I96" s="69"/>
      <c r="J96" s="27"/>
    </row>
    <row r="97" spans="1:10" x14ac:dyDescent="0.25">
      <c r="A97" s="5">
        <v>45809</v>
      </c>
      <c r="B97" s="3">
        <f t="shared" si="3"/>
        <v>870218.52046761208</v>
      </c>
      <c r="C97" s="3">
        <v>3000</v>
      </c>
      <c r="D97" s="29">
        <v>4.1999999999999997E-3</v>
      </c>
      <c r="E97" s="2">
        <f t="shared" si="4"/>
        <v>3654.9177859639703</v>
      </c>
      <c r="F97" s="4"/>
      <c r="G97" s="3">
        <f t="shared" si="5"/>
        <v>876873.43825357605</v>
      </c>
      <c r="H97" s="69"/>
      <c r="I97" s="69"/>
      <c r="J97" s="27"/>
    </row>
    <row r="98" spans="1:10" x14ac:dyDescent="0.25">
      <c r="A98" s="5">
        <v>45839</v>
      </c>
      <c r="B98" s="3">
        <f t="shared" si="3"/>
        <v>876873.43825357605</v>
      </c>
      <c r="C98" s="3">
        <v>3000</v>
      </c>
      <c r="D98" s="29">
        <v>4.1999999999999997E-3</v>
      </c>
      <c r="E98" s="2">
        <f t="shared" si="4"/>
        <v>3682.8684406650191</v>
      </c>
      <c r="F98" s="4"/>
      <c r="G98" s="3">
        <f t="shared" si="5"/>
        <v>883556.30669424112</v>
      </c>
      <c r="H98" s="69"/>
      <c r="I98" s="69"/>
      <c r="J98" s="27"/>
    </row>
    <row r="99" spans="1:10" x14ac:dyDescent="0.25">
      <c r="A99" s="5">
        <v>45870</v>
      </c>
      <c r="B99" s="3">
        <f t="shared" si="3"/>
        <v>883556.30669424112</v>
      </c>
      <c r="C99" s="3">
        <v>3000</v>
      </c>
      <c r="D99" s="29">
        <v>4.1999999999999997E-3</v>
      </c>
      <c r="E99" s="2">
        <f t="shared" si="4"/>
        <v>3710.9364881158126</v>
      </c>
      <c r="F99" s="4"/>
      <c r="G99" s="3">
        <f t="shared" si="5"/>
        <v>890267.24318235693</v>
      </c>
      <c r="H99" s="69"/>
      <c r="I99" s="69"/>
      <c r="J99" s="27"/>
    </row>
    <row r="100" spans="1:10" x14ac:dyDescent="0.25">
      <c r="A100" s="5">
        <v>45901</v>
      </c>
      <c r="B100" s="3">
        <f t="shared" si="3"/>
        <v>890267.24318235693</v>
      </c>
      <c r="C100" s="3">
        <v>3000</v>
      </c>
      <c r="D100" s="29">
        <v>4.1999999999999997E-3</v>
      </c>
      <c r="E100" s="2">
        <f t="shared" si="4"/>
        <v>3739.1224213658988</v>
      </c>
      <c r="F100" s="4"/>
      <c r="G100" s="3">
        <f t="shared" si="5"/>
        <v>897006.36560372286</v>
      </c>
      <c r="H100" s="69"/>
      <c r="I100" s="69"/>
      <c r="J100" s="27"/>
    </row>
    <row r="101" spans="1:10" x14ac:dyDescent="0.25">
      <c r="A101" s="5">
        <v>45931</v>
      </c>
      <c r="B101" s="3">
        <f t="shared" si="3"/>
        <v>897006.36560372286</v>
      </c>
      <c r="C101" s="3">
        <v>3000</v>
      </c>
      <c r="D101" s="29">
        <v>4.1999999999999997E-3</v>
      </c>
      <c r="E101" s="2">
        <f t="shared" si="4"/>
        <v>3767.426735535636</v>
      </c>
      <c r="F101" s="4"/>
      <c r="G101" s="3">
        <f t="shared" si="5"/>
        <v>903773.79233925848</v>
      </c>
      <c r="H101" s="69"/>
      <c r="I101" s="69"/>
      <c r="J101" s="27"/>
    </row>
    <row r="102" spans="1:10" x14ac:dyDescent="0.25">
      <c r="A102" s="5">
        <v>45962</v>
      </c>
      <c r="B102" s="3">
        <f t="shared" si="3"/>
        <v>903773.79233925848</v>
      </c>
      <c r="C102" s="3">
        <v>3000</v>
      </c>
      <c r="D102" s="29">
        <v>4.1999999999999997E-3</v>
      </c>
      <c r="E102" s="2">
        <f t="shared" si="4"/>
        <v>3795.8499278248855</v>
      </c>
      <c r="F102" s="4"/>
      <c r="G102" s="3">
        <f t="shared" si="5"/>
        <v>910569.6422670834</v>
      </c>
      <c r="H102" s="69"/>
      <c r="I102" s="69"/>
      <c r="J102" s="27"/>
    </row>
    <row r="103" spans="1:10" x14ac:dyDescent="0.25">
      <c r="A103" s="5">
        <v>45992</v>
      </c>
      <c r="B103" s="3">
        <f t="shared" si="3"/>
        <v>910569.6422670834</v>
      </c>
      <c r="C103" s="3">
        <v>3000</v>
      </c>
      <c r="D103" s="29">
        <v>4.1999999999999997E-3</v>
      </c>
      <c r="E103" s="2">
        <f t="shared" si="4"/>
        <v>3824.3924975217501</v>
      </c>
      <c r="F103" s="4"/>
      <c r="G103" s="3">
        <f t="shared" si="5"/>
        <v>917394.03476460511</v>
      </c>
      <c r="H103" s="69"/>
      <c r="I103" s="69"/>
      <c r="J103" s="27"/>
    </row>
    <row r="104" spans="1:10" x14ac:dyDescent="0.25">
      <c r="A104" s="5">
        <v>46023</v>
      </c>
      <c r="B104" s="3">
        <f t="shared" si="3"/>
        <v>917394.03476460511</v>
      </c>
      <c r="C104" s="3">
        <v>3000</v>
      </c>
      <c r="D104" s="29">
        <v>4.1999999999999997E-3</v>
      </c>
      <c r="E104" s="2">
        <f t="shared" si="4"/>
        <v>3853.0549460113411</v>
      </c>
      <c r="F104" s="4"/>
      <c r="G104" s="3">
        <f t="shared" si="5"/>
        <v>924247.08971061651</v>
      </c>
      <c r="H104" s="69"/>
      <c r="I104" s="69"/>
      <c r="J104" s="27"/>
    </row>
    <row r="105" spans="1:10" x14ac:dyDescent="0.25">
      <c r="A105" s="5">
        <v>46054</v>
      </c>
      <c r="B105" s="3">
        <f t="shared" si="3"/>
        <v>924247.08971061651</v>
      </c>
      <c r="C105" s="3">
        <v>3000</v>
      </c>
      <c r="D105" s="29">
        <v>4.1999999999999997E-3</v>
      </c>
      <c r="E105" s="2">
        <f t="shared" si="4"/>
        <v>3881.8377767845891</v>
      </c>
      <c r="F105" s="4"/>
      <c r="G105" s="3">
        <f t="shared" si="5"/>
        <v>931128.92748740106</v>
      </c>
      <c r="H105" s="69"/>
      <c r="I105" s="69"/>
      <c r="J105" s="27"/>
    </row>
    <row r="106" spans="1:10" x14ac:dyDescent="0.25">
      <c r="A106" s="5">
        <v>46082</v>
      </c>
      <c r="B106" s="3">
        <f t="shared" si="3"/>
        <v>931128.92748740106</v>
      </c>
      <c r="C106" s="3">
        <v>3000</v>
      </c>
      <c r="D106" s="29">
        <v>4.1999999999999997E-3</v>
      </c>
      <c r="E106" s="2">
        <f t="shared" si="4"/>
        <v>3910.7414954470842</v>
      </c>
      <c r="F106" s="4"/>
      <c r="G106" s="3">
        <f t="shared" si="5"/>
        <v>938039.66898284818</v>
      </c>
      <c r="H106" s="69"/>
      <c r="I106" s="69"/>
      <c r="J106" s="27"/>
    </row>
    <row r="107" spans="1:10" x14ac:dyDescent="0.25">
      <c r="A107" s="5">
        <v>46113</v>
      </c>
      <c r="B107" s="3">
        <f t="shared" si="3"/>
        <v>938039.66898284818</v>
      </c>
      <c r="C107" s="3">
        <v>3000</v>
      </c>
      <c r="D107" s="29">
        <v>4.1999999999999997E-3</v>
      </c>
      <c r="E107" s="2">
        <f t="shared" si="4"/>
        <v>3939.7666097279621</v>
      </c>
      <c r="F107" s="4"/>
      <c r="G107" s="3">
        <f t="shared" si="5"/>
        <v>944979.43559257616</v>
      </c>
      <c r="H107" s="69"/>
      <c r="I107" s="69"/>
      <c r="J107" s="27"/>
    </row>
    <row r="108" spans="1:10" x14ac:dyDescent="0.25">
      <c r="A108" s="5">
        <v>46143</v>
      </c>
      <c r="B108" s="3">
        <f t="shared" si="3"/>
        <v>944979.43559257616</v>
      </c>
      <c r="C108" s="3">
        <v>3000</v>
      </c>
      <c r="D108" s="29">
        <v>4.1999999999999997E-3</v>
      </c>
      <c r="E108" s="2">
        <f t="shared" si="4"/>
        <v>3968.9136294888194</v>
      </c>
      <c r="F108" s="4"/>
      <c r="G108" s="3">
        <f t="shared" si="5"/>
        <v>951948.34922206495</v>
      </c>
      <c r="H108" s="69"/>
      <c r="I108" s="69"/>
      <c r="J108" s="27"/>
    </row>
    <row r="109" spans="1:10" x14ac:dyDescent="0.25">
      <c r="A109" s="5">
        <v>46174</v>
      </c>
      <c r="B109" s="3">
        <f t="shared" si="3"/>
        <v>951948.34922206495</v>
      </c>
      <c r="C109" s="3">
        <v>3000</v>
      </c>
      <c r="D109" s="29">
        <v>4.1999999999999997E-3</v>
      </c>
      <c r="E109" s="2">
        <f t="shared" si="4"/>
        <v>3998.1830667326726</v>
      </c>
      <c r="F109" s="4"/>
      <c r="G109" s="3">
        <f t="shared" si="5"/>
        <v>958946.53228879767</v>
      </c>
      <c r="H109" s="69"/>
      <c r="I109" s="69"/>
      <c r="J109" s="27"/>
    </row>
    <row r="110" spans="1:10" x14ac:dyDescent="0.25">
      <c r="A110" s="5">
        <v>46204</v>
      </c>
      <c r="B110" s="3">
        <f t="shared" si="3"/>
        <v>958946.53228879767</v>
      </c>
      <c r="C110" s="3">
        <v>3000</v>
      </c>
      <c r="D110" s="29">
        <v>4.1999999999999997E-3</v>
      </c>
      <c r="E110" s="2">
        <f t="shared" si="4"/>
        <v>4027.5754356129501</v>
      </c>
      <c r="F110" s="4"/>
      <c r="G110" s="3">
        <f t="shared" si="5"/>
        <v>965974.1077244106</v>
      </c>
      <c r="H110" s="69"/>
      <c r="I110" s="69"/>
      <c r="J110" s="27"/>
    </row>
    <row r="111" spans="1:10" x14ac:dyDescent="0.25">
      <c r="A111" s="5">
        <v>46235</v>
      </c>
      <c r="B111" s="3">
        <f t="shared" si="3"/>
        <v>965974.1077244106</v>
      </c>
      <c r="C111" s="3">
        <v>3000</v>
      </c>
      <c r="D111" s="29">
        <v>4.1999999999999997E-3</v>
      </c>
      <c r="E111" s="2">
        <f t="shared" si="4"/>
        <v>4057.0912524425244</v>
      </c>
      <c r="F111" s="4"/>
      <c r="G111" s="3">
        <f t="shared" si="5"/>
        <v>973031.19897685316</v>
      </c>
      <c r="H111" s="69"/>
      <c r="I111" s="69"/>
      <c r="J111" s="27"/>
    </row>
    <row r="112" spans="1:10" x14ac:dyDescent="0.25">
      <c r="A112" s="5">
        <v>46266</v>
      </c>
      <c r="B112" s="3">
        <f t="shared" si="3"/>
        <v>973031.19897685316</v>
      </c>
      <c r="C112" s="3">
        <v>3000</v>
      </c>
      <c r="D112" s="29">
        <v>4.1999999999999997E-3</v>
      </c>
      <c r="E112" s="2">
        <f t="shared" si="4"/>
        <v>4086.7310357027832</v>
      </c>
      <c r="F112" s="4"/>
      <c r="G112" s="3">
        <f t="shared" si="5"/>
        <v>980117.93001255591</v>
      </c>
      <c r="H112" s="69"/>
      <c r="I112" s="69"/>
      <c r="J112" s="27"/>
    </row>
    <row r="113" spans="1:10" x14ac:dyDescent="0.25">
      <c r="A113" s="5">
        <v>46296</v>
      </c>
      <c r="B113" s="3">
        <f t="shared" si="3"/>
        <v>980117.93001255591</v>
      </c>
      <c r="C113" s="3">
        <v>3000</v>
      </c>
      <c r="D113" s="29">
        <v>4.1999999999999997E-3</v>
      </c>
      <c r="E113" s="2">
        <f t="shared" si="4"/>
        <v>4116.4953060527341</v>
      </c>
      <c r="F113" s="4"/>
      <c r="G113" s="3">
        <f t="shared" si="5"/>
        <v>987234.42531860864</v>
      </c>
      <c r="H113" s="69"/>
      <c r="I113" s="69"/>
      <c r="J113" s="27"/>
    </row>
    <row r="114" spans="1:10" x14ac:dyDescent="0.25">
      <c r="A114" s="5">
        <v>46327</v>
      </c>
      <c r="B114" s="3">
        <f t="shared" si="3"/>
        <v>987234.42531860864</v>
      </c>
      <c r="C114" s="3">
        <v>3000</v>
      </c>
      <c r="D114" s="29">
        <v>4.1999999999999997E-3</v>
      </c>
      <c r="E114" s="2">
        <f t="shared" si="4"/>
        <v>4146.3845863381557</v>
      </c>
      <c r="F114" s="4"/>
      <c r="G114" s="3">
        <f t="shared" si="5"/>
        <v>994380.80990494683</v>
      </c>
      <c r="H114" s="69"/>
      <c r="I114" s="69"/>
      <c r="J114" s="27"/>
    </row>
    <row r="115" spans="1:10" x14ac:dyDescent="0.25">
      <c r="A115" s="5">
        <v>46357</v>
      </c>
      <c r="B115" s="3">
        <f t="shared" si="3"/>
        <v>994380.80990494683</v>
      </c>
      <c r="C115" s="3">
        <v>3000</v>
      </c>
      <c r="D115" s="29">
        <v>4.1999999999999997E-3</v>
      </c>
      <c r="E115" s="2">
        <f t="shared" si="4"/>
        <v>4176.3994016007764</v>
      </c>
      <c r="F115" s="4"/>
      <c r="G115" s="3">
        <f t="shared" si="5"/>
        <v>1001557.2093065477</v>
      </c>
      <c r="H115" s="69"/>
      <c r="I115" s="69"/>
      <c r="J115" s="27"/>
    </row>
    <row r="116" spans="1:10" x14ac:dyDescent="0.25">
      <c r="A116" s="5">
        <v>46388</v>
      </c>
      <c r="B116" s="3">
        <f t="shared" si="3"/>
        <v>1001557.2093065477</v>
      </c>
      <c r="C116" s="3">
        <v>3000</v>
      </c>
      <c r="D116" s="29">
        <v>4.1999999999999997E-3</v>
      </c>
      <c r="E116" s="2">
        <f t="shared" si="4"/>
        <v>4206.5402790874996</v>
      </c>
      <c r="F116" s="4"/>
      <c r="G116" s="3">
        <f t="shared" si="5"/>
        <v>1008763.7495856351</v>
      </c>
      <c r="H116" s="69"/>
      <c r="I116" s="69"/>
      <c r="J116" s="27"/>
    </row>
    <row r="117" spans="1:10" x14ac:dyDescent="0.25">
      <c r="A117" s="5">
        <v>46419</v>
      </c>
      <c r="B117" s="3">
        <f t="shared" si="3"/>
        <v>1008763.7495856351</v>
      </c>
      <c r="C117" s="3">
        <v>3000</v>
      </c>
      <c r="D117" s="29">
        <v>4.1999999999999997E-3</v>
      </c>
      <c r="E117" s="2">
        <f t="shared" si="4"/>
        <v>4236.8077482596673</v>
      </c>
      <c r="F117" s="4"/>
      <c r="G117" s="3">
        <f t="shared" si="5"/>
        <v>1016000.5573338948</v>
      </c>
      <c r="H117" s="69"/>
      <c r="I117" s="69"/>
      <c r="J117" s="27"/>
    </row>
    <row r="118" spans="1:10" x14ac:dyDescent="0.25">
      <c r="A118" s="5">
        <v>46447</v>
      </c>
      <c r="B118" s="3">
        <f t="shared" si="3"/>
        <v>1016000.5573338948</v>
      </c>
      <c r="C118" s="3">
        <v>3000</v>
      </c>
      <c r="D118" s="29">
        <v>4.1999999999999997E-3</v>
      </c>
      <c r="E118" s="2">
        <f t="shared" si="4"/>
        <v>4267.2023408023579</v>
      </c>
      <c r="F118" s="4"/>
      <c r="G118" s="3">
        <f t="shared" si="5"/>
        <v>1023267.7596746972</v>
      </c>
      <c r="H118" s="69"/>
      <c r="I118" s="69"/>
      <c r="J118" s="27"/>
    </row>
    <row r="119" spans="1:10" x14ac:dyDescent="0.25">
      <c r="A119" s="5">
        <v>46478</v>
      </c>
      <c r="B119" s="3">
        <f t="shared" si="3"/>
        <v>1023267.7596746972</v>
      </c>
      <c r="C119" s="3">
        <v>3000</v>
      </c>
      <c r="D119" s="29">
        <v>4.1999999999999997E-3</v>
      </c>
      <c r="E119" s="2">
        <f t="shared" si="4"/>
        <v>4297.7245906337275</v>
      </c>
      <c r="F119" s="4"/>
      <c r="G119" s="3">
        <f t="shared" si="5"/>
        <v>1030565.4842653309</v>
      </c>
      <c r="H119" s="69"/>
      <c r="I119" s="69"/>
      <c r="J119" s="27"/>
    </row>
    <row r="120" spans="1:10" x14ac:dyDescent="0.25">
      <c r="A120" s="5">
        <v>46508</v>
      </c>
      <c r="B120" s="3">
        <f t="shared" si="3"/>
        <v>1030565.4842653309</v>
      </c>
      <c r="C120" s="3">
        <v>3000</v>
      </c>
      <c r="D120" s="29">
        <v>4.1999999999999997E-3</v>
      </c>
      <c r="E120" s="2">
        <f t="shared" si="4"/>
        <v>4328.3750339143899</v>
      </c>
      <c r="F120" s="4"/>
      <c r="G120" s="3">
        <f t="shared" si="5"/>
        <v>1037893.8592992453</v>
      </c>
      <c r="H120" s="69"/>
      <c r="I120" s="69"/>
      <c r="J120" s="27"/>
    </row>
    <row r="121" spans="1:10" x14ac:dyDescent="0.25">
      <c r="A121" s="5">
        <v>46539</v>
      </c>
      <c r="B121" s="3">
        <f t="shared" si="3"/>
        <v>1037893.8592992453</v>
      </c>
      <c r="C121" s="3">
        <v>3000</v>
      </c>
      <c r="D121" s="29">
        <v>4.1999999999999997E-3</v>
      </c>
      <c r="E121" s="2">
        <f t="shared" si="4"/>
        <v>4359.15420905683</v>
      </c>
      <c r="F121" s="4"/>
      <c r="G121" s="3">
        <f t="shared" si="5"/>
        <v>1045253.0135083022</v>
      </c>
      <c r="H121" s="69"/>
      <c r="I121" s="69"/>
      <c r="J121" s="27"/>
    </row>
    <row r="122" spans="1:10" x14ac:dyDescent="0.25">
      <c r="A122" s="5">
        <v>46569</v>
      </c>
      <c r="B122" s="3">
        <f t="shared" si="3"/>
        <v>1045253.0135083022</v>
      </c>
      <c r="C122" s="3">
        <v>3000</v>
      </c>
      <c r="D122" s="29">
        <v>4.1999999999999997E-3</v>
      </c>
      <c r="E122" s="2">
        <f t="shared" si="4"/>
        <v>4390.0626567348691</v>
      </c>
      <c r="F122" s="4"/>
      <c r="G122" s="3">
        <f t="shared" si="5"/>
        <v>1052643.076165037</v>
      </c>
      <c r="H122" s="69"/>
      <c r="I122" s="69"/>
      <c r="J122" s="27"/>
    </row>
    <row r="123" spans="1:10" x14ac:dyDescent="0.25">
      <c r="A123" s="5">
        <v>46600</v>
      </c>
      <c r="B123" s="3">
        <f t="shared" si="3"/>
        <v>1052643.076165037</v>
      </c>
      <c r="C123" s="3">
        <v>3000</v>
      </c>
      <c r="D123" s="29">
        <v>4.1999999999999997E-3</v>
      </c>
      <c r="E123" s="2">
        <f t="shared" si="4"/>
        <v>4421.1009198931552</v>
      </c>
      <c r="F123" s="4"/>
      <c r="G123" s="3">
        <f t="shared" si="5"/>
        <v>1060064.1770849302</v>
      </c>
      <c r="H123" s="69"/>
      <c r="I123" s="69"/>
      <c r="J123" s="27"/>
    </row>
    <row r="124" spans="1:10" x14ac:dyDescent="0.25">
      <c r="A124" s="5">
        <v>46631</v>
      </c>
      <c r="B124" s="3">
        <f t="shared" si="3"/>
        <v>1060064.1770849302</v>
      </c>
      <c r="C124" s="3">
        <v>3000</v>
      </c>
      <c r="D124" s="29">
        <v>4.1999999999999997E-3</v>
      </c>
      <c r="E124" s="2">
        <f t="shared" si="4"/>
        <v>4452.2695437567063</v>
      </c>
      <c r="F124" s="4"/>
      <c r="G124" s="3">
        <f t="shared" si="5"/>
        <v>1067516.446628687</v>
      </c>
      <c r="H124" s="69"/>
      <c r="I124" s="69"/>
      <c r="J124" s="27"/>
    </row>
    <row r="125" spans="1:10" x14ac:dyDescent="0.25">
      <c r="A125" s="5">
        <v>46661</v>
      </c>
      <c r="B125" s="3">
        <f t="shared" si="3"/>
        <v>1067516.446628687</v>
      </c>
      <c r="C125" s="3">
        <v>3000</v>
      </c>
      <c r="D125" s="29">
        <v>4.1999999999999997E-3</v>
      </c>
      <c r="E125" s="2">
        <f t="shared" si="4"/>
        <v>4483.5690758404853</v>
      </c>
      <c r="F125" s="4"/>
      <c r="G125" s="3">
        <f t="shared" si="5"/>
        <v>1075000.0157045275</v>
      </c>
      <c r="H125" s="69"/>
      <c r="I125" s="69"/>
      <c r="J125" s="27"/>
    </row>
    <row r="126" spans="1:10" x14ac:dyDescent="0.25">
      <c r="A126" s="5">
        <v>46692</v>
      </c>
      <c r="B126" s="3">
        <f t="shared" si="3"/>
        <v>1075000.0157045275</v>
      </c>
      <c r="C126" s="3">
        <v>3000</v>
      </c>
      <c r="D126" s="29">
        <v>4.1999999999999997E-3</v>
      </c>
      <c r="E126" s="2">
        <f t="shared" si="4"/>
        <v>4515.000065959015</v>
      </c>
      <c r="F126" s="4"/>
      <c r="G126" s="3">
        <f t="shared" si="5"/>
        <v>1082515.0157704866</v>
      </c>
      <c r="H126" s="69"/>
      <c r="I126" s="69"/>
      <c r="J126" s="27"/>
    </row>
    <row r="127" spans="1:10" x14ac:dyDescent="0.25">
      <c r="A127" s="5">
        <v>46722</v>
      </c>
      <c r="B127" s="3">
        <f t="shared" si="3"/>
        <v>1082515.0157704866</v>
      </c>
      <c r="C127" s="3">
        <v>3000</v>
      </c>
      <c r="D127" s="29">
        <v>4.1999999999999997E-3</v>
      </c>
      <c r="E127" s="2">
        <f t="shared" si="4"/>
        <v>4546.5630662360436</v>
      </c>
      <c r="F127" s="4"/>
      <c r="G127" s="3">
        <f t="shared" si="5"/>
        <v>1090061.5788367225</v>
      </c>
      <c r="H127" s="69"/>
      <c r="I127" s="69"/>
      <c r="J127" s="27"/>
    </row>
    <row r="128" spans="1:10" x14ac:dyDescent="0.25">
      <c r="A128" s="5">
        <v>46784</v>
      </c>
      <c r="B128" s="3">
        <f t="shared" ref="B128:B131" si="6">(G127)</f>
        <v>1090061.5788367225</v>
      </c>
      <c r="C128" s="3">
        <v>1400</v>
      </c>
      <c r="D128" s="29">
        <v>4.1999999999999997E-3</v>
      </c>
      <c r="E128" s="2">
        <f t="shared" ref="E128:E190" si="7">(B128*D128)</f>
        <v>4578.258631114234</v>
      </c>
      <c r="F128" s="4"/>
      <c r="G128" s="3">
        <f t="shared" ref="G128:G190" si="8">(G127+C128+E128+F128)</f>
        <v>1096039.8374678367</v>
      </c>
    </row>
    <row r="129" spans="1:7" x14ac:dyDescent="0.25">
      <c r="A129" s="5">
        <v>46813</v>
      </c>
      <c r="B129" s="3">
        <f t="shared" si="6"/>
        <v>1096039.8374678367</v>
      </c>
      <c r="C129" s="3">
        <v>1400</v>
      </c>
      <c r="D129" s="29">
        <v>4.1999999999999997E-3</v>
      </c>
      <c r="E129" s="2">
        <f t="shared" si="7"/>
        <v>4603.367317364914</v>
      </c>
      <c r="F129" s="4"/>
      <c r="G129" s="3">
        <f t="shared" si="8"/>
        <v>1102043.2047852017</v>
      </c>
    </row>
    <row r="130" spans="1:7" x14ac:dyDescent="0.25">
      <c r="A130" s="5">
        <v>46844</v>
      </c>
      <c r="B130" s="3">
        <f t="shared" si="6"/>
        <v>1102043.2047852017</v>
      </c>
      <c r="C130" s="3">
        <v>1400</v>
      </c>
      <c r="D130" s="29">
        <v>4.1999999999999997E-3</v>
      </c>
      <c r="E130" s="2">
        <f t="shared" si="7"/>
        <v>4628.5814600978465</v>
      </c>
      <c r="F130" s="4"/>
      <c r="G130" s="3">
        <f t="shared" si="8"/>
        <v>1108071.7862452995</v>
      </c>
    </row>
    <row r="131" spans="1:7" x14ac:dyDescent="0.25">
      <c r="A131" s="5">
        <v>46874</v>
      </c>
      <c r="B131" s="3">
        <f t="shared" si="6"/>
        <v>1108071.7862452995</v>
      </c>
      <c r="C131" s="3">
        <v>1400</v>
      </c>
      <c r="D131" s="29">
        <v>4.1999999999999997E-3</v>
      </c>
      <c r="E131" s="2">
        <f t="shared" si="7"/>
        <v>4653.9015022302574</v>
      </c>
      <c r="F131" s="4"/>
      <c r="G131" s="3">
        <f t="shared" si="8"/>
        <v>1114125.6877475297</v>
      </c>
    </row>
    <row r="132" spans="1:7" x14ac:dyDescent="0.25">
      <c r="A132" s="5">
        <v>46905</v>
      </c>
      <c r="B132" s="3">
        <f t="shared" ref="B132:B195" si="9">(G131)</f>
        <v>1114125.6877475297</v>
      </c>
      <c r="C132" s="3">
        <v>1400</v>
      </c>
      <c r="D132" s="29">
        <v>4.1999999999999997E-3</v>
      </c>
      <c r="E132" s="2">
        <f t="shared" si="7"/>
        <v>4679.3278885396248</v>
      </c>
      <c r="F132" s="4"/>
      <c r="G132" s="3">
        <f t="shared" si="8"/>
        <v>1120205.0156360692</v>
      </c>
    </row>
    <row r="133" spans="1:7" x14ac:dyDescent="0.25">
      <c r="A133" s="5">
        <v>46935</v>
      </c>
      <c r="B133" s="3">
        <f t="shared" si="9"/>
        <v>1120205.0156360692</v>
      </c>
      <c r="C133" s="3">
        <v>1400</v>
      </c>
      <c r="D133" s="29">
        <v>4.1999999999999997E-3</v>
      </c>
      <c r="E133" s="2">
        <f t="shared" si="7"/>
        <v>4704.8610656714909</v>
      </c>
      <c r="F133" s="4"/>
      <c r="G133" s="3">
        <f t="shared" si="8"/>
        <v>1126309.8767017408</v>
      </c>
    </row>
    <row r="134" spans="1:7" x14ac:dyDescent="0.25">
      <c r="A134" s="5">
        <v>46966</v>
      </c>
      <c r="B134" s="3">
        <f t="shared" si="9"/>
        <v>1126309.8767017408</v>
      </c>
      <c r="C134" s="3">
        <v>1400</v>
      </c>
      <c r="D134" s="29">
        <v>4.1999999999999997E-3</v>
      </c>
      <c r="E134" s="2">
        <f t="shared" si="7"/>
        <v>4730.5014821473114</v>
      </c>
      <c r="F134" s="4"/>
      <c r="G134" s="3">
        <f t="shared" si="8"/>
        <v>1132440.378183888</v>
      </c>
    </row>
    <row r="135" spans="1:7" x14ac:dyDescent="0.25">
      <c r="A135" s="5">
        <v>46997</v>
      </c>
      <c r="B135" s="3">
        <f t="shared" si="9"/>
        <v>1132440.378183888</v>
      </c>
      <c r="C135" s="3">
        <v>1400</v>
      </c>
      <c r="D135" s="29">
        <v>4.1999999999999997E-3</v>
      </c>
      <c r="E135" s="2">
        <f t="shared" si="7"/>
        <v>4756.2495883723295</v>
      </c>
      <c r="F135" s="4"/>
      <c r="G135" s="3">
        <f t="shared" si="8"/>
        <v>1138596.6277722605</v>
      </c>
    </row>
    <row r="136" spans="1:7" x14ac:dyDescent="0.25">
      <c r="A136" s="5">
        <v>47027</v>
      </c>
      <c r="B136" s="3">
        <f t="shared" si="9"/>
        <v>1138596.6277722605</v>
      </c>
      <c r="C136" s="3">
        <v>1400</v>
      </c>
      <c r="D136" s="29">
        <v>4.1999999999999997E-3</v>
      </c>
      <c r="E136" s="2">
        <f t="shared" si="7"/>
        <v>4782.1058366434936</v>
      </c>
      <c r="F136" s="4"/>
      <c r="G136" s="3">
        <f t="shared" si="8"/>
        <v>1144778.7336089041</v>
      </c>
    </row>
    <row r="137" spans="1:7" x14ac:dyDescent="0.25">
      <c r="A137" s="5">
        <v>47058</v>
      </c>
      <c r="B137" s="3">
        <f t="shared" si="9"/>
        <v>1144778.7336089041</v>
      </c>
      <c r="C137" s="3">
        <v>1400</v>
      </c>
      <c r="D137" s="29">
        <v>4.1999999999999997E-3</v>
      </c>
      <c r="E137" s="2">
        <f t="shared" si="7"/>
        <v>4808.0706811573964</v>
      </c>
      <c r="F137" s="4"/>
      <c r="G137" s="3">
        <f t="shared" si="8"/>
        <v>1150986.8042900614</v>
      </c>
    </row>
    <row r="138" spans="1:7" x14ac:dyDescent="0.25">
      <c r="A138" s="5">
        <v>47088</v>
      </c>
      <c r="B138" s="3">
        <f t="shared" si="9"/>
        <v>1150986.8042900614</v>
      </c>
      <c r="C138" s="3">
        <v>1400</v>
      </c>
      <c r="D138" s="29">
        <v>4.1999999999999997E-3</v>
      </c>
      <c r="E138" s="2">
        <f t="shared" si="7"/>
        <v>4834.1445780182576</v>
      </c>
      <c r="F138" s="4"/>
      <c r="G138" s="3">
        <f t="shared" si="8"/>
        <v>1157220.9488680796</v>
      </c>
    </row>
    <row r="139" spans="1:7" x14ac:dyDescent="0.25">
      <c r="A139" s="5">
        <v>47119</v>
      </c>
      <c r="B139" s="3">
        <f t="shared" si="9"/>
        <v>1157220.9488680796</v>
      </c>
      <c r="C139" s="3">
        <v>1400</v>
      </c>
      <c r="D139" s="29">
        <v>4.1999999999999997E-3</v>
      </c>
      <c r="E139" s="2">
        <f t="shared" si="7"/>
        <v>4860.3279852459336</v>
      </c>
      <c r="F139" s="4"/>
      <c r="G139" s="3">
        <f t="shared" si="8"/>
        <v>1163481.2768533255</v>
      </c>
    </row>
    <row r="140" spans="1:7" x14ac:dyDescent="0.25">
      <c r="A140" s="5">
        <v>47150</v>
      </c>
      <c r="B140" s="3">
        <f t="shared" si="9"/>
        <v>1163481.2768533255</v>
      </c>
      <c r="C140" s="3">
        <v>1400</v>
      </c>
      <c r="D140" s="29">
        <v>4.1999999999999997E-3</v>
      </c>
      <c r="E140" s="2">
        <f t="shared" si="7"/>
        <v>4886.621362783967</v>
      </c>
      <c r="F140" s="4"/>
      <c r="G140" s="3">
        <f t="shared" si="8"/>
        <v>1169767.8982161095</v>
      </c>
    </row>
    <row r="141" spans="1:7" x14ac:dyDescent="0.25">
      <c r="A141" s="5">
        <v>47178</v>
      </c>
      <c r="B141" s="3">
        <f t="shared" si="9"/>
        <v>1169767.8982161095</v>
      </c>
      <c r="C141" s="3">
        <v>1400</v>
      </c>
      <c r="D141" s="29">
        <v>4.1999999999999997E-3</v>
      </c>
      <c r="E141" s="2">
        <f t="shared" si="7"/>
        <v>4913.0251725076596</v>
      </c>
      <c r="F141" s="4"/>
      <c r="G141" s="3">
        <f t="shared" si="8"/>
        <v>1176080.9233886171</v>
      </c>
    </row>
    <row r="142" spans="1:7" x14ac:dyDescent="0.25">
      <c r="A142" s="5">
        <v>47209</v>
      </c>
      <c r="B142" s="3">
        <f t="shared" si="9"/>
        <v>1176080.9233886171</v>
      </c>
      <c r="C142" s="3">
        <v>1400</v>
      </c>
      <c r="D142" s="29">
        <v>4.1999999999999997E-3</v>
      </c>
      <c r="E142" s="2">
        <f t="shared" si="7"/>
        <v>4939.5398782321918</v>
      </c>
      <c r="F142" s="4"/>
      <c r="G142" s="3">
        <f t="shared" si="8"/>
        <v>1182420.4632668493</v>
      </c>
    </row>
    <row r="143" spans="1:7" x14ac:dyDescent="0.25">
      <c r="A143" s="5">
        <v>47239</v>
      </c>
      <c r="B143" s="3">
        <f t="shared" si="9"/>
        <v>1182420.4632668493</v>
      </c>
      <c r="C143" s="3">
        <v>1400</v>
      </c>
      <c r="D143" s="29">
        <v>4.1999999999999997E-3</v>
      </c>
      <c r="E143" s="2">
        <f t="shared" si="7"/>
        <v>4966.165945720767</v>
      </c>
      <c r="F143" s="4"/>
      <c r="G143" s="3">
        <f t="shared" si="8"/>
        <v>1188786.6292125701</v>
      </c>
    </row>
    <row r="144" spans="1:7" x14ac:dyDescent="0.25">
      <c r="A144" s="5">
        <v>47270</v>
      </c>
      <c r="B144" s="3">
        <f t="shared" si="9"/>
        <v>1188786.6292125701</v>
      </c>
      <c r="C144" s="3">
        <v>1400</v>
      </c>
      <c r="D144" s="29">
        <v>4.1999999999999997E-3</v>
      </c>
      <c r="E144" s="2">
        <f t="shared" si="7"/>
        <v>4992.9038426927946</v>
      </c>
      <c r="F144" s="4"/>
      <c r="G144" s="3">
        <f t="shared" si="8"/>
        <v>1195179.5330552629</v>
      </c>
    </row>
    <row r="145" spans="1:7" x14ac:dyDescent="0.25">
      <c r="A145" s="5">
        <v>47300</v>
      </c>
      <c r="B145" s="3">
        <f t="shared" si="9"/>
        <v>1195179.5330552629</v>
      </c>
      <c r="C145" s="3">
        <v>1400</v>
      </c>
      <c r="D145" s="29">
        <v>4.1999999999999997E-3</v>
      </c>
      <c r="E145" s="2">
        <f t="shared" si="7"/>
        <v>5019.754038832104</v>
      </c>
      <c r="F145" s="4"/>
      <c r="G145" s="3">
        <f t="shared" si="8"/>
        <v>1201599.287094095</v>
      </c>
    </row>
    <row r="146" spans="1:7" x14ac:dyDescent="0.25">
      <c r="A146" s="5">
        <v>47331</v>
      </c>
      <c r="B146" s="3">
        <f t="shared" si="9"/>
        <v>1201599.287094095</v>
      </c>
      <c r="C146" s="3">
        <v>1400</v>
      </c>
      <c r="D146" s="29">
        <v>4.1999999999999997E-3</v>
      </c>
      <c r="E146" s="2">
        <f t="shared" si="7"/>
        <v>5046.7170057951989</v>
      </c>
      <c r="F146" s="4"/>
      <c r="G146" s="3">
        <f t="shared" si="8"/>
        <v>1208046.0040998901</v>
      </c>
    </row>
    <row r="147" spans="1:7" x14ac:dyDescent="0.25">
      <c r="A147" s="5">
        <v>47362</v>
      </c>
      <c r="B147" s="3">
        <f t="shared" si="9"/>
        <v>1208046.0040998901</v>
      </c>
      <c r="C147" s="3">
        <v>1400</v>
      </c>
      <c r="D147" s="29">
        <v>4.1999999999999997E-3</v>
      </c>
      <c r="E147" s="2">
        <f t="shared" si="7"/>
        <v>5073.7932172195378</v>
      </c>
      <c r="F147" s="4"/>
      <c r="G147" s="3">
        <f t="shared" si="8"/>
        <v>1214519.7973171098</v>
      </c>
    </row>
    <row r="148" spans="1:7" x14ac:dyDescent="0.25">
      <c r="A148" s="5">
        <v>47392</v>
      </c>
      <c r="B148" s="3">
        <f t="shared" si="9"/>
        <v>1214519.7973171098</v>
      </c>
      <c r="C148" s="3">
        <v>1400</v>
      </c>
      <c r="D148" s="29">
        <v>4.1999999999999997E-3</v>
      </c>
      <c r="E148" s="2">
        <f t="shared" si="7"/>
        <v>5100.9831487318606</v>
      </c>
      <c r="F148" s="4"/>
      <c r="G148" s="3">
        <f t="shared" si="8"/>
        <v>1221020.7804658415</v>
      </c>
    </row>
    <row r="149" spans="1:7" x14ac:dyDescent="0.25">
      <c r="A149" s="5">
        <v>47423</v>
      </c>
      <c r="B149" s="3">
        <f t="shared" si="9"/>
        <v>1221020.7804658415</v>
      </c>
      <c r="C149" s="3">
        <v>1400</v>
      </c>
      <c r="D149" s="29">
        <v>4.1999999999999997E-3</v>
      </c>
      <c r="E149" s="2">
        <f t="shared" si="7"/>
        <v>5128.2872779565341</v>
      </c>
      <c r="F149" s="4"/>
      <c r="G149" s="3">
        <f t="shared" si="8"/>
        <v>1227549.067743798</v>
      </c>
    </row>
    <row r="150" spans="1:7" x14ac:dyDescent="0.25">
      <c r="A150" s="5">
        <v>47453</v>
      </c>
      <c r="B150" s="3">
        <f t="shared" si="9"/>
        <v>1227549.067743798</v>
      </c>
      <c r="C150" s="3">
        <v>1400</v>
      </c>
      <c r="D150" s="29">
        <v>4.1999999999999997E-3</v>
      </c>
      <c r="E150" s="2">
        <f t="shared" si="7"/>
        <v>5155.7060845239512</v>
      </c>
      <c r="F150" s="4"/>
      <c r="G150" s="3">
        <f t="shared" si="8"/>
        <v>1234104.7738283221</v>
      </c>
    </row>
    <row r="151" spans="1:7" x14ac:dyDescent="0.25">
      <c r="A151" s="5">
        <v>47484</v>
      </c>
      <c r="B151" s="3">
        <f t="shared" si="9"/>
        <v>1234104.7738283221</v>
      </c>
      <c r="C151" s="3">
        <v>1400</v>
      </c>
      <c r="D151" s="29">
        <v>4.1999999999999997E-3</v>
      </c>
      <c r="E151" s="2">
        <f t="shared" si="7"/>
        <v>5183.2400500789527</v>
      </c>
      <c r="F151" s="4"/>
      <c r="G151" s="3">
        <f t="shared" si="8"/>
        <v>1240688.0138784011</v>
      </c>
    </row>
    <row r="152" spans="1:7" x14ac:dyDescent="0.25">
      <c r="A152" s="5">
        <v>47515</v>
      </c>
      <c r="B152" s="3">
        <f t="shared" si="9"/>
        <v>1240688.0138784011</v>
      </c>
      <c r="C152" s="3">
        <v>1400</v>
      </c>
      <c r="D152" s="29">
        <v>4.1999999999999997E-3</v>
      </c>
      <c r="E152" s="2">
        <f t="shared" si="7"/>
        <v>5210.8896582892849</v>
      </c>
      <c r="F152" s="4"/>
      <c r="G152" s="3">
        <f t="shared" si="8"/>
        <v>1247298.9035366904</v>
      </c>
    </row>
    <row r="153" spans="1:7" x14ac:dyDescent="0.25">
      <c r="A153" s="5">
        <v>47543</v>
      </c>
      <c r="B153" s="3">
        <f t="shared" si="9"/>
        <v>1247298.9035366904</v>
      </c>
      <c r="C153" s="3">
        <v>1400</v>
      </c>
      <c r="D153" s="29">
        <v>4.1999999999999997E-3</v>
      </c>
      <c r="E153" s="2">
        <f t="shared" si="7"/>
        <v>5238.6553948540995</v>
      </c>
      <c r="F153" s="4"/>
      <c r="G153" s="3">
        <f t="shared" si="8"/>
        <v>1253937.5589315444</v>
      </c>
    </row>
    <row r="154" spans="1:7" x14ac:dyDescent="0.25">
      <c r="A154" s="5">
        <v>47574</v>
      </c>
      <c r="B154" s="3">
        <f t="shared" si="9"/>
        <v>1253937.5589315444</v>
      </c>
      <c r="C154" s="3">
        <v>1400</v>
      </c>
      <c r="D154" s="29">
        <v>4.1999999999999997E-3</v>
      </c>
      <c r="E154" s="2">
        <f t="shared" si="7"/>
        <v>5266.537747512486</v>
      </c>
      <c r="F154" s="4"/>
      <c r="G154" s="3">
        <f t="shared" si="8"/>
        <v>1260604.096679057</v>
      </c>
    </row>
    <row r="155" spans="1:7" x14ac:dyDescent="0.25">
      <c r="A155" s="5">
        <v>47604</v>
      </c>
      <c r="B155" s="3">
        <f t="shared" si="9"/>
        <v>1260604.096679057</v>
      </c>
      <c r="C155" s="3">
        <v>1400</v>
      </c>
      <c r="D155" s="29">
        <v>4.1999999999999997E-3</v>
      </c>
      <c r="E155" s="2">
        <f t="shared" si="7"/>
        <v>5294.5372060520394</v>
      </c>
      <c r="F155" s="4"/>
      <c r="G155" s="3">
        <f t="shared" si="8"/>
        <v>1267298.6338851091</v>
      </c>
    </row>
    <row r="156" spans="1:7" x14ac:dyDescent="0.25">
      <c r="A156" s="5">
        <v>47635</v>
      </c>
      <c r="B156" s="3">
        <f t="shared" si="9"/>
        <v>1267298.6338851091</v>
      </c>
      <c r="C156" s="3">
        <v>1400</v>
      </c>
      <c r="D156" s="29">
        <v>4.1999999999999997E-3</v>
      </c>
      <c r="E156" s="2">
        <f t="shared" si="7"/>
        <v>5322.6542623174582</v>
      </c>
      <c r="F156" s="4"/>
      <c r="G156" s="3">
        <f t="shared" si="8"/>
        <v>1274021.2881474264</v>
      </c>
    </row>
    <row r="157" spans="1:7" x14ac:dyDescent="0.25">
      <c r="A157" s="5">
        <v>47665</v>
      </c>
      <c r="B157" s="3">
        <f t="shared" si="9"/>
        <v>1274021.2881474264</v>
      </c>
      <c r="C157" s="3">
        <v>1400</v>
      </c>
      <c r="D157" s="29">
        <v>4.1999999999999997E-3</v>
      </c>
      <c r="E157" s="2">
        <f t="shared" si="7"/>
        <v>5350.8894102191907</v>
      </c>
      <c r="F157" s="4"/>
      <c r="G157" s="3">
        <f t="shared" si="8"/>
        <v>1280772.1775576456</v>
      </c>
    </row>
    <row r="158" spans="1:7" x14ac:dyDescent="0.25">
      <c r="A158" s="5">
        <v>47696</v>
      </c>
      <c r="B158" s="3">
        <f t="shared" si="9"/>
        <v>1280772.1775576456</v>
      </c>
      <c r="C158" s="3">
        <v>1400</v>
      </c>
      <c r="D158" s="29">
        <v>4.1999999999999997E-3</v>
      </c>
      <c r="E158" s="2">
        <f t="shared" si="7"/>
        <v>5379.2431457421108</v>
      </c>
      <c r="F158" s="4"/>
      <c r="G158" s="3">
        <f t="shared" si="8"/>
        <v>1287551.4207033878</v>
      </c>
    </row>
    <row r="159" spans="1:7" x14ac:dyDescent="0.25">
      <c r="A159" s="5">
        <v>47727</v>
      </c>
      <c r="B159" s="3">
        <f t="shared" si="9"/>
        <v>1287551.4207033878</v>
      </c>
      <c r="C159" s="3">
        <v>1400</v>
      </c>
      <c r="D159" s="29">
        <v>4.1999999999999997E-3</v>
      </c>
      <c r="E159" s="2">
        <f t="shared" si="7"/>
        <v>5407.7159669542289</v>
      </c>
      <c r="F159" s="4"/>
      <c r="G159" s="3">
        <f t="shared" si="8"/>
        <v>1294359.1366703419</v>
      </c>
    </row>
    <row r="160" spans="1:7" x14ac:dyDescent="0.25">
      <c r="A160" s="5">
        <v>47757</v>
      </c>
      <c r="B160" s="3">
        <f t="shared" si="9"/>
        <v>1294359.1366703419</v>
      </c>
      <c r="C160" s="3">
        <v>1400</v>
      </c>
      <c r="D160" s="29">
        <v>4.1999999999999997E-3</v>
      </c>
      <c r="E160" s="2">
        <f t="shared" si="7"/>
        <v>5436.3083740154361</v>
      </c>
      <c r="F160" s="4"/>
      <c r="G160" s="3">
        <f t="shared" si="8"/>
        <v>1301195.4450443573</v>
      </c>
    </row>
    <row r="161" spans="1:7" x14ac:dyDescent="0.25">
      <c r="A161" s="5">
        <v>47788</v>
      </c>
      <c r="B161" s="3">
        <f t="shared" si="9"/>
        <v>1301195.4450443573</v>
      </c>
      <c r="C161" s="3">
        <v>1400</v>
      </c>
      <c r="D161" s="29">
        <v>4.1999999999999997E-3</v>
      </c>
      <c r="E161" s="2">
        <f t="shared" si="7"/>
        <v>5465.0208691863008</v>
      </c>
      <c r="F161" s="4"/>
      <c r="G161" s="3">
        <f t="shared" si="8"/>
        <v>1308060.4659135437</v>
      </c>
    </row>
    <row r="162" spans="1:7" x14ac:dyDescent="0.25">
      <c r="A162" s="5">
        <v>47818</v>
      </c>
      <c r="B162" s="3">
        <f t="shared" si="9"/>
        <v>1308060.4659135437</v>
      </c>
      <c r="C162" s="3">
        <v>1400</v>
      </c>
      <c r="D162" s="29">
        <v>4.1999999999999997E-3</v>
      </c>
      <c r="E162" s="2">
        <f t="shared" si="7"/>
        <v>5493.8539568368833</v>
      </c>
      <c r="F162" s="4"/>
      <c r="G162" s="3">
        <f t="shared" si="8"/>
        <v>1314954.3198703807</v>
      </c>
    </row>
    <row r="163" spans="1:7" x14ac:dyDescent="0.25">
      <c r="A163" s="5">
        <v>47849</v>
      </c>
      <c r="B163" s="3">
        <f t="shared" si="9"/>
        <v>1314954.3198703807</v>
      </c>
      <c r="C163" s="3">
        <v>1400</v>
      </c>
      <c r="D163" s="29">
        <v>4.1999999999999997E-3</v>
      </c>
      <c r="E163" s="2">
        <f t="shared" si="7"/>
        <v>5522.8081434555988</v>
      </c>
      <c r="F163" s="4"/>
      <c r="G163" s="3">
        <f t="shared" si="8"/>
        <v>1321877.1280138362</v>
      </c>
    </row>
    <row r="164" spans="1:7" x14ac:dyDescent="0.25">
      <c r="A164" s="5">
        <v>47880</v>
      </c>
      <c r="B164" s="3">
        <f t="shared" si="9"/>
        <v>1321877.1280138362</v>
      </c>
      <c r="C164" s="3">
        <v>1400</v>
      </c>
      <c r="D164" s="29">
        <v>4.1999999999999997E-3</v>
      </c>
      <c r="E164" s="2">
        <f t="shared" si="7"/>
        <v>5551.8839376581118</v>
      </c>
      <c r="F164" s="4"/>
      <c r="G164" s="3">
        <f t="shared" si="8"/>
        <v>1328829.0119514943</v>
      </c>
    </row>
    <row r="165" spans="1:7" x14ac:dyDescent="0.25">
      <c r="A165" s="5">
        <v>47908</v>
      </c>
      <c r="B165" s="3">
        <f t="shared" si="9"/>
        <v>1328829.0119514943</v>
      </c>
      <c r="C165" s="3">
        <v>1400</v>
      </c>
      <c r="D165" s="29">
        <v>4.1999999999999997E-3</v>
      </c>
      <c r="E165" s="2">
        <f t="shared" si="7"/>
        <v>5581.0818501962758</v>
      </c>
      <c r="F165" s="4"/>
      <c r="G165" s="3">
        <f t="shared" si="8"/>
        <v>1335810.0938016905</v>
      </c>
    </row>
    <row r="166" spans="1:7" x14ac:dyDescent="0.25">
      <c r="A166" s="5">
        <v>47939</v>
      </c>
      <c r="B166" s="3">
        <f t="shared" si="9"/>
        <v>1335810.0938016905</v>
      </c>
      <c r="C166" s="3">
        <v>1400</v>
      </c>
      <c r="D166" s="29">
        <v>4.1999999999999997E-3</v>
      </c>
      <c r="E166" s="2">
        <f t="shared" si="7"/>
        <v>5610.4023939670997</v>
      </c>
      <c r="F166" s="4"/>
      <c r="G166" s="3">
        <f t="shared" si="8"/>
        <v>1342820.4961956576</v>
      </c>
    </row>
    <row r="167" spans="1:7" x14ac:dyDescent="0.25">
      <c r="A167" s="5">
        <v>47969</v>
      </c>
      <c r="B167" s="3">
        <f t="shared" si="9"/>
        <v>1342820.4961956576</v>
      </c>
      <c r="C167" s="3">
        <v>1400</v>
      </c>
      <c r="D167" s="29">
        <v>4.1999999999999997E-3</v>
      </c>
      <c r="E167" s="2">
        <f t="shared" si="7"/>
        <v>5639.8460840217622</v>
      </c>
      <c r="F167" s="4"/>
      <c r="G167" s="3">
        <f t="shared" si="8"/>
        <v>1349860.3422796794</v>
      </c>
    </row>
    <row r="168" spans="1:7" x14ac:dyDescent="0.25">
      <c r="A168" s="5">
        <v>48000</v>
      </c>
      <c r="B168" s="3">
        <f t="shared" si="9"/>
        <v>1349860.3422796794</v>
      </c>
      <c r="C168" s="3">
        <v>1400</v>
      </c>
      <c r="D168" s="29">
        <v>4.1999999999999997E-3</v>
      </c>
      <c r="E168" s="2">
        <f t="shared" si="7"/>
        <v>5669.4134375746535</v>
      </c>
      <c r="F168" s="4"/>
      <c r="G168" s="3">
        <f t="shared" si="8"/>
        <v>1356929.755717254</v>
      </c>
    </row>
    <row r="169" spans="1:7" x14ac:dyDescent="0.25">
      <c r="A169" s="5">
        <v>48030</v>
      </c>
      <c r="B169" s="3">
        <f t="shared" si="9"/>
        <v>1356929.755717254</v>
      </c>
      <c r="C169" s="3">
        <v>1400</v>
      </c>
      <c r="D169" s="29">
        <v>4.1999999999999997E-3</v>
      </c>
      <c r="E169" s="2">
        <f t="shared" si="7"/>
        <v>5699.1049740124663</v>
      </c>
      <c r="F169" s="4"/>
      <c r="G169" s="3">
        <f t="shared" si="8"/>
        <v>1364028.8606912664</v>
      </c>
    </row>
    <row r="170" spans="1:7" x14ac:dyDescent="0.25">
      <c r="A170" s="5">
        <v>48061</v>
      </c>
      <c r="B170" s="3">
        <f t="shared" si="9"/>
        <v>1364028.8606912664</v>
      </c>
      <c r="C170" s="3">
        <v>1400</v>
      </c>
      <c r="D170" s="29">
        <v>4.1999999999999997E-3</v>
      </c>
      <c r="E170" s="2">
        <f t="shared" si="7"/>
        <v>5728.9212149033183</v>
      </c>
      <c r="F170" s="4"/>
      <c r="G170" s="3">
        <f t="shared" si="8"/>
        <v>1371157.7819061696</v>
      </c>
    </row>
    <row r="171" spans="1:7" x14ac:dyDescent="0.25">
      <c r="A171" s="5">
        <v>48092</v>
      </c>
      <c r="B171" s="3">
        <f t="shared" si="9"/>
        <v>1371157.7819061696</v>
      </c>
      <c r="C171" s="3">
        <v>1400</v>
      </c>
      <c r="D171" s="29">
        <v>4.1999999999999997E-3</v>
      </c>
      <c r="E171" s="2">
        <f t="shared" si="7"/>
        <v>5758.8626840059123</v>
      </c>
      <c r="F171" s="4"/>
      <c r="G171" s="3">
        <f t="shared" si="8"/>
        <v>1378316.6445901755</v>
      </c>
    </row>
    <row r="172" spans="1:7" x14ac:dyDescent="0.25">
      <c r="A172" s="5">
        <v>48122</v>
      </c>
      <c r="B172" s="3">
        <f t="shared" si="9"/>
        <v>1378316.6445901755</v>
      </c>
      <c r="C172" s="3">
        <v>1400</v>
      </c>
      <c r="D172" s="29">
        <v>4.1999999999999997E-3</v>
      </c>
      <c r="E172" s="2">
        <f t="shared" si="7"/>
        <v>5788.9299072787362</v>
      </c>
      <c r="F172" s="4"/>
      <c r="G172" s="3">
        <f t="shared" si="8"/>
        <v>1385505.5744974541</v>
      </c>
    </row>
    <row r="173" spans="1:7" x14ac:dyDescent="0.25">
      <c r="A173" s="5">
        <v>48153</v>
      </c>
      <c r="B173" s="3">
        <f t="shared" si="9"/>
        <v>1385505.5744974541</v>
      </c>
      <c r="C173" s="3">
        <v>1400</v>
      </c>
      <c r="D173" s="29">
        <v>4.1999999999999997E-3</v>
      </c>
      <c r="E173" s="2">
        <f t="shared" si="7"/>
        <v>5819.1234128893066</v>
      </c>
      <c r="F173" s="4"/>
      <c r="G173" s="3">
        <f t="shared" si="8"/>
        <v>1392724.6979103433</v>
      </c>
    </row>
    <row r="174" spans="1:7" x14ac:dyDescent="0.25">
      <c r="A174" s="5">
        <v>48183</v>
      </c>
      <c r="B174" s="3">
        <f t="shared" si="9"/>
        <v>1392724.6979103433</v>
      </c>
      <c r="C174" s="3">
        <v>1400</v>
      </c>
      <c r="D174" s="29">
        <v>4.1999999999999997E-3</v>
      </c>
      <c r="E174" s="2">
        <f t="shared" si="7"/>
        <v>5849.4437312234413</v>
      </c>
      <c r="F174" s="4"/>
      <c r="G174" s="3">
        <f t="shared" si="8"/>
        <v>1399974.1416415668</v>
      </c>
    </row>
    <row r="175" spans="1:7" x14ac:dyDescent="0.25">
      <c r="A175" s="5">
        <v>48214</v>
      </c>
      <c r="B175" s="3">
        <f t="shared" si="9"/>
        <v>1399974.1416415668</v>
      </c>
      <c r="C175" s="3">
        <v>1400</v>
      </c>
      <c r="D175" s="29">
        <v>4.1999999999999997E-3</v>
      </c>
      <c r="E175" s="2">
        <f t="shared" si="7"/>
        <v>5879.8913948945801</v>
      </c>
      <c r="F175" s="4"/>
      <c r="G175" s="3">
        <f t="shared" si="8"/>
        <v>1407254.0330364613</v>
      </c>
    </row>
    <row r="176" spans="1:7" x14ac:dyDescent="0.25">
      <c r="A176" s="5">
        <v>48245</v>
      </c>
      <c r="B176" s="3">
        <f t="shared" si="9"/>
        <v>1407254.0330364613</v>
      </c>
      <c r="C176" s="3">
        <v>1400</v>
      </c>
      <c r="D176" s="29">
        <v>4.1999999999999997E-3</v>
      </c>
      <c r="E176" s="2">
        <f t="shared" si="7"/>
        <v>5910.4669387531376</v>
      </c>
      <c r="F176" s="4"/>
      <c r="G176" s="3">
        <f t="shared" si="8"/>
        <v>1414564.4999752145</v>
      </c>
    </row>
    <row r="177" spans="1:7" x14ac:dyDescent="0.25">
      <c r="A177" s="5">
        <v>48274</v>
      </c>
      <c r="B177" s="3">
        <f t="shared" si="9"/>
        <v>1414564.4999752145</v>
      </c>
      <c r="C177" s="3">
        <v>1400</v>
      </c>
      <c r="D177" s="29">
        <v>4.1999999999999997E-3</v>
      </c>
      <c r="E177" s="2">
        <f t="shared" si="7"/>
        <v>5941.1708998959002</v>
      </c>
      <c r="F177" s="4"/>
      <c r="G177" s="3">
        <f t="shared" si="8"/>
        <v>1421905.6708751104</v>
      </c>
    </row>
    <row r="178" spans="1:7" x14ac:dyDescent="0.25">
      <c r="A178" s="5">
        <v>48305</v>
      </c>
      <c r="B178" s="3">
        <f t="shared" si="9"/>
        <v>1421905.6708751104</v>
      </c>
      <c r="C178" s="3">
        <v>1400</v>
      </c>
      <c r="D178" s="29">
        <v>4.1999999999999997E-3</v>
      </c>
      <c r="E178" s="2">
        <f t="shared" si="7"/>
        <v>5972.0038176754633</v>
      </c>
      <c r="F178" s="4"/>
      <c r="G178" s="3">
        <f t="shared" si="8"/>
        <v>1429277.6746927858</v>
      </c>
    </row>
    <row r="179" spans="1:7" x14ac:dyDescent="0.25">
      <c r="A179" s="5">
        <v>48335</v>
      </c>
      <c r="B179" s="3">
        <f t="shared" si="9"/>
        <v>1429277.6746927858</v>
      </c>
      <c r="C179" s="3">
        <v>1400</v>
      </c>
      <c r="D179" s="29">
        <v>4.1999999999999997E-3</v>
      </c>
      <c r="E179" s="2">
        <f t="shared" si="7"/>
        <v>6002.9662337096997</v>
      </c>
      <c r="F179" s="4"/>
      <c r="G179" s="3">
        <f t="shared" si="8"/>
        <v>1436680.6409264954</v>
      </c>
    </row>
    <row r="180" spans="1:7" x14ac:dyDescent="0.25">
      <c r="A180" s="5">
        <v>48366</v>
      </c>
      <c r="B180" s="3">
        <f t="shared" si="9"/>
        <v>1436680.6409264954</v>
      </c>
      <c r="C180" s="3">
        <v>1400</v>
      </c>
      <c r="D180" s="29">
        <v>4.1999999999999997E-3</v>
      </c>
      <c r="E180" s="2">
        <f t="shared" si="7"/>
        <v>6034.0586918912804</v>
      </c>
      <c r="F180" s="4"/>
      <c r="G180" s="3">
        <f t="shared" si="8"/>
        <v>1444114.6996183868</v>
      </c>
    </row>
    <row r="181" spans="1:7" x14ac:dyDescent="0.25">
      <c r="A181" s="5">
        <v>48396</v>
      </c>
      <c r="B181" s="3">
        <f t="shared" si="9"/>
        <v>1444114.6996183868</v>
      </c>
      <c r="C181" s="3">
        <v>1400</v>
      </c>
      <c r="D181" s="29">
        <v>4.1999999999999997E-3</v>
      </c>
      <c r="E181" s="2">
        <f t="shared" si="7"/>
        <v>6065.2817383972242</v>
      </c>
      <c r="F181" s="4"/>
      <c r="G181" s="3">
        <f t="shared" si="8"/>
        <v>1451579.981356784</v>
      </c>
    </row>
    <row r="182" spans="1:7" x14ac:dyDescent="0.25">
      <c r="A182" s="5">
        <v>48427</v>
      </c>
      <c r="B182" s="3">
        <f t="shared" si="9"/>
        <v>1451579.981356784</v>
      </c>
      <c r="C182" s="3">
        <v>1400</v>
      </c>
      <c r="D182" s="29">
        <v>4.1999999999999997E-3</v>
      </c>
      <c r="E182" s="2">
        <f t="shared" si="7"/>
        <v>6096.635921698492</v>
      </c>
      <c r="F182" s="4"/>
      <c r="G182" s="3">
        <f t="shared" si="8"/>
        <v>1459076.6172784825</v>
      </c>
    </row>
    <row r="183" spans="1:7" x14ac:dyDescent="0.25">
      <c r="A183" s="5">
        <v>48458</v>
      </c>
      <c r="B183" s="3">
        <f t="shared" si="9"/>
        <v>1459076.6172784825</v>
      </c>
      <c r="C183" s="3">
        <v>1400</v>
      </c>
      <c r="D183" s="29">
        <v>4.1999999999999997E-3</v>
      </c>
      <c r="E183" s="2">
        <f t="shared" si="7"/>
        <v>6128.1217925696265</v>
      </c>
      <c r="F183" s="4"/>
      <c r="G183" s="3">
        <f t="shared" si="8"/>
        <v>1466604.7390710521</v>
      </c>
    </row>
    <row r="184" spans="1:7" x14ac:dyDescent="0.25">
      <c r="A184" s="5">
        <v>48488</v>
      </c>
      <c r="B184" s="3">
        <f t="shared" si="9"/>
        <v>1466604.7390710521</v>
      </c>
      <c r="C184" s="3">
        <v>1400</v>
      </c>
      <c r="D184" s="29">
        <v>4.1999999999999997E-3</v>
      </c>
      <c r="E184" s="2">
        <f t="shared" si="7"/>
        <v>6159.7399040984183</v>
      </c>
      <c r="F184" s="4"/>
      <c r="G184" s="3">
        <f t="shared" si="8"/>
        <v>1474164.4789751505</v>
      </c>
    </row>
    <row r="185" spans="1:7" x14ac:dyDescent="0.25">
      <c r="A185" s="5">
        <v>48519</v>
      </c>
      <c r="B185" s="3">
        <f t="shared" si="9"/>
        <v>1474164.4789751505</v>
      </c>
      <c r="C185" s="3">
        <v>1400</v>
      </c>
      <c r="D185" s="29">
        <v>4.1999999999999997E-3</v>
      </c>
      <c r="E185" s="2">
        <f t="shared" si="7"/>
        <v>6191.4908116956321</v>
      </c>
      <c r="F185" s="4"/>
      <c r="G185" s="3">
        <f t="shared" si="8"/>
        <v>1481755.9697868461</v>
      </c>
    </row>
    <row r="186" spans="1:7" x14ac:dyDescent="0.25">
      <c r="A186" s="5">
        <v>48549</v>
      </c>
      <c r="B186" s="3">
        <f t="shared" si="9"/>
        <v>1481755.9697868461</v>
      </c>
      <c r="C186" s="3">
        <v>1400</v>
      </c>
      <c r="D186" s="29">
        <v>4.1999999999999997E-3</v>
      </c>
      <c r="E186" s="2">
        <f t="shared" si="7"/>
        <v>6223.375073104753</v>
      </c>
      <c r="F186" s="4"/>
      <c r="G186" s="3">
        <f t="shared" si="8"/>
        <v>1489379.3448599509</v>
      </c>
    </row>
    <row r="187" spans="1:7" x14ac:dyDescent="0.25">
      <c r="A187" s="5">
        <v>48580</v>
      </c>
      <c r="B187" s="3">
        <f t="shared" si="9"/>
        <v>1489379.3448599509</v>
      </c>
      <c r="C187" s="3">
        <v>1400</v>
      </c>
      <c r="D187" s="29">
        <v>4.1999999999999997E-3</v>
      </c>
      <c r="E187" s="2">
        <f t="shared" si="7"/>
        <v>6255.3932484117931</v>
      </c>
      <c r="F187" s="4"/>
      <c r="G187" s="3">
        <f t="shared" si="8"/>
        <v>1497034.7381083628</v>
      </c>
    </row>
    <row r="188" spans="1:7" x14ac:dyDescent="0.25">
      <c r="A188" s="5">
        <v>48611</v>
      </c>
      <c r="B188" s="3">
        <f t="shared" si="9"/>
        <v>1497034.7381083628</v>
      </c>
      <c r="C188" s="3">
        <v>1400</v>
      </c>
      <c r="D188" s="29">
        <v>4.1999999999999997E-3</v>
      </c>
      <c r="E188" s="2">
        <f t="shared" si="7"/>
        <v>6287.5459000551236</v>
      </c>
      <c r="F188" s="4"/>
      <c r="G188" s="3">
        <f t="shared" si="8"/>
        <v>1504722.284008418</v>
      </c>
    </row>
    <row r="189" spans="1:7" x14ac:dyDescent="0.25">
      <c r="A189" s="5">
        <v>48639</v>
      </c>
      <c r="B189" s="3">
        <f t="shared" si="9"/>
        <v>1504722.284008418</v>
      </c>
      <c r="C189" s="3">
        <v>1400</v>
      </c>
      <c r="D189" s="29">
        <v>4.1999999999999997E-3</v>
      </c>
      <c r="E189" s="2">
        <f t="shared" si="7"/>
        <v>6319.8335928353554</v>
      </c>
      <c r="F189" s="4"/>
      <c r="G189" s="3">
        <f t="shared" si="8"/>
        <v>1512442.1176012533</v>
      </c>
    </row>
    <row r="190" spans="1:7" x14ac:dyDescent="0.25">
      <c r="A190" s="5">
        <v>48670</v>
      </c>
      <c r="B190" s="3">
        <f t="shared" si="9"/>
        <v>1512442.1176012533</v>
      </c>
      <c r="C190" s="3">
        <v>1400</v>
      </c>
      <c r="D190" s="29">
        <v>4.1999999999999997E-3</v>
      </c>
      <c r="E190" s="2">
        <f t="shared" si="7"/>
        <v>6352.2568939252633</v>
      </c>
      <c r="F190" s="4"/>
      <c r="G190" s="3">
        <f t="shared" si="8"/>
        <v>1520194.3744951787</v>
      </c>
    </row>
    <row r="191" spans="1:7" x14ac:dyDescent="0.25">
      <c r="A191" s="5">
        <v>48700</v>
      </c>
      <c r="B191" s="3">
        <f t="shared" si="9"/>
        <v>1520194.3744951787</v>
      </c>
      <c r="C191" s="3">
        <v>1400</v>
      </c>
      <c r="D191" s="29">
        <v>4.1999999999999997E-3</v>
      </c>
      <c r="E191" s="2">
        <f t="shared" ref="E191:E254" si="10">(B191*D191)</f>
        <v>6384.8163728797499</v>
      </c>
      <c r="F191" s="4"/>
      <c r="G191" s="3">
        <f t="shared" ref="G191:G254" si="11">(G190+C191+E191+F191)</f>
        <v>1527979.1908680585</v>
      </c>
    </row>
    <row r="192" spans="1:7" x14ac:dyDescent="0.25">
      <c r="A192" s="5">
        <v>48731</v>
      </c>
      <c r="B192" s="3">
        <f t="shared" si="9"/>
        <v>1527979.1908680585</v>
      </c>
      <c r="C192" s="3">
        <v>1400</v>
      </c>
      <c r="D192" s="29">
        <v>4.1999999999999997E-3</v>
      </c>
      <c r="E192" s="2">
        <f t="shared" si="10"/>
        <v>6417.5126016458453</v>
      </c>
      <c r="F192" s="4"/>
      <c r="G192" s="3">
        <f t="shared" si="11"/>
        <v>1535796.7034697044</v>
      </c>
    </row>
    <row r="193" spans="1:7" x14ac:dyDescent="0.25">
      <c r="A193" s="5">
        <v>48761</v>
      </c>
      <c r="B193" s="3">
        <f t="shared" si="9"/>
        <v>1535796.7034697044</v>
      </c>
      <c r="C193" s="3">
        <v>1400</v>
      </c>
      <c r="D193" s="29">
        <v>4.1999999999999997E-3</v>
      </c>
      <c r="E193" s="2">
        <f t="shared" si="10"/>
        <v>6450.3461545727578</v>
      </c>
      <c r="F193" s="4"/>
      <c r="G193" s="3">
        <f t="shared" si="11"/>
        <v>1543647.049624277</v>
      </c>
    </row>
    <row r="194" spans="1:7" x14ac:dyDescent="0.25">
      <c r="A194" s="5">
        <v>48792</v>
      </c>
      <c r="B194" s="3">
        <f t="shared" si="9"/>
        <v>1543647.049624277</v>
      </c>
      <c r="C194" s="3">
        <v>1400</v>
      </c>
      <c r="D194" s="29">
        <v>4.1999999999999997E-3</v>
      </c>
      <c r="E194" s="2">
        <f t="shared" si="10"/>
        <v>6483.3176084219631</v>
      </c>
      <c r="F194" s="4"/>
      <c r="G194" s="3">
        <f t="shared" si="11"/>
        <v>1551530.3672326989</v>
      </c>
    </row>
    <row r="195" spans="1:7" x14ac:dyDescent="0.25">
      <c r="A195" s="5">
        <v>48823</v>
      </c>
      <c r="B195" s="3">
        <f t="shared" si="9"/>
        <v>1551530.3672326989</v>
      </c>
      <c r="C195" s="3">
        <v>1400</v>
      </c>
      <c r="D195" s="29">
        <v>4.1999999999999997E-3</v>
      </c>
      <c r="E195" s="2">
        <f t="shared" si="10"/>
        <v>6516.4275423773352</v>
      </c>
      <c r="F195" s="4"/>
      <c r="G195" s="3">
        <f t="shared" si="11"/>
        <v>1559446.7947750762</v>
      </c>
    </row>
    <row r="196" spans="1:7" x14ac:dyDescent="0.25">
      <c r="A196" s="5">
        <v>48853</v>
      </c>
      <c r="B196" s="3">
        <f t="shared" ref="B196:B259" si="12">(G195)</f>
        <v>1559446.7947750762</v>
      </c>
      <c r="C196" s="3">
        <v>1400</v>
      </c>
      <c r="D196" s="29">
        <v>4.1999999999999997E-3</v>
      </c>
      <c r="E196" s="2">
        <f t="shared" si="10"/>
        <v>6549.6765380553197</v>
      </c>
      <c r="F196" s="4"/>
      <c r="G196" s="3">
        <f t="shared" si="11"/>
        <v>1567396.4713131315</v>
      </c>
    </row>
    <row r="197" spans="1:7" x14ac:dyDescent="0.25">
      <c r="A197" s="5">
        <v>48884</v>
      </c>
      <c r="B197" s="3">
        <f t="shared" si="12"/>
        <v>1567396.4713131315</v>
      </c>
      <c r="C197" s="3">
        <v>1400</v>
      </c>
      <c r="D197" s="29">
        <v>4.1999999999999997E-3</v>
      </c>
      <c r="E197" s="2">
        <f t="shared" si="10"/>
        <v>6583.0651795151516</v>
      </c>
      <c r="F197" s="4"/>
      <c r="G197" s="3">
        <f t="shared" si="11"/>
        <v>1575379.5364926467</v>
      </c>
    </row>
    <row r="198" spans="1:7" x14ac:dyDescent="0.25">
      <c r="A198" s="5">
        <v>48914</v>
      </c>
      <c r="B198" s="3">
        <f t="shared" si="12"/>
        <v>1575379.5364926467</v>
      </c>
      <c r="C198" s="3">
        <v>1400</v>
      </c>
      <c r="D198" s="29">
        <v>4.1999999999999997E-3</v>
      </c>
      <c r="E198" s="2">
        <f t="shared" si="10"/>
        <v>6616.5940532691156</v>
      </c>
      <c r="F198" s="4"/>
      <c r="G198" s="3">
        <f t="shared" si="11"/>
        <v>1583396.1305459158</v>
      </c>
    </row>
    <row r="199" spans="1:7" x14ac:dyDescent="0.25">
      <c r="A199" s="5">
        <v>48945</v>
      </c>
      <c r="B199" s="3">
        <f t="shared" si="12"/>
        <v>1583396.1305459158</v>
      </c>
      <c r="C199" s="3">
        <v>1400</v>
      </c>
      <c r="D199" s="29">
        <v>4.1999999999999997E-3</v>
      </c>
      <c r="E199" s="2">
        <f t="shared" si="10"/>
        <v>6650.2637482928458</v>
      </c>
      <c r="F199" s="4"/>
      <c r="G199" s="3">
        <f t="shared" si="11"/>
        <v>1591446.3942942086</v>
      </c>
    </row>
    <row r="200" spans="1:7" x14ac:dyDescent="0.25">
      <c r="A200" s="5">
        <v>48976</v>
      </c>
      <c r="B200" s="3">
        <f t="shared" si="12"/>
        <v>1591446.3942942086</v>
      </c>
      <c r="C200" s="3">
        <v>1400</v>
      </c>
      <c r="D200" s="29">
        <v>4.1999999999999997E-3</v>
      </c>
      <c r="E200" s="2">
        <f t="shared" si="10"/>
        <v>6684.074856035676</v>
      </c>
      <c r="F200" s="4"/>
      <c r="G200" s="3">
        <f t="shared" si="11"/>
        <v>1599530.4691502443</v>
      </c>
    </row>
    <row r="201" spans="1:7" x14ac:dyDescent="0.25">
      <c r="A201" s="5">
        <v>49004</v>
      </c>
      <c r="B201" s="3">
        <f t="shared" si="12"/>
        <v>1599530.4691502443</v>
      </c>
      <c r="C201" s="3">
        <v>1400</v>
      </c>
      <c r="D201" s="29">
        <v>4.1999999999999997E-3</v>
      </c>
      <c r="E201" s="2">
        <f t="shared" si="10"/>
        <v>6718.0279704310251</v>
      </c>
      <c r="F201" s="4"/>
      <c r="G201" s="3">
        <f t="shared" si="11"/>
        <v>1607648.4971206754</v>
      </c>
    </row>
    <row r="202" spans="1:7" x14ac:dyDescent="0.25">
      <c r="A202" s="5">
        <v>49035</v>
      </c>
      <c r="B202" s="3">
        <f t="shared" si="12"/>
        <v>1607648.4971206754</v>
      </c>
      <c r="C202" s="3">
        <v>1400</v>
      </c>
      <c r="D202" s="29">
        <v>4.1999999999999997E-3</v>
      </c>
      <c r="E202" s="2">
        <f t="shared" si="10"/>
        <v>6752.1236879068365</v>
      </c>
      <c r="F202" s="4"/>
      <c r="G202" s="3">
        <f t="shared" si="11"/>
        <v>1615800.6208085823</v>
      </c>
    </row>
    <row r="203" spans="1:7" x14ac:dyDescent="0.25">
      <c r="A203" s="5">
        <v>49065</v>
      </c>
      <c r="B203" s="3">
        <f t="shared" si="12"/>
        <v>1615800.6208085823</v>
      </c>
      <c r="C203" s="3">
        <v>1400</v>
      </c>
      <c r="D203" s="29">
        <v>4.1999999999999997E-3</v>
      </c>
      <c r="E203" s="2">
        <f t="shared" si="10"/>
        <v>6786.362607396045</v>
      </c>
      <c r="F203" s="4"/>
      <c r="G203" s="3">
        <f t="shared" si="11"/>
        <v>1623986.9834159783</v>
      </c>
    </row>
    <row r="204" spans="1:7" x14ac:dyDescent="0.25">
      <c r="A204" s="5">
        <v>49096</v>
      </c>
      <c r="B204" s="3">
        <f t="shared" si="12"/>
        <v>1623986.9834159783</v>
      </c>
      <c r="C204" s="3">
        <v>1400</v>
      </c>
      <c r="D204" s="29">
        <v>4.1999999999999997E-3</v>
      </c>
      <c r="E204" s="2">
        <f t="shared" si="10"/>
        <v>6820.7453303471084</v>
      </c>
      <c r="F204" s="4"/>
      <c r="G204" s="3">
        <f t="shared" si="11"/>
        <v>1632207.7287463255</v>
      </c>
    </row>
    <row r="205" spans="1:7" x14ac:dyDescent="0.25">
      <c r="A205" s="5">
        <v>49126</v>
      </c>
      <c r="B205" s="3">
        <f t="shared" si="12"/>
        <v>1632207.7287463255</v>
      </c>
      <c r="C205" s="3">
        <v>1400</v>
      </c>
      <c r="D205" s="29">
        <v>4.1999999999999997E-3</v>
      </c>
      <c r="E205" s="2">
        <f t="shared" si="10"/>
        <v>6855.2724607345663</v>
      </c>
      <c r="F205" s="4"/>
      <c r="G205" s="3">
        <f t="shared" si="11"/>
        <v>1640463.0012070599</v>
      </c>
    </row>
    <row r="206" spans="1:7" x14ac:dyDescent="0.25">
      <c r="A206" s="5">
        <v>49157</v>
      </c>
      <c r="B206" s="3">
        <f t="shared" si="12"/>
        <v>1640463.0012070599</v>
      </c>
      <c r="C206" s="3">
        <v>1400</v>
      </c>
      <c r="D206" s="29">
        <v>4.1999999999999997E-3</v>
      </c>
      <c r="E206" s="2">
        <f t="shared" si="10"/>
        <v>6889.9446050696515</v>
      </c>
      <c r="F206" s="4"/>
      <c r="G206" s="3">
        <f t="shared" si="11"/>
        <v>1648752.9458121296</v>
      </c>
    </row>
    <row r="207" spans="1:7" x14ac:dyDescent="0.25">
      <c r="A207" s="5">
        <v>49188</v>
      </c>
      <c r="B207" s="3">
        <f t="shared" si="12"/>
        <v>1648752.9458121296</v>
      </c>
      <c r="C207" s="3">
        <v>1400</v>
      </c>
      <c r="D207" s="29">
        <v>4.1999999999999997E-3</v>
      </c>
      <c r="E207" s="2">
        <f t="shared" si="10"/>
        <v>6924.7623724109444</v>
      </c>
      <c r="F207" s="4"/>
      <c r="G207" s="3">
        <f t="shared" si="11"/>
        <v>1657077.7081845405</v>
      </c>
    </row>
    <row r="208" spans="1:7" x14ac:dyDescent="0.25">
      <c r="A208" s="5">
        <v>49218</v>
      </c>
      <c r="B208" s="3">
        <f t="shared" si="12"/>
        <v>1657077.7081845405</v>
      </c>
      <c r="C208" s="3">
        <v>1400</v>
      </c>
      <c r="D208" s="29">
        <v>4.1999999999999997E-3</v>
      </c>
      <c r="E208" s="2">
        <f t="shared" si="10"/>
        <v>6959.72637437507</v>
      </c>
      <c r="F208" s="4"/>
      <c r="G208" s="3">
        <f t="shared" si="11"/>
        <v>1665437.4345589157</v>
      </c>
    </row>
    <row r="209" spans="1:7" x14ac:dyDescent="0.25">
      <c r="A209" s="5">
        <v>49249</v>
      </c>
      <c r="B209" s="3">
        <f t="shared" si="12"/>
        <v>1665437.4345589157</v>
      </c>
      <c r="C209" s="3">
        <v>1400</v>
      </c>
      <c r="D209" s="29">
        <v>4.1999999999999997E-3</v>
      </c>
      <c r="E209" s="2">
        <f t="shared" si="10"/>
        <v>6994.8372251474457</v>
      </c>
      <c r="F209" s="4"/>
      <c r="G209" s="3">
        <f t="shared" si="11"/>
        <v>1673832.2717840632</v>
      </c>
    </row>
    <row r="210" spans="1:7" x14ac:dyDescent="0.25">
      <c r="A210" s="5">
        <v>49279</v>
      </c>
      <c r="B210" s="3">
        <f t="shared" si="12"/>
        <v>1673832.2717840632</v>
      </c>
      <c r="C210" s="3">
        <v>1400</v>
      </c>
      <c r="D210" s="29">
        <v>4.1999999999999997E-3</v>
      </c>
      <c r="E210" s="2">
        <f t="shared" si="10"/>
        <v>7030.095541493065</v>
      </c>
      <c r="F210" s="4"/>
      <c r="G210" s="3">
        <f t="shared" si="11"/>
        <v>1682262.3673255562</v>
      </c>
    </row>
    <row r="211" spans="1:7" x14ac:dyDescent="0.25">
      <c r="A211" s="5">
        <v>49310</v>
      </c>
      <c r="B211" s="3">
        <f t="shared" si="12"/>
        <v>1682262.3673255562</v>
      </c>
      <c r="C211" s="3">
        <v>1400</v>
      </c>
      <c r="D211" s="29">
        <v>4.1999999999999997E-3</v>
      </c>
      <c r="E211" s="2">
        <f t="shared" si="10"/>
        <v>7065.501942767336</v>
      </c>
      <c r="F211" s="4"/>
      <c r="G211" s="3">
        <f t="shared" si="11"/>
        <v>1690727.8692683235</v>
      </c>
    </row>
    <row r="212" spans="1:7" x14ac:dyDescent="0.25">
      <c r="A212" s="5">
        <v>49341</v>
      </c>
      <c r="B212" s="3">
        <f t="shared" si="12"/>
        <v>1690727.8692683235</v>
      </c>
      <c r="C212" s="3">
        <v>1400</v>
      </c>
      <c r="D212" s="29">
        <v>4.1999999999999997E-3</v>
      </c>
      <c r="E212" s="2">
        <f t="shared" si="10"/>
        <v>7101.0570509269583</v>
      </c>
      <c r="F212" s="4"/>
      <c r="G212" s="3">
        <f t="shared" si="11"/>
        <v>1699228.9263192504</v>
      </c>
    </row>
    <row r="213" spans="1:7" x14ac:dyDescent="0.25">
      <c r="A213" s="5">
        <v>49369</v>
      </c>
      <c r="B213" s="3">
        <f t="shared" si="12"/>
        <v>1699228.9263192504</v>
      </c>
      <c r="C213" s="3">
        <v>1400</v>
      </c>
      <c r="D213" s="29">
        <v>4.1999999999999997E-3</v>
      </c>
      <c r="E213" s="2">
        <f t="shared" si="10"/>
        <v>7136.7614905408509</v>
      </c>
      <c r="F213" s="4"/>
      <c r="G213" s="3">
        <f t="shared" si="11"/>
        <v>1707765.6878097912</v>
      </c>
    </row>
    <row r="214" spans="1:7" x14ac:dyDescent="0.25">
      <c r="A214" s="5">
        <v>49400</v>
      </c>
      <c r="B214" s="3">
        <f t="shared" si="12"/>
        <v>1707765.6878097912</v>
      </c>
      <c r="C214" s="3">
        <v>1400</v>
      </c>
      <c r="D214" s="29">
        <v>4.1999999999999997E-3</v>
      </c>
      <c r="E214" s="2">
        <f t="shared" si="10"/>
        <v>7172.6158888011223</v>
      </c>
      <c r="F214" s="4"/>
      <c r="G214" s="3">
        <f t="shared" si="11"/>
        <v>1716338.3036985924</v>
      </c>
    </row>
    <row r="215" spans="1:7" x14ac:dyDescent="0.25">
      <c r="A215" s="5">
        <v>49430</v>
      </c>
      <c r="B215" s="3">
        <f t="shared" si="12"/>
        <v>1716338.3036985924</v>
      </c>
      <c r="C215" s="3">
        <v>1400</v>
      </c>
      <c r="D215" s="29">
        <v>4.1999999999999997E-3</v>
      </c>
      <c r="E215" s="2">
        <f t="shared" si="10"/>
        <v>7208.6208755340876</v>
      </c>
      <c r="F215" s="4"/>
      <c r="G215" s="3">
        <f t="shared" si="11"/>
        <v>1724946.9245741265</v>
      </c>
    </row>
    <row r="216" spans="1:7" x14ac:dyDescent="0.25">
      <c r="A216" s="5">
        <v>49461</v>
      </c>
      <c r="B216" s="3">
        <f t="shared" si="12"/>
        <v>1724946.9245741265</v>
      </c>
      <c r="C216" s="3">
        <v>1400</v>
      </c>
      <c r="D216" s="29">
        <v>4.1999999999999997E-3</v>
      </c>
      <c r="E216" s="2">
        <f t="shared" si="10"/>
        <v>7244.777083211331</v>
      </c>
      <c r="F216" s="4"/>
      <c r="G216" s="3">
        <f t="shared" si="11"/>
        <v>1733591.7016573378</v>
      </c>
    </row>
    <row r="217" spans="1:7" x14ac:dyDescent="0.25">
      <c r="A217" s="5">
        <v>49491</v>
      </c>
      <c r="B217" s="3">
        <f t="shared" si="12"/>
        <v>1733591.7016573378</v>
      </c>
      <c r="C217" s="3">
        <v>1400</v>
      </c>
      <c r="D217" s="29">
        <v>4.1999999999999997E-3</v>
      </c>
      <c r="E217" s="2">
        <f t="shared" si="10"/>
        <v>7281.0851469608187</v>
      </c>
      <c r="F217" s="4"/>
      <c r="G217" s="3">
        <f t="shared" si="11"/>
        <v>1742272.7868042986</v>
      </c>
    </row>
    <row r="218" spans="1:7" x14ac:dyDescent="0.25">
      <c r="A218" s="5">
        <v>49522</v>
      </c>
      <c r="B218" s="3">
        <f t="shared" si="12"/>
        <v>1742272.7868042986</v>
      </c>
      <c r="C218" s="3">
        <v>1400</v>
      </c>
      <c r="D218" s="29">
        <v>4.1999999999999997E-3</v>
      </c>
      <c r="E218" s="2">
        <f t="shared" si="10"/>
        <v>7317.545704578054</v>
      </c>
      <c r="F218" s="4"/>
      <c r="G218" s="3">
        <f t="shared" si="11"/>
        <v>1750990.3325088767</v>
      </c>
    </row>
    <row r="219" spans="1:7" x14ac:dyDescent="0.25">
      <c r="A219" s="5">
        <v>49553</v>
      </c>
      <c r="B219" s="3">
        <f t="shared" si="12"/>
        <v>1750990.3325088767</v>
      </c>
      <c r="C219" s="3">
        <v>1400</v>
      </c>
      <c r="D219" s="29">
        <v>4.1999999999999997E-3</v>
      </c>
      <c r="E219" s="2">
        <f t="shared" si="10"/>
        <v>7354.1593965372813</v>
      </c>
      <c r="F219" s="4"/>
      <c r="G219" s="3">
        <f t="shared" si="11"/>
        <v>1759744.491905414</v>
      </c>
    </row>
    <row r="220" spans="1:7" x14ac:dyDescent="0.25">
      <c r="A220" s="5">
        <v>49583</v>
      </c>
      <c r="B220" s="3">
        <f t="shared" si="12"/>
        <v>1759744.491905414</v>
      </c>
      <c r="C220" s="3">
        <v>1400</v>
      </c>
      <c r="D220" s="29">
        <v>4.1999999999999997E-3</v>
      </c>
      <c r="E220" s="2">
        <f t="shared" si="10"/>
        <v>7390.9268660027383</v>
      </c>
      <c r="F220" s="4"/>
      <c r="G220" s="3">
        <f t="shared" si="11"/>
        <v>1768535.4187714169</v>
      </c>
    </row>
    <row r="221" spans="1:7" x14ac:dyDescent="0.25">
      <c r="A221" s="5">
        <v>49614</v>
      </c>
      <c r="B221" s="3">
        <f t="shared" si="12"/>
        <v>1768535.4187714169</v>
      </c>
      <c r="C221" s="3">
        <v>1400</v>
      </c>
      <c r="D221" s="29">
        <v>4.1999999999999997E-3</v>
      </c>
      <c r="E221" s="2">
        <f t="shared" si="10"/>
        <v>7427.8487588399503</v>
      </c>
      <c r="F221" s="4"/>
      <c r="G221" s="3">
        <f t="shared" si="11"/>
        <v>1777363.2675302569</v>
      </c>
    </row>
    <row r="222" spans="1:7" x14ac:dyDescent="0.25">
      <c r="A222" s="5">
        <v>49644</v>
      </c>
      <c r="B222" s="3">
        <f t="shared" si="12"/>
        <v>1777363.2675302569</v>
      </c>
      <c r="C222" s="3">
        <v>1400</v>
      </c>
      <c r="D222" s="29">
        <v>4.1999999999999997E-3</v>
      </c>
      <c r="E222" s="2">
        <f t="shared" si="10"/>
        <v>7464.9257236270787</v>
      </c>
      <c r="F222" s="4"/>
      <c r="G222" s="3">
        <f t="shared" si="11"/>
        <v>1786228.1932538839</v>
      </c>
    </row>
    <row r="223" spans="1:7" x14ac:dyDescent="0.25">
      <c r="A223" s="5">
        <v>49675</v>
      </c>
      <c r="B223" s="3">
        <f t="shared" si="12"/>
        <v>1786228.1932538839</v>
      </c>
      <c r="C223" s="3">
        <v>1400</v>
      </c>
      <c r="D223" s="29">
        <v>4.1999999999999997E-3</v>
      </c>
      <c r="E223" s="2">
        <f t="shared" si="10"/>
        <v>7502.1584116663116</v>
      </c>
      <c r="F223" s="4"/>
      <c r="G223" s="3">
        <f t="shared" si="11"/>
        <v>1795130.3516655501</v>
      </c>
    </row>
    <row r="224" spans="1:7" x14ac:dyDescent="0.25">
      <c r="A224" s="5">
        <v>49706</v>
      </c>
      <c r="B224" s="3">
        <f t="shared" si="12"/>
        <v>1795130.3516655501</v>
      </c>
      <c r="C224" s="3">
        <v>1400</v>
      </c>
      <c r="D224" s="29">
        <v>4.1999999999999997E-3</v>
      </c>
      <c r="E224" s="2">
        <f t="shared" si="10"/>
        <v>7539.5474769953098</v>
      </c>
      <c r="F224" s="4"/>
      <c r="G224" s="3">
        <f t="shared" si="11"/>
        <v>1804069.8991425454</v>
      </c>
    </row>
    <row r="225" spans="1:7" x14ac:dyDescent="0.25">
      <c r="A225" s="5">
        <v>49735</v>
      </c>
      <c r="B225" s="3">
        <f t="shared" si="12"/>
        <v>1804069.8991425454</v>
      </c>
      <c r="C225" s="3">
        <v>1400</v>
      </c>
      <c r="D225" s="29">
        <v>4.1999999999999997E-3</v>
      </c>
      <c r="E225" s="2">
        <f t="shared" si="10"/>
        <v>7577.0935763986899</v>
      </c>
      <c r="F225" s="4"/>
      <c r="G225" s="3">
        <f t="shared" si="11"/>
        <v>1813046.9927189441</v>
      </c>
    </row>
    <row r="226" spans="1:7" x14ac:dyDescent="0.25">
      <c r="A226" s="5">
        <v>49766</v>
      </c>
      <c r="B226" s="3">
        <f t="shared" si="12"/>
        <v>1813046.9927189441</v>
      </c>
      <c r="C226" s="3">
        <v>1400</v>
      </c>
      <c r="D226" s="29">
        <v>4.1999999999999997E-3</v>
      </c>
      <c r="E226" s="2">
        <f t="shared" si="10"/>
        <v>7614.7973694195643</v>
      </c>
      <c r="F226" s="4"/>
      <c r="G226" s="3">
        <f t="shared" si="11"/>
        <v>1822061.7900883637</v>
      </c>
    </row>
    <row r="227" spans="1:7" x14ac:dyDescent="0.25">
      <c r="A227" s="5">
        <v>49796</v>
      </c>
      <c r="B227" s="3">
        <f t="shared" si="12"/>
        <v>1822061.7900883637</v>
      </c>
      <c r="C227" s="3">
        <v>1400</v>
      </c>
      <c r="D227" s="29">
        <v>4.1999999999999997E-3</v>
      </c>
      <c r="E227" s="2">
        <f t="shared" si="10"/>
        <v>7652.659518371127</v>
      </c>
      <c r="F227" s="4"/>
      <c r="G227" s="3">
        <f t="shared" si="11"/>
        <v>1831114.4496067348</v>
      </c>
    </row>
    <row r="228" spans="1:7" x14ac:dyDescent="0.25">
      <c r="A228" s="5">
        <v>49827</v>
      </c>
      <c r="B228" s="3">
        <f t="shared" si="12"/>
        <v>1831114.4496067348</v>
      </c>
      <c r="C228" s="3">
        <v>1400</v>
      </c>
      <c r="D228" s="29">
        <v>4.1999999999999997E-3</v>
      </c>
      <c r="E228" s="2">
        <f t="shared" si="10"/>
        <v>7690.6806883482859</v>
      </c>
      <c r="F228" s="4"/>
      <c r="G228" s="3">
        <f t="shared" si="11"/>
        <v>1840205.1302950832</v>
      </c>
    </row>
    <row r="229" spans="1:7" x14ac:dyDescent="0.25">
      <c r="A229" s="5">
        <v>49857</v>
      </c>
      <c r="B229" s="3">
        <f t="shared" si="12"/>
        <v>1840205.1302950832</v>
      </c>
      <c r="C229" s="3">
        <v>1400</v>
      </c>
      <c r="D229" s="29">
        <v>4.1999999999999997E-3</v>
      </c>
      <c r="E229" s="2">
        <f t="shared" si="10"/>
        <v>7728.8615472393485</v>
      </c>
      <c r="F229" s="4"/>
      <c r="G229" s="3">
        <f t="shared" si="11"/>
        <v>1849333.9918423225</v>
      </c>
    </row>
    <row r="230" spans="1:7" x14ac:dyDescent="0.25">
      <c r="A230" s="5">
        <v>49888</v>
      </c>
      <c r="B230" s="3">
        <f t="shared" si="12"/>
        <v>1849333.9918423225</v>
      </c>
      <c r="C230" s="3">
        <v>1400</v>
      </c>
      <c r="D230" s="29">
        <v>4.1999999999999997E-3</v>
      </c>
      <c r="E230" s="2">
        <f t="shared" si="10"/>
        <v>7767.2027657377539</v>
      </c>
      <c r="F230" s="4"/>
      <c r="G230" s="3">
        <f t="shared" si="11"/>
        <v>1858501.1946080602</v>
      </c>
    </row>
    <row r="231" spans="1:7" x14ac:dyDescent="0.25">
      <c r="A231" s="5">
        <v>49919</v>
      </c>
      <c r="B231" s="3">
        <f t="shared" si="12"/>
        <v>1858501.1946080602</v>
      </c>
      <c r="C231" s="3">
        <v>1400</v>
      </c>
      <c r="D231" s="29">
        <v>4.1999999999999997E-3</v>
      </c>
      <c r="E231" s="2">
        <f t="shared" si="10"/>
        <v>7805.7050173538519</v>
      </c>
      <c r="F231" s="4"/>
      <c r="G231" s="3">
        <f t="shared" si="11"/>
        <v>1867706.8996254141</v>
      </c>
    </row>
    <row r="232" spans="1:7" x14ac:dyDescent="0.25">
      <c r="A232" s="5">
        <v>49949</v>
      </c>
      <c r="B232" s="3">
        <f t="shared" si="12"/>
        <v>1867706.8996254141</v>
      </c>
      <c r="C232" s="3">
        <v>1400</v>
      </c>
      <c r="D232" s="29">
        <v>4.1999999999999997E-3</v>
      </c>
      <c r="E232" s="2">
        <f t="shared" si="10"/>
        <v>7844.368978426739</v>
      </c>
      <c r="F232" s="4"/>
      <c r="G232" s="3">
        <f t="shared" si="11"/>
        <v>1876951.2686038408</v>
      </c>
    </row>
    <row r="233" spans="1:7" x14ac:dyDescent="0.25">
      <c r="A233" s="5">
        <v>49980</v>
      </c>
      <c r="B233" s="3">
        <f t="shared" si="12"/>
        <v>1876951.2686038408</v>
      </c>
      <c r="C233" s="3">
        <v>1400</v>
      </c>
      <c r="D233" s="29">
        <v>4.1999999999999997E-3</v>
      </c>
      <c r="E233" s="2">
        <f t="shared" si="10"/>
        <v>7883.1953281361311</v>
      </c>
      <c r="F233" s="4"/>
      <c r="G233" s="3">
        <f t="shared" si="11"/>
        <v>1886234.4639319771</v>
      </c>
    </row>
    <row r="234" spans="1:7" x14ac:dyDescent="0.25">
      <c r="A234" s="5">
        <v>50010</v>
      </c>
      <c r="B234" s="3">
        <f t="shared" si="12"/>
        <v>1886234.4639319771</v>
      </c>
      <c r="C234" s="3">
        <v>1400</v>
      </c>
      <c r="D234" s="29">
        <v>4.1999999999999997E-3</v>
      </c>
      <c r="E234" s="2">
        <f t="shared" si="10"/>
        <v>7922.1847485143035</v>
      </c>
      <c r="F234" s="4"/>
      <c r="G234" s="3">
        <f t="shared" si="11"/>
        <v>1895556.6486804914</v>
      </c>
    </row>
    <row r="235" spans="1:7" x14ac:dyDescent="0.25">
      <c r="A235" s="5">
        <v>50041</v>
      </c>
      <c r="B235" s="3">
        <f t="shared" si="12"/>
        <v>1895556.6486804914</v>
      </c>
      <c r="C235" s="3">
        <v>1400</v>
      </c>
      <c r="D235" s="29">
        <v>4.1999999999999997E-3</v>
      </c>
      <c r="E235" s="2">
        <f t="shared" si="10"/>
        <v>7961.3379244580628</v>
      </c>
      <c r="F235" s="4"/>
      <c r="G235" s="3">
        <f t="shared" si="11"/>
        <v>1904917.9866049495</v>
      </c>
    </row>
    <row r="236" spans="1:7" x14ac:dyDescent="0.25">
      <c r="A236" s="5">
        <v>50072</v>
      </c>
      <c r="B236" s="3">
        <f t="shared" si="12"/>
        <v>1904917.9866049495</v>
      </c>
      <c r="C236" s="3">
        <v>1400</v>
      </c>
      <c r="D236" s="29">
        <v>4.1999999999999997E-3</v>
      </c>
      <c r="E236" s="2">
        <f t="shared" si="10"/>
        <v>8000.6555437407869</v>
      </c>
      <c r="F236" s="4"/>
      <c r="G236" s="3">
        <f t="shared" si="11"/>
        <v>1914318.6421486903</v>
      </c>
    </row>
    <row r="237" spans="1:7" x14ac:dyDescent="0.25">
      <c r="A237" s="5">
        <v>50100</v>
      </c>
      <c r="B237" s="3">
        <f t="shared" si="12"/>
        <v>1914318.6421486903</v>
      </c>
      <c r="C237" s="3">
        <v>1400</v>
      </c>
      <c r="D237" s="29">
        <v>4.1999999999999997E-3</v>
      </c>
      <c r="E237" s="2">
        <f t="shared" si="10"/>
        <v>8040.1382970244986</v>
      </c>
      <c r="F237" s="4"/>
      <c r="G237" s="3">
        <f t="shared" si="11"/>
        <v>1923758.7804457147</v>
      </c>
    </row>
    <row r="238" spans="1:7" x14ac:dyDescent="0.25">
      <c r="A238" s="5">
        <v>50131</v>
      </c>
      <c r="B238" s="3">
        <f t="shared" si="12"/>
        <v>1923758.7804457147</v>
      </c>
      <c r="C238" s="3">
        <v>1400</v>
      </c>
      <c r="D238" s="29">
        <v>4.1999999999999997E-3</v>
      </c>
      <c r="E238" s="2">
        <f t="shared" si="10"/>
        <v>8079.7868778720012</v>
      </c>
      <c r="F238" s="4"/>
      <c r="G238" s="3">
        <f t="shared" si="11"/>
        <v>1933238.5673235867</v>
      </c>
    </row>
    <row r="239" spans="1:7" x14ac:dyDescent="0.25">
      <c r="A239" s="5">
        <v>50161</v>
      </c>
      <c r="B239" s="3">
        <f t="shared" si="12"/>
        <v>1933238.5673235867</v>
      </c>
      <c r="C239" s="3">
        <v>1400</v>
      </c>
      <c r="D239" s="29">
        <v>4.1999999999999997E-3</v>
      </c>
      <c r="E239" s="2">
        <f t="shared" si="10"/>
        <v>8119.6019827590635</v>
      </c>
      <c r="F239" s="4"/>
      <c r="G239" s="3">
        <f t="shared" si="11"/>
        <v>1942758.1693063457</v>
      </c>
    </row>
    <row r="240" spans="1:7" x14ac:dyDescent="0.25">
      <c r="A240" s="5">
        <v>50192</v>
      </c>
      <c r="B240" s="3">
        <f t="shared" si="12"/>
        <v>1942758.1693063457</v>
      </c>
      <c r="C240" s="3">
        <v>1400</v>
      </c>
      <c r="D240" s="29">
        <v>4.1999999999999997E-3</v>
      </c>
      <c r="E240" s="2">
        <f t="shared" si="10"/>
        <v>8159.5843110866517</v>
      </c>
      <c r="F240" s="4"/>
      <c r="G240" s="3">
        <f t="shared" si="11"/>
        <v>1952317.7536174324</v>
      </c>
    </row>
    <row r="241" spans="1:7" x14ac:dyDescent="0.25">
      <c r="A241" s="5">
        <v>50222</v>
      </c>
      <c r="B241" s="3">
        <f t="shared" si="12"/>
        <v>1952317.7536174324</v>
      </c>
      <c r="C241" s="3">
        <v>1400</v>
      </c>
      <c r="D241" s="29">
        <v>4.1999999999999997E-3</v>
      </c>
      <c r="E241" s="2">
        <f t="shared" si="10"/>
        <v>8199.7345651932155</v>
      </c>
      <c r="F241" s="4"/>
      <c r="G241" s="3">
        <f t="shared" si="11"/>
        <v>1961917.4881826257</v>
      </c>
    </row>
    <row r="242" spans="1:7" x14ac:dyDescent="0.25">
      <c r="A242" s="5">
        <v>50253</v>
      </c>
      <c r="B242" s="3">
        <f t="shared" si="12"/>
        <v>1961917.4881826257</v>
      </c>
      <c r="C242" s="3">
        <v>1400</v>
      </c>
      <c r="D242" s="29">
        <v>4.1999999999999997E-3</v>
      </c>
      <c r="E242" s="2">
        <f t="shared" si="10"/>
        <v>8240.0534503670278</v>
      </c>
      <c r="F242" s="4"/>
      <c r="G242" s="3">
        <f t="shared" si="11"/>
        <v>1971557.5416329927</v>
      </c>
    </row>
    <row r="243" spans="1:7" x14ac:dyDescent="0.25">
      <c r="A243" s="5">
        <v>50284</v>
      </c>
      <c r="B243" s="3">
        <f t="shared" si="12"/>
        <v>1971557.5416329927</v>
      </c>
      <c r="C243" s="3">
        <v>1400</v>
      </c>
      <c r="D243" s="29">
        <v>4.1999999999999997E-3</v>
      </c>
      <c r="E243" s="2">
        <f t="shared" si="10"/>
        <v>8280.5416748585685</v>
      </c>
      <c r="F243" s="4"/>
      <c r="G243" s="3">
        <f t="shared" si="11"/>
        <v>1981238.0833078513</v>
      </c>
    </row>
    <row r="244" spans="1:7" x14ac:dyDescent="0.25">
      <c r="A244" s="5">
        <v>50314</v>
      </c>
      <c r="B244" s="3">
        <f t="shared" si="12"/>
        <v>1981238.0833078513</v>
      </c>
      <c r="C244" s="3">
        <v>1400</v>
      </c>
      <c r="D244" s="29">
        <v>4.1999999999999997E-3</v>
      </c>
      <c r="E244" s="2">
        <f t="shared" si="10"/>
        <v>8321.1999498929745</v>
      </c>
      <c r="F244" s="4"/>
      <c r="G244" s="3">
        <f t="shared" si="11"/>
        <v>1990959.2832577443</v>
      </c>
    </row>
    <row r="245" spans="1:7" x14ac:dyDescent="0.25">
      <c r="A245" s="5">
        <v>50345</v>
      </c>
      <c r="B245" s="3">
        <f t="shared" si="12"/>
        <v>1990959.2832577443</v>
      </c>
      <c r="C245" s="3">
        <v>1400</v>
      </c>
      <c r="D245" s="29">
        <v>4.1999999999999997E-3</v>
      </c>
      <c r="E245" s="2">
        <f t="shared" si="10"/>
        <v>8362.0289896825252</v>
      </c>
      <c r="F245" s="4"/>
      <c r="G245" s="3">
        <f t="shared" si="11"/>
        <v>2000721.3122474267</v>
      </c>
    </row>
    <row r="246" spans="1:7" x14ac:dyDescent="0.25">
      <c r="A246" s="5">
        <v>50375</v>
      </c>
      <c r="B246" s="3">
        <f t="shared" si="12"/>
        <v>2000721.3122474267</v>
      </c>
      <c r="C246" s="3">
        <v>1400</v>
      </c>
      <c r="D246" s="29">
        <v>4.1999999999999997E-3</v>
      </c>
      <c r="E246" s="2">
        <f t="shared" si="10"/>
        <v>8403.029511439192</v>
      </c>
      <c r="F246" s="4"/>
      <c r="G246" s="3">
        <f t="shared" si="11"/>
        <v>2010524.3417588659</v>
      </c>
    </row>
    <row r="247" spans="1:7" x14ac:dyDescent="0.25">
      <c r="A247" s="5">
        <v>50406</v>
      </c>
      <c r="B247" s="3">
        <f t="shared" si="12"/>
        <v>2010524.3417588659</v>
      </c>
      <c r="C247" s="3">
        <v>1400</v>
      </c>
      <c r="D247" s="29">
        <v>4.1999999999999997E-3</v>
      </c>
      <c r="E247" s="2">
        <f t="shared" si="10"/>
        <v>8444.2022353872362</v>
      </c>
      <c r="F247" s="4"/>
      <c r="G247" s="3">
        <f t="shared" si="11"/>
        <v>2020368.543994253</v>
      </c>
    </row>
    <row r="248" spans="1:7" x14ac:dyDescent="0.25">
      <c r="A248" s="5">
        <v>50437</v>
      </c>
      <c r="B248" s="3">
        <f t="shared" si="12"/>
        <v>2020368.543994253</v>
      </c>
      <c r="C248" s="3">
        <v>1400</v>
      </c>
      <c r="D248" s="29">
        <v>4.1999999999999997E-3</v>
      </c>
      <c r="E248" s="2">
        <f t="shared" si="10"/>
        <v>8485.5478847758623</v>
      </c>
      <c r="F248" s="4"/>
      <c r="G248" s="3">
        <f t="shared" si="11"/>
        <v>2030254.0918790288</v>
      </c>
    </row>
    <row r="249" spans="1:7" x14ac:dyDescent="0.25">
      <c r="A249" s="5">
        <v>50465</v>
      </c>
      <c r="B249" s="3">
        <f t="shared" si="12"/>
        <v>2030254.0918790288</v>
      </c>
      <c r="C249" s="3">
        <v>1400</v>
      </c>
      <c r="D249" s="29">
        <v>4.1999999999999997E-3</v>
      </c>
      <c r="E249" s="2">
        <f t="shared" si="10"/>
        <v>8527.0671858919213</v>
      </c>
      <c r="F249" s="4"/>
      <c r="G249" s="3">
        <f t="shared" si="11"/>
        <v>2040181.1590649209</v>
      </c>
    </row>
    <row r="250" spans="1:7" x14ac:dyDescent="0.25">
      <c r="A250" s="5">
        <v>50496</v>
      </c>
      <c r="B250" s="3">
        <f t="shared" si="12"/>
        <v>2040181.1590649209</v>
      </c>
      <c r="C250" s="3">
        <v>1400</v>
      </c>
      <c r="D250" s="29">
        <v>4.1999999999999997E-3</v>
      </c>
      <c r="E250" s="2">
        <f t="shared" si="10"/>
        <v>8568.7608680726662</v>
      </c>
      <c r="F250" s="4"/>
      <c r="G250" s="3">
        <f t="shared" si="11"/>
        <v>2050149.9199329936</v>
      </c>
    </row>
    <row r="251" spans="1:7" x14ac:dyDescent="0.25">
      <c r="A251" s="5">
        <v>50526</v>
      </c>
      <c r="B251" s="3">
        <f t="shared" si="12"/>
        <v>2050149.9199329936</v>
      </c>
      <c r="C251" s="3">
        <v>1400</v>
      </c>
      <c r="D251" s="29">
        <v>4.1999999999999997E-3</v>
      </c>
      <c r="E251" s="2">
        <f t="shared" si="10"/>
        <v>8610.6296637185733</v>
      </c>
      <c r="F251" s="4"/>
      <c r="G251" s="3">
        <f t="shared" si="11"/>
        <v>2060160.5495967122</v>
      </c>
    </row>
    <row r="252" spans="1:7" x14ac:dyDescent="0.25">
      <c r="A252" s="5">
        <v>50557</v>
      </c>
      <c r="B252" s="3">
        <f t="shared" si="12"/>
        <v>2060160.5495967122</v>
      </c>
      <c r="C252" s="3">
        <v>1400</v>
      </c>
      <c r="D252" s="29">
        <v>4.1999999999999997E-3</v>
      </c>
      <c r="E252" s="2">
        <f t="shared" si="10"/>
        <v>8652.6743083061901</v>
      </c>
      <c r="F252" s="4"/>
      <c r="G252" s="3">
        <f t="shared" si="11"/>
        <v>2070213.2239050185</v>
      </c>
    </row>
    <row r="253" spans="1:7" x14ac:dyDescent="0.25">
      <c r="A253" s="5">
        <v>50587</v>
      </c>
      <c r="B253" s="3">
        <f t="shared" si="12"/>
        <v>2070213.2239050185</v>
      </c>
      <c r="C253" s="3">
        <v>1400</v>
      </c>
      <c r="D253" s="29">
        <v>4.1999999999999997E-3</v>
      </c>
      <c r="E253" s="2">
        <f t="shared" si="10"/>
        <v>8694.8955404010776</v>
      </c>
      <c r="F253" s="4"/>
      <c r="G253" s="3">
        <f t="shared" si="11"/>
        <v>2080308.1194454196</v>
      </c>
    </row>
    <row r="254" spans="1:7" x14ac:dyDescent="0.25">
      <c r="A254" s="5">
        <v>50618</v>
      </c>
      <c r="B254" s="3">
        <f t="shared" si="12"/>
        <v>2080308.1194454196</v>
      </c>
      <c r="C254" s="3">
        <v>1400</v>
      </c>
      <c r="D254" s="29">
        <v>4.1999999999999997E-3</v>
      </c>
      <c r="E254" s="2">
        <f t="shared" si="10"/>
        <v>8737.2941016707628</v>
      </c>
      <c r="F254" s="4"/>
      <c r="G254" s="3">
        <f t="shared" si="11"/>
        <v>2090445.4135470905</v>
      </c>
    </row>
    <row r="255" spans="1:7" x14ac:dyDescent="0.25">
      <c r="A255" s="5">
        <v>50649</v>
      </c>
      <c r="B255" s="3">
        <f t="shared" si="12"/>
        <v>2090445.4135470905</v>
      </c>
      <c r="C255" s="3">
        <v>1400</v>
      </c>
      <c r="D255" s="29">
        <v>4.1999999999999997E-3</v>
      </c>
      <c r="E255" s="2">
        <f t="shared" ref="E255:E264" si="13">(B255*D255)</f>
        <v>8779.8707368977794</v>
      </c>
      <c r="F255" s="4"/>
      <c r="G255" s="3">
        <f t="shared" ref="G255:G264" si="14">(G254+C255+E255+F255)</f>
        <v>2100625.2842839882</v>
      </c>
    </row>
    <row r="256" spans="1:7" x14ac:dyDescent="0.25">
      <c r="A256" s="5">
        <v>50679</v>
      </c>
      <c r="B256" s="3">
        <f t="shared" si="12"/>
        <v>2100625.2842839882</v>
      </c>
      <c r="C256" s="3">
        <v>1400</v>
      </c>
      <c r="D256" s="29">
        <v>4.1999999999999997E-3</v>
      </c>
      <c r="E256" s="2">
        <f t="shared" si="13"/>
        <v>8822.6261939927499</v>
      </c>
      <c r="F256" s="4"/>
      <c r="G256" s="3">
        <f t="shared" si="14"/>
        <v>2110847.910477981</v>
      </c>
    </row>
    <row r="257" spans="1:7" x14ac:dyDescent="0.25">
      <c r="A257" s="5">
        <v>50710</v>
      </c>
      <c r="B257" s="3">
        <f t="shared" si="12"/>
        <v>2110847.910477981</v>
      </c>
      <c r="C257" s="3">
        <v>1400</v>
      </c>
      <c r="D257" s="29">
        <v>4.1999999999999997E-3</v>
      </c>
      <c r="E257" s="2">
        <f t="shared" si="13"/>
        <v>8865.5612240075188</v>
      </c>
      <c r="F257" s="4"/>
      <c r="G257" s="3">
        <f t="shared" si="14"/>
        <v>2121113.4717019885</v>
      </c>
    </row>
    <row r="258" spans="1:7" x14ac:dyDescent="0.25">
      <c r="A258" s="5">
        <v>50740</v>
      </c>
      <c r="B258" s="3">
        <f t="shared" si="12"/>
        <v>2121113.4717019885</v>
      </c>
      <c r="C258" s="3">
        <v>1400</v>
      </c>
      <c r="D258" s="29">
        <v>4.1999999999999997E-3</v>
      </c>
      <c r="E258" s="2">
        <f t="shared" si="13"/>
        <v>8908.676581148351</v>
      </c>
      <c r="F258" s="4"/>
      <c r="G258" s="3">
        <f t="shared" si="14"/>
        <v>2131422.148283137</v>
      </c>
    </row>
    <row r="259" spans="1:7" x14ac:dyDescent="0.25">
      <c r="A259" s="5">
        <v>50771</v>
      </c>
      <c r="B259" s="3">
        <f t="shared" si="12"/>
        <v>2131422.148283137</v>
      </c>
      <c r="C259" s="3">
        <v>1400</v>
      </c>
      <c r="D259" s="29">
        <v>4.1999999999999997E-3</v>
      </c>
      <c r="E259" s="2">
        <f t="shared" si="13"/>
        <v>8951.9730227891741</v>
      </c>
      <c r="F259" s="4"/>
      <c r="G259" s="3">
        <f t="shared" si="14"/>
        <v>2141774.1213059262</v>
      </c>
    </row>
    <row r="260" spans="1:7" x14ac:dyDescent="0.25">
      <c r="A260" s="5">
        <v>50802</v>
      </c>
      <c r="B260" s="3">
        <f t="shared" ref="B260:B264" si="15">(G259)</f>
        <v>2141774.1213059262</v>
      </c>
      <c r="C260" s="3">
        <v>1400</v>
      </c>
      <c r="D260" s="29">
        <v>4.1999999999999997E-3</v>
      </c>
      <c r="E260" s="2">
        <f t="shared" si="13"/>
        <v>8995.4513094848899</v>
      </c>
      <c r="F260" s="4"/>
      <c r="G260" s="3">
        <f t="shared" si="14"/>
        <v>2152169.5726154111</v>
      </c>
    </row>
    <row r="261" spans="1:7" x14ac:dyDescent="0.25">
      <c r="A261" s="5">
        <v>50830</v>
      </c>
      <c r="B261" s="3">
        <f t="shared" si="15"/>
        <v>2152169.5726154111</v>
      </c>
      <c r="C261" s="3">
        <v>1400</v>
      </c>
      <c r="D261" s="29">
        <v>4.1999999999999997E-3</v>
      </c>
      <c r="E261" s="2">
        <f t="shared" si="13"/>
        <v>9039.1122049847254</v>
      </c>
      <c r="F261" s="4"/>
      <c r="G261" s="3">
        <f t="shared" si="14"/>
        <v>2162608.6848203959</v>
      </c>
    </row>
    <row r="262" spans="1:7" x14ac:dyDescent="0.25">
      <c r="A262" s="5">
        <v>50861</v>
      </c>
      <c r="B262" s="3">
        <f t="shared" si="15"/>
        <v>2162608.6848203959</v>
      </c>
      <c r="C262" s="3">
        <v>1400</v>
      </c>
      <c r="D262" s="29">
        <v>4.1999999999999997E-3</v>
      </c>
      <c r="E262" s="2">
        <f t="shared" si="13"/>
        <v>9082.956476245663</v>
      </c>
      <c r="F262" s="4"/>
      <c r="G262" s="3">
        <f t="shared" si="14"/>
        <v>2173091.6412966414</v>
      </c>
    </row>
    <row r="263" spans="1:7" x14ac:dyDescent="0.25">
      <c r="A263" s="5">
        <v>50891</v>
      </c>
      <c r="B263" s="3">
        <f t="shared" si="15"/>
        <v>2173091.6412966414</v>
      </c>
      <c r="C263" s="3">
        <v>1400</v>
      </c>
      <c r="D263" s="29">
        <v>4.1999999999999997E-3</v>
      </c>
      <c r="E263" s="2">
        <f t="shared" si="13"/>
        <v>9126.9848934458932</v>
      </c>
      <c r="F263" s="4"/>
      <c r="G263" s="3">
        <f t="shared" si="14"/>
        <v>2183618.6261900873</v>
      </c>
    </row>
    <row r="264" spans="1:7" x14ac:dyDescent="0.25">
      <c r="A264" s="5">
        <v>50922</v>
      </c>
      <c r="B264" s="3">
        <f t="shared" si="15"/>
        <v>2183618.6261900873</v>
      </c>
      <c r="C264" s="3">
        <v>1400</v>
      </c>
      <c r="D264" s="29">
        <v>4.1999999999999997E-3</v>
      </c>
      <c r="E264" s="2">
        <f t="shared" si="13"/>
        <v>9171.1982299983665</v>
      </c>
      <c r="F264" s="4"/>
      <c r="G264" s="3">
        <f t="shared" si="14"/>
        <v>2194189.8244200856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A764A-A2EA-4CFC-8522-B31A34FEC102}">
  <dimension ref="A1:Z24"/>
  <sheetViews>
    <sheetView topLeftCell="J1" workbookViewId="0">
      <selection activeCell="B3" sqref="B3"/>
    </sheetView>
  </sheetViews>
  <sheetFormatPr defaultRowHeight="15" x14ac:dyDescent="0.25"/>
  <cols>
    <col min="1" max="1" width="13.7109375" bestFit="1" customWidth="1"/>
    <col min="2" max="2" width="10.85546875" bestFit="1" customWidth="1"/>
    <col min="3" max="3" width="11" bestFit="1" customWidth="1"/>
    <col min="8" max="8" width="10.85546875" bestFit="1" customWidth="1"/>
    <col min="10" max="10" width="11.140625" bestFit="1" customWidth="1"/>
    <col min="15" max="15" width="11.5703125" bestFit="1" customWidth="1"/>
    <col min="17" max="17" width="10.5703125" bestFit="1" customWidth="1"/>
    <col min="18" max="18" width="14.7109375" bestFit="1" customWidth="1"/>
    <col min="22" max="22" width="9.85546875" bestFit="1" customWidth="1"/>
    <col min="23" max="23" width="10.85546875" bestFit="1" customWidth="1"/>
    <col min="24" max="24" width="10" bestFit="1" customWidth="1"/>
  </cols>
  <sheetData>
    <row r="1" spans="1:26" x14ac:dyDescent="0.25">
      <c r="A1" s="26" t="s">
        <v>70</v>
      </c>
      <c r="B1" s="26" t="s">
        <v>46</v>
      </c>
      <c r="C1" s="26" t="s">
        <v>45</v>
      </c>
      <c r="D1" s="26" t="s">
        <v>47</v>
      </c>
      <c r="E1" s="26" t="s">
        <v>48</v>
      </c>
      <c r="F1" s="26" t="s">
        <v>49</v>
      </c>
      <c r="G1" s="26" t="s">
        <v>50</v>
      </c>
      <c r="H1" s="26" t="s">
        <v>51</v>
      </c>
      <c r="I1" s="26" t="s">
        <v>52</v>
      </c>
      <c r="J1" s="26" t="s">
        <v>53</v>
      </c>
      <c r="K1" s="26" t="s">
        <v>54</v>
      </c>
      <c r="L1" s="26" t="s">
        <v>55</v>
      </c>
      <c r="M1" s="26" t="s">
        <v>56</v>
      </c>
      <c r="N1" s="26" t="s">
        <v>57</v>
      </c>
      <c r="O1" s="26" t="s">
        <v>58</v>
      </c>
      <c r="P1" s="26" t="s">
        <v>59</v>
      </c>
      <c r="Q1" s="26" t="s">
        <v>60</v>
      </c>
      <c r="R1" s="26" t="s">
        <v>61</v>
      </c>
      <c r="S1" s="26" t="s">
        <v>62</v>
      </c>
      <c r="T1" s="26" t="s">
        <v>63</v>
      </c>
      <c r="U1" s="26" t="s">
        <v>64</v>
      </c>
      <c r="V1" s="26" t="s">
        <v>65</v>
      </c>
      <c r="W1" s="26" t="s">
        <v>66</v>
      </c>
      <c r="X1" s="26" t="s">
        <v>67</v>
      </c>
      <c r="Y1" s="26" t="s">
        <v>68</v>
      </c>
      <c r="Z1" s="26" t="s">
        <v>69</v>
      </c>
    </row>
    <row r="19" spans="1:1" x14ac:dyDescent="0.25">
      <c r="A19" s="26"/>
    </row>
    <row r="20" spans="1:1" x14ac:dyDescent="0.25">
      <c r="A20" s="26"/>
    </row>
    <row r="21" spans="1:1" x14ac:dyDescent="0.25">
      <c r="A21" s="26"/>
    </row>
    <row r="22" spans="1:1" x14ac:dyDescent="0.25">
      <c r="A22" s="26"/>
    </row>
    <row r="23" spans="1:1" x14ac:dyDescent="0.25">
      <c r="A23" s="26"/>
    </row>
    <row r="24" spans="1:1" x14ac:dyDescent="0.25">
      <c r="A24" s="26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5B2F5-E61A-4F23-BB13-CF8B32D608A7}">
  <dimension ref="A1:K33"/>
  <sheetViews>
    <sheetView topLeftCell="A3" workbookViewId="0">
      <selection activeCell="D3" sqref="D3"/>
    </sheetView>
  </sheetViews>
  <sheetFormatPr defaultRowHeight="15" x14ac:dyDescent="0.25"/>
  <cols>
    <col min="1" max="4" width="11.140625" bestFit="1" customWidth="1"/>
    <col min="5" max="5" width="13.7109375" bestFit="1" customWidth="1"/>
    <col min="6" max="6" width="15.42578125" bestFit="1" customWidth="1"/>
    <col min="7" max="7" width="14.5703125" bestFit="1" customWidth="1"/>
    <col min="8" max="8" width="17.85546875" bestFit="1" customWidth="1"/>
    <col min="9" max="9" width="10.5703125" bestFit="1" customWidth="1"/>
    <col min="10" max="10" width="10.140625" bestFit="1" customWidth="1"/>
    <col min="11" max="11" width="20.85546875" bestFit="1" customWidth="1"/>
  </cols>
  <sheetData>
    <row r="1" spans="1:11" ht="18.75" x14ac:dyDescent="0.3">
      <c r="A1" s="220">
        <v>2024</v>
      </c>
      <c r="B1" s="220"/>
      <c r="C1" s="220"/>
      <c r="D1" s="220"/>
      <c r="E1" s="220"/>
      <c r="F1" s="220"/>
      <c r="G1" s="220"/>
      <c r="H1" s="220"/>
      <c r="I1" s="220"/>
      <c r="J1" s="220"/>
      <c r="K1" s="220"/>
    </row>
    <row r="2" spans="1:11" x14ac:dyDescent="0.25">
      <c r="A2" t="s">
        <v>245</v>
      </c>
      <c r="B2" t="s">
        <v>246</v>
      </c>
      <c r="C2" t="s">
        <v>247</v>
      </c>
      <c r="D2" t="s">
        <v>248</v>
      </c>
      <c r="E2" t="s">
        <v>101</v>
      </c>
      <c r="F2" t="s">
        <v>258</v>
      </c>
      <c r="G2" t="s">
        <v>259</v>
      </c>
      <c r="H2" t="s">
        <v>260</v>
      </c>
      <c r="I2" t="s">
        <v>262</v>
      </c>
      <c r="J2" t="s">
        <v>263</v>
      </c>
      <c r="K2" s="182" t="s">
        <v>264</v>
      </c>
    </row>
    <row r="3" spans="1:11" x14ac:dyDescent="0.25">
      <c r="A3" s="179" t="s">
        <v>261</v>
      </c>
      <c r="B3" s="179">
        <v>1</v>
      </c>
      <c r="C3" s="179" t="s">
        <v>160</v>
      </c>
      <c r="D3" s="180">
        <v>2325</v>
      </c>
      <c r="E3" s="179">
        <v>1100</v>
      </c>
      <c r="F3" s="180">
        <f>Table_0__5[[#This Row],[Quantidade]]*Table_0__5[[#This Row],[Column4]]</f>
        <v>2557500</v>
      </c>
      <c r="G3" s="180">
        <v>28.67</v>
      </c>
      <c r="H3" s="180">
        <f>Table_0__5[[#This Row],[Preço Médio]]*Table_0__5[[#This Row],[Quantidade]]</f>
        <v>31537.000000000004</v>
      </c>
      <c r="I3" s="180"/>
      <c r="J3" s="181">
        <f>Table_0__5[[#This Row],[Div 2024]]/Table_0__5[[#This Row],[Valor Atual]]</f>
        <v>0</v>
      </c>
      <c r="K3" s="181">
        <f>Table_0__5[[#This Row],[Div 2024]]/Table_0__5[[#This Row],[Valor de compra]]</f>
        <v>0</v>
      </c>
    </row>
    <row r="4" spans="1:11" x14ac:dyDescent="0.25">
      <c r="A4" s="179" t="s">
        <v>261</v>
      </c>
      <c r="B4" s="179">
        <v>2</v>
      </c>
      <c r="C4" s="179" t="s">
        <v>173</v>
      </c>
      <c r="D4" s="180">
        <v>51.71</v>
      </c>
      <c r="E4" s="179">
        <v>1200</v>
      </c>
      <c r="F4" s="180">
        <f>Table_0__5[[#This Row],[Quantidade]]*Table_0__5[[#This Row],[Column4]]</f>
        <v>62052</v>
      </c>
      <c r="G4" s="180">
        <v>20.51</v>
      </c>
      <c r="H4" s="180">
        <f>Table_0__5[[#This Row],[Preço Médio]]*Table_0__5[[#This Row],[Quantidade]]</f>
        <v>24612.000000000004</v>
      </c>
      <c r="I4" s="180"/>
      <c r="J4" s="181">
        <f>Table_0__5[[#This Row],[Div 2024]]/Table_0__5[[#This Row],[Valor Atual]]</f>
        <v>0</v>
      </c>
      <c r="K4" s="181">
        <f>Table_0__5[[#This Row],[Div 2024]]/Table_0__5[[#This Row],[Valor de compra]]</f>
        <v>0</v>
      </c>
    </row>
    <row r="5" spans="1:11" x14ac:dyDescent="0.25">
      <c r="A5" s="179" t="s">
        <v>261</v>
      </c>
      <c r="B5" s="179">
        <v>3</v>
      </c>
      <c r="C5" s="179" t="s">
        <v>6</v>
      </c>
      <c r="D5" s="180">
        <v>10.4</v>
      </c>
      <c r="E5" s="179">
        <v>3728</v>
      </c>
      <c r="F5" s="180">
        <f>Table_0__5[[#This Row],[Quantidade]]*Table_0__5[[#This Row],[Column4]]</f>
        <v>38771.200000000004</v>
      </c>
      <c r="G5" s="180">
        <v>8.0500000000000007</v>
      </c>
      <c r="H5" s="180">
        <f>Table_0__5[[#This Row],[Preço Médio]]*Table_0__5[[#This Row],[Quantidade]]</f>
        <v>30010.400000000001</v>
      </c>
      <c r="I5" s="180"/>
      <c r="J5" s="181">
        <f>Table_0__5[[#This Row],[Div 2024]]/Table_0__5[[#This Row],[Valor Atual]]</f>
        <v>0</v>
      </c>
      <c r="K5" s="181">
        <f>Table_0__5[[#This Row],[Div 2024]]/Table_0__5[[#This Row],[Valor de compra]]</f>
        <v>0</v>
      </c>
    </row>
    <row r="6" spans="1:11" x14ac:dyDescent="0.25">
      <c r="A6" s="179" t="s">
        <v>261</v>
      </c>
      <c r="B6" s="179">
        <v>4</v>
      </c>
      <c r="C6" s="179" t="s">
        <v>174</v>
      </c>
      <c r="D6" s="180">
        <v>34.46</v>
      </c>
      <c r="E6" s="179">
        <v>1500</v>
      </c>
      <c r="F6" s="180">
        <f>Table_0__5[[#This Row],[Quantidade]]*Table_0__5[[#This Row],[Column4]]</f>
        <v>51690</v>
      </c>
      <c r="G6" s="180">
        <v>18.97</v>
      </c>
      <c r="H6" s="180">
        <f>Table_0__5[[#This Row],[Preço Médio]]*Table_0__5[[#This Row],[Quantidade]]</f>
        <v>28455</v>
      </c>
      <c r="I6" s="180"/>
      <c r="J6" s="181">
        <f>Table_0__5[[#This Row],[Div 2024]]/Table_0__5[[#This Row],[Valor Atual]]</f>
        <v>0</v>
      </c>
      <c r="K6" s="181">
        <f>Table_0__5[[#This Row],[Div 2024]]/Table_0__5[[#This Row],[Valor de compra]]</f>
        <v>0</v>
      </c>
    </row>
    <row r="7" spans="1:11" x14ac:dyDescent="0.25">
      <c r="A7" s="179" t="s">
        <v>261</v>
      </c>
      <c r="B7" s="179">
        <v>5</v>
      </c>
      <c r="C7" s="179" t="s">
        <v>9</v>
      </c>
      <c r="D7" s="180">
        <v>6.59</v>
      </c>
      <c r="E7" s="179">
        <v>3600</v>
      </c>
      <c r="F7" s="180">
        <f>Table_0__5[[#This Row],[Quantidade]]*Table_0__5[[#This Row],[Column4]]</f>
        <v>23724</v>
      </c>
      <c r="G7" s="180">
        <v>3.52</v>
      </c>
      <c r="H7" s="180">
        <f>Table_0__5[[#This Row],[Preço Médio]]*Table_0__5[[#This Row],[Quantidade]]</f>
        <v>12672</v>
      </c>
      <c r="I7" s="180"/>
      <c r="J7" s="181">
        <f>Table_0__5[[#This Row],[Div 2024]]/Table_0__5[[#This Row],[Valor Atual]]</f>
        <v>0</v>
      </c>
      <c r="K7" s="181">
        <f>Table_0__5[[#This Row],[Div 2024]]/Table_0__5[[#This Row],[Valor de compra]]</f>
        <v>0</v>
      </c>
    </row>
    <row r="8" spans="1:11" x14ac:dyDescent="0.25">
      <c r="A8" s="179" t="s">
        <v>261</v>
      </c>
      <c r="B8" s="179">
        <v>6</v>
      </c>
      <c r="C8" s="179" t="s">
        <v>76</v>
      </c>
      <c r="D8" s="180">
        <v>5.07</v>
      </c>
      <c r="E8" s="179">
        <v>1900</v>
      </c>
      <c r="F8" s="180">
        <f>Table_0__5[[#This Row],[Quantidade]]*Table_0__5[[#This Row],[Column4]]</f>
        <v>9633</v>
      </c>
      <c r="G8" s="180">
        <v>7.83</v>
      </c>
      <c r="H8" s="180">
        <f>Table_0__5[[#This Row],[Preço Médio]]*Table_0__5[[#This Row],[Quantidade]]</f>
        <v>14877</v>
      </c>
      <c r="I8" s="180"/>
      <c r="J8" s="181">
        <f>Table_0__5[[#This Row],[Div 2024]]/Table_0__5[[#This Row],[Valor Atual]]</f>
        <v>0</v>
      </c>
      <c r="K8" s="181">
        <f>Table_0__5[[#This Row],[Div 2024]]/Table_0__5[[#This Row],[Valor de compra]]</f>
        <v>0</v>
      </c>
    </row>
    <row r="9" spans="1:11" x14ac:dyDescent="0.25">
      <c r="A9" s="179" t="s">
        <v>261</v>
      </c>
      <c r="B9" s="179">
        <v>7</v>
      </c>
      <c r="C9" s="179" t="s">
        <v>123</v>
      </c>
      <c r="D9" s="180">
        <v>40.81</v>
      </c>
      <c r="E9" s="179">
        <v>1000</v>
      </c>
      <c r="F9" s="180">
        <f>Table_0__5[[#This Row],[Quantidade]]*Table_0__5[[#This Row],[Column4]]</f>
        <v>40810</v>
      </c>
      <c r="G9" s="180">
        <v>40.31</v>
      </c>
      <c r="H9" s="180">
        <f>Table_0__5[[#This Row],[Preço Médio]]*Table_0__5[[#This Row],[Quantidade]]</f>
        <v>40310</v>
      </c>
      <c r="I9" s="180"/>
      <c r="J9" s="181">
        <f>Table_0__5[[#This Row],[Div 2024]]/Table_0__5[[#This Row],[Valor Atual]]</f>
        <v>0</v>
      </c>
      <c r="K9" s="181">
        <f>Table_0__5[[#This Row],[Div 2024]]/Table_0__5[[#This Row],[Valor de compra]]</f>
        <v>0</v>
      </c>
    </row>
    <row r="10" spans="1:11" x14ac:dyDescent="0.25">
      <c r="A10" s="179" t="s">
        <v>261</v>
      </c>
      <c r="B10" s="179">
        <v>8</v>
      </c>
      <c r="C10" s="179" t="s">
        <v>7</v>
      </c>
      <c r="D10" s="180">
        <v>33.65</v>
      </c>
      <c r="E10" s="179">
        <v>1100</v>
      </c>
      <c r="F10" s="180">
        <f>Table_0__5[[#This Row],[Quantidade]]*Table_0__5[[#This Row],[Column4]]</f>
        <v>37015</v>
      </c>
      <c r="G10" s="180">
        <v>27.09</v>
      </c>
      <c r="H10" s="180">
        <f>Table_0__5[[#This Row],[Preço Médio]]*Table_0__5[[#This Row],[Quantidade]]</f>
        <v>29799</v>
      </c>
      <c r="I10" s="180"/>
      <c r="J10" s="181">
        <f>Table_0__5[[#This Row],[Div 2024]]/Table_0__5[[#This Row],[Valor Atual]]</f>
        <v>0</v>
      </c>
      <c r="K10" s="181">
        <f>Table_0__5[[#This Row],[Div 2024]]/Table_0__5[[#This Row],[Valor de compra]]</f>
        <v>0</v>
      </c>
    </row>
    <row r="11" spans="1:11" x14ac:dyDescent="0.25">
      <c r="A11" s="179" t="s">
        <v>261</v>
      </c>
      <c r="B11" s="179">
        <v>9</v>
      </c>
      <c r="C11" s="179" t="s">
        <v>94</v>
      </c>
      <c r="D11" s="180">
        <v>8580</v>
      </c>
      <c r="E11" s="179">
        <v>1400</v>
      </c>
      <c r="F11" s="180">
        <f>Table_0__5[[#This Row],[Quantidade]]*Table_0__5[[#This Row],[Column4]]</f>
        <v>12012000</v>
      </c>
      <c r="G11" s="180">
        <v>9.1999999999999993</v>
      </c>
      <c r="H11" s="180">
        <f>Table_0__5[[#This Row],[Preço Médio]]*Table_0__5[[#This Row],[Quantidade]]</f>
        <v>12879.999999999998</v>
      </c>
      <c r="I11" s="180"/>
      <c r="J11" s="181">
        <f>Table_0__5[[#This Row],[Div 2024]]/Table_0__5[[#This Row],[Valor Atual]]</f>
        <v>0</v>
      </c>
      <c r="K11" s="181">
        <f>Table_0__5[[#This Row],[Div 2024]]/Table_0__5[[#This Row],[Valor de compra]]</f>
        <v>0</v>
      </c>
    </row>
    <row r="12" spans="1:11" x14ac:dyDescent="0.25">
      <c r="A12" s="179" t="s">
        <v>261</v>
      </c>
      <c r="B12" s="179">
        <v>10</v>
      </c>
      <c r="C12" s="179" t="s">
        <v>158</v>
      </c>
      <c r="D12" s="180">
        <v>32.770000000000003</v>
      </c>
      <c r="E12" s="179">
        <v>1000</v>
      </c>
      <c r="F12" s="180">
        <f>Table_0__5[[#This Row],[Quantidade]]*Table_0__5[[#This Row],[Column4]]</f>
        <v>32770</v>
      </c>
      <c r="G12" s="180">
        <v>11.44</v>
      </c>
      <c r="H12" s="180">
        <f>Table_0__5[[#This Row],[Preço Médio]]*Table_0__5[[#This Row],[Quantidade]]</f>
        <v>11440</v>
      </c>
      <c r="I12" s="180"/>
      <c r="J12" s="181">
        <f>Table_0__5[[#This Row],[Div 2024]]/Table_0__5[[#This Row],[Valor Atual]]</f>
        <v>0</v>
      </c>
      <c r="K12" s="181">
        <f>Table_0__5[[#This Row],[Div 2024]]/Table_0__5[[#This Row],[Valor de compra]]</f>
        <v>0</v>
      </c>
    </row>
    <row r="13" spans="1:11" x14ac:dyDescent="0.25">
      <c r="A13" s="179" t="s">
        <v>261</v>
      </c>
      <c r="B13" s="179">
        <v>11</v>
      </c>
      <c r="C13" s="179" t="s">
        <v>124</v>
      </c>
      <c r="D13" s="180">
        <v>14.54</v>
      </c>
      <c r="E13" s="179">
        <v>2100</v>
      </c>
      <c r="F13" s="180">
        <f>Table_0__5[[#This Row],[Quantidade]]*Table_0__5[[#This Row],[Column4]]</f>
        <v>30534</v>
      </c>
      <c r="G13" s="180">
        <v>17.350000000000001</v>
      </c>
      <c r="H13" s="180">
        <f>Table_0__5[[#This Row],[Preço Médio]]*Table_0__5[[#This Row],[Quantidade]]</f>
        <v>36435</v>
      </c>
      <c r="I13" s="180"/>
      <c r="J13" s="181">
        <f>Table_0__5[[#This Row],[Div 2024]]/Table_0__5[[#This Row],[Valor Atual]]</f>
        <v>0</v>
      </c>
      <c r="K13" s="181">
        <f>Table_0__5[[#This Row],[Div 2024]]/Table_0__5[[#This Row],[Valor de compra]]</f>
        <v>0</v>
      </c>
    </row>
    <row r="14" spans="1:11" x14ac:dyDescent="0.25">
      <c r="A14" s="183" t="s">
        <v>261</v>
      </c>
      <c r="B14" s="183">
        <v>12</v>
      </c>
      <c r="C14" s="183" t="s">
        <v>199</v>
      </c>
      <c r="D14" s="184">
        <v>80.34</v>
      </c>
      <c r="E14" s="183">
        <v>225</v>
      </c>
      <c r="F14" s="184">
        <f>Table_0__5[[#This Row],[Quantidade]]*Table_0__5[[#This Row],[Column4]]</f>
        <v>18076.5</v>
      </c>
      <c r="G14" s="184">
        <v>98.08</v>
      </c>
      <c r="H14" s="184">
        <f>Table_0__5[[#This Row],[Preço Médio]]*Table_0__5[[#This Row],[Quantidade]]</f>
        <v>22068</v>
      </c>
      <c r="I14" s="184"/>
      <c r="J14" s="185">
        <f>Table_0__5[[#This Row],[Div 2024]]/Table_0__5[[#This Row],[Valor Atual]]</f>
        <v>0</v>
      </c>
      <c r="K14" s="185">
        <f>Table_0__5[[#This Row],[Div 2024]]/Table_0__5[[#This Row],[Valor de compra]]</f>
        <v>0</v>
      </c>
    </row>
    <row r="15" spans="1:11" x14ac:dyDescent="0.25">
      <c r="A15" s="183" t="s">
        <v>261</v>
      </c>
      <c r="B15" s="183">
        <v>13</v>
      </c>
      <c r="C15" s="183" t="s">
        <v>157</v>
      </c>
      <c r="D15" s="184">
        <v>124</v>
      </c>
      <c r="E15" s="183">
        <v>108</v>
      </c>
      <c r="F15" s="184">
        <f>Table_0__5[[#This Row],[Quantidade]]*Table_0__5[[#This Row],[Column4]]</f>
        <v>13392</v>
      </c>
      <c r="G15" s="184">
        <v>124.33</v>
      </c>
      <c r="H15" s="184">
        <f>Table_0__5[[#This Row],[Preço Médio]]*Table_0__5[[#This Row],[Quantidade]]</f>
        <v>13427.64</v>
      </c>
      <c r="I15" s="184"/>
      <c r="J15" s="185">
        <f>Table_0__5[[#This Row],[Div 2024]]/Table_0__5[[#This Row],[Valor Atual]]</f>
        <v>0</v>
      </c>
      <c r="K15" s="185">
        <f>Table_0__5[[#This Row],[Div 2024]]/Table_0__5[[#This Row],[Valor de compra]]</f>
        <v>0</v>
      </c>
    </row>
    <row r="16" spans="1:11" x14ac:dyDescent="0.25">
      <c r="A16" s="183" t="s">
        <v>261</v>
      </c>
      <c r="B16" s="183">
        <v>14</v>
      </c>
      <c r="C16" s="183" t="s">
        <v>200</v>
      </c>
      <c r="D16" s="184">
        <v>9.5299999999999994</v>
      </c>
      <c r="E16" s="183">
        <v>1275</v>
      </c>
      <c r="F16" s="184">
        <f>Table_0__5[[#This Row],[Quantidade]]*Table_0__5[[#This Row],[Column4]]</f>
        <v>12150.75</v>
      </c>
      <c r="G16" s="184">
        <v>9.5299999999999994</v>
      </c>
      <c r="H16" s="184">
        <f>Table_0__5[[#This Row],[Preço Médio]]*Table_0__5[[#This Row],[Quantidade]]</f>
        <v>12150.75</v>
      </c>
      <c r="I16" s="184"/>
      <c r="J16" s="185">
        <f>Table_0__5[[#This Row],[Div 2024]]/Table_0__5[[#This Row],[Valor Atual]]</f>
        <v>0</v>
      </c>
      <c r="K16" s="185">
        <f>Table_0__5[[#This Row],[Div 2024]]/Table_0__5[[#This Row],[Valor de compra]]</f>
        <v>0</v>
      </c>
    </row>
    <row r="17" spans="1:11" x14ac:dyDescent="0.25">
      <c r="A17" s="183" t="s">
        <v>261</v>
      </c>
      <c r="B17" s="183">
        <v>15</v>
      </c>
      <c r="C17" s="183" t="s">
        <v>201</v>
      </c>
      <c r="D17" s="184">
        <v>8.7899999999999991</v>
      </c>
      <c r="E17" s="183">
        <v>1740</v>
      </c>
      <c r="F17" s="184">
        <f>Table_0__5[[#This Row],[Quantidade]]*Table_0__5[[#This Row],[Column4]]</f>
        <v>15294.599999999999</v>
      </c>
      <c r="G17" s="184">
        <v>8.75</v>
      </c>
      <c r="H17" s="184">
        <f>Table_0__5[[#This Row],[Preço Médio]]*Table_0__5[[#This Row],[Quantidade]]</f>
        <v>15225</v>
      </c>
      <c r="I17" s="184"/>
      <c r="J17" s="185">
        <f>Table_0__5[[#This Row],[Div 2024]]/Table_0__5[[#This Row],[Valor Atual]]</f>
        <v>0</v>
      </c>
      <c r="K17" s="185">
        <f>Table_0__5[[#This Row],[Div 2024]]/Table_0__5[[#This Row],[Valor de compra]]</f>
        <v>0</v>
      </c>
    </row>
    <row r="18" spans="1:11" x14ac:dyDescent="0.25">
      <c r="A18" s="183" t="s">
        <v>261</v>
      </c>
      <c r="B18" s="183">
        <v>16</v>
      </c>
      <c r="C18" s="183" t="s">
        <v>202</v>
      </c>
      <c r="D18" s="184">
        <v>78.95</v>
      </c>
      <c r="E18" s="183">
        <v>149</v>
      </c>
      <c r="F18" s="184">
        <f>Table_0__5[[#This Row],[Quantidade]]*Table_0__5[[#This Row],[Column4]]</f>
        <v>11763.550000000001</v>
      </c>
      <c r="G18" s="184">
        <v>87.9</v>
      </c>
      <c r="H18" s="184">
        <f>Table_0__5[[#This Row],[Preço Médio]]*Table_0__5[[#This Row],[Quantidade]]</f>
        <v>13097.1</v>
      </c>
      <c r="I18" s="184"/>
      <c r="J18" s="185">
        <f>Table_0__5[[#This Row],[Div 2024]]/Table_0__5[[#This Row],[Valor Atual]]</f>
        <v>0</v>
      </c>
      <c r="K18" s="185">
        <f>Table_0__5[[#This Row],[Div 2024]]/Table_0__5[[#This Row],[Valor de compra]]</f>
        <v>0</v>
      </c>
    </row>
    <row r="19" spans="1:11" x14ac:dyDescent="0.25">
      <c r="A19" s="183" t="s">
        <v>261</v>
      </c>
      <c r="B19" s="183">
        <v>17</v>
      </c>
      <c r="C19" s="183" t="s">
        <v>203</v>
      </c>
      <c r="D19" s="184">
        <v>110.7</v>
      </c>
      <c r="E19" s="183">
        <v>76</v>
      </c>
      <c r="F19" s="184">
        <f>Table_0__5[[#This Row],[Quantidade]]*Table_0__5[[#This Row],[Column4]]</f>
        <v>8413.2000000000007</v>
      </c>
      <c r="G19" s="184">
        <v>121.96</v>
      </c>
      <c r="H19" s="184">
        <f>Table_0__5[[#This Row],[Preço Médio]]*Table_0__5[[#This Row],[Quantidade]]</f>
        <v>9268.9599999999991</v>
      </c>
      <c r="I19" s="184"/>
      <c r="J19" s="185">
        <f>Table_0__5[[#This Row],[Div 2024]]/Table_0__5[[#This Row],[Valor Atual]]</f>
        <v>0</v>
      </c>
      <c r="K19" s="185">
        <f>Table_0__5[[#This Row],[Div 2024]]/Table_0__5[[#This Row],[Valor de compra]]</f>
        <v>0</v>
      </c>
    </row>
    <row r="20" spans="1:11" x14ac:dyDescent="0.25">
      <c r="A20" s="183" t="s">
        <v>261</v>
      </c>
      <c r="B20" s="183">
        <v>18</v>
      </c>
      <c r="C20" s="183" t="s">
        <v>204</v>
      </c>
      <c r="D20" s="184">
        <v>98.81</v>
      </c>
      <c r="E20" s="183">
        <v>141</v>
      </c>
      <c r="F20" s="184">
        <f>Table_0__5[[#This Row],[Quantidade]]*Table_0__5[[#This Row],[Column4]]</f>
        <v>13932.210000000001</v>
      </c>
      <c r="G20" s="184">
        <v>98.35</v>
      </c>
      <c r="H20" s="184">
        <f>Table_0__5[[#This Row],[Preço Médio]]*Table_0__5[[#This Row],[Quantidade]]</f>
        <v>13867.349999999999</v>
      </c>
      <c r="I20" s="184"/>
      <c r="J20" s="185">
        <f>Table_0__5[[#This Row],[Div 2024]]/Table_0__5[[#This Row],[Valor Atual]]</f>
        <v>0</v>
      </c>
      <c r="K20" s="185">
        <f>Table_0__5[[#This Row],[Div 2024]]/Table_0__5[[#This Row],[Valor de compra]]</f>
        <v>0</v>
      </c>
    </row>
    <row r="21" spans="1:11" x14ac:dyDescent="0.25">
      <c r="A21" s="183" t="s">
        <v>261</v>
      </c>
      <c r="B21" s="183">
        <v>19</v>
      </c>
      <c r="C21" s="183" t="s">
        <v>205</v>
      </c>
      <c r="D21" s="184">
        <v>6.52</v>
      </c>
      <c r="E21" s="183">
        <v>265</v>
      </c>
      <c r="F21" s="184">
        <f>Table_0__5[[#This Row],[Quantidade]]*Table_0__5[[#This Row],[Column4]]</f>
        <v>1727.8</v>
      </c>
      <c r="G21" s="184">
        <v>75.52</v>
      </c>
      <c r="H21" s="184">
        <f>Table_0__5[[#This Row],[Preço Médio]]*Table_0__5[[#This Row],[Quantidade]]</f>
        <v>20012.8</v>
      </c>
      <c r="I21" s="184"/>
      <c r="J21" s="185">
        <f>Table_0__5[[#This Row],[Div 2024]]/Table_0__5[[#This Row],[Valor Atual]]</f>
        <v>0</v>
      </c>
      <c r="K21" s="185">
        <f>Table_0__5[[#This Row],[Div 2024]]/Table_0__5[[#This Row],[Valor de compra]]</f>
        <v>0</v>
      </c>
    </row>
    <row r="22" spans="1:11" x14ac:dyDescent="0.25">
      <c r="A22" s="183" t="s">
        <v>261</v>
      </c>
      <c r="B22" s="183">
        <v>20</v>
      </c>
      <c r="C22" s="183" t="s">
        <v>206</v>
      </c>
      <c r="D22" s="184">
        <v>63.1</v>
      </c>
      <c r="E22" s="183">
        <v>195</v>
      </c>
      <c r="F22" s="184">
        <f>Table_0__5[[#This Row],[Quantidade]]*Table_0__5[[#This Row],[Column4]]</f>
        <v>12304.5</v>
      </c>
      <c r="G22" s="184">
        <v>71.67</v>
      </c>
      <c r="H22" s="184">
        <f>Table_0__5[[#This Row],[Preço Médio]]*Table_0__5[[#This Row],[Quantidade]]</f>
        <v>13975.65</v>
      </c>
      <c r="I22" s="184"/>
      <c r="J22" s="185">
        <f>Table_0__5[[#This Row],[Div 2024]]/Table_0__5[[#This Row],[Valor Atual]]</f>
        <v>0</v>
      </c>
      <c r="K22" s="185">
        <f>Table_0__5[[#This Row],[Div 2024]]/Table_0__5[[#This Row],[Valor de compra]]</f>
        <v>0</v>
      </c>
    </row>
    <row r="23" spans="1:11" x14ac:dyDescent="0.25">
      <c r="A23" s="183" t="s">
        <v>261</v>
      </c>
      <c r="B23" s="183">
        <v>21</v>
      </c>
      <c r="C23" s="183" t="s">
        <v>207</v>
      </c>
      <c r="D23" s="184">
        <v>80.459999999999994</v>
      </c>
      <c r="E23" s="183">
        <v>151</v>
      </c>
      <c r="F23" s="184">
        <f>Table_0__5[[#This Row],[Quantidade]]*Table_0__5[[#This Row],[Column4]]</f>
        <v>12149.46</v>
      </c>
      <c r="G23" s="184">
        <v>88.41</v>
      </c>
      <c r="H23" s="184">
        <f>Table_0__5[[#This Row],[Preço Médio]]*Table_0__5[[#This Row],[Quantidade]]</f>
        <v>13349.91</v>
      </c>
      <c r="I23" s="184"/>
      <c r="J23" s="185">
        <f>Table_0__5[[#This Row],[Div 2024]]/Table_0__5[[#This Row],[Valor Atual]]</f>
        <v>0</v>
      </c>
      <c r="K23" s="185">
        <f>Table_0__5[[#This Row],[Div 2024]]/Table_0__5[[#This Row],[Valor de compra]]</f>
        <v>0</v>
      </c>
    </row>
    <row r="24" spans="1:11" x14ac:dyDescent="0.25">
      <c r="A24" s="183" t="s">
        <v>261</v>
      </c>
      <c r="B24" s="183">
        <v>22</v>
      </c>
      <c r="C24" s="183" t="s">
        <v>99</v>
      </c>
      <c r="D24" s="184">
        <v>75.989999999999995</v>
      </c>
      <c r="E24" s="183">
        <v>163</v>
      </c>
      <c r="F24" s="184">
        <f>Table_0__5[[#This Row],[Quantidade]]*Table_0__5[[#This Row],[Column4]]</f>
        <v>12386.369999999999</v>
      </c>
      <c r="G24" s="184">
        <v>88.44</v>
      </c>
      <c r="H24" s="184">
        <f>Table_0__5[[#This Row],[Preço Médio]]*Table_0__5[[#This Row],[Quantidade]]</f>
        <v>14415.72</v>
      </c>
      <c r="I24" s="184"/>
      <c r="J24" s="185">
        <f>Table_0__5[[#This Row],[Div 2024]]/Table_0__5[[#This Row],[Valor Atual]]</f>
        <v>0</v>
      </c>
      <c r="K24" s="185">
        <f>Table_0__5[[#This Row],[Div 2024]]/Table_0__5[[#This Row],[Valor de compra]]</f>
        <v>0</v>
      </c>
    </row>
    <row r="25" spans="1:11" x14ac:dyDescent="0.25">
      <c r="A25" s="183" t="s">
        <v>261</v>
      </c>
      <c r="B25" s="183">
        <v>23</v>
      </c>
      <c r="C25" s="183" t="s">
        <v>208</v>
      </c>
      <c r="D25" s="184">
        <v>92.73</v>
      </c>
      <c r="E25" s="183">
        <v>124</v>
      </c>
      <c r="F25" s="184">
        <f>Table_0__5[[#This Row],[Quantidade]]*Table_0__5[[#This Row],[Column4]]</f>
        <v>11498.52</v>
      </c>
      <c r="G25" s="184">
        <v>97.53</v>
      </c>
      <c r="H25" s="184">
        <f>Table_0__5[[#This Row],[Preço Médio]]*Table_0__5[[#This Row],[Quantidade]]</f>
        <v>12093.72</v>
      </c>
      <c r="I25" s="184"/>
      <c r="J25" s="185">
        <f>Table_0__5[[#This Row],[Div 2024]]/Table_0__5[[#This Row],[Valor Atual]]</f>
        <v>0</v>
      </c>
      <c r="K25" s="185">
        <f>Table_0__5[[#This Row],[Div 2024]]/Table_0__5[[#This Row],[Valor de compra]]</f>
        <v>0</v>
      </c>
    </row>
    <row r="26" spans="1:11" x14ac:dyDescent="0.25">
      <c r="A26" s="183" t="s">
        <v>261</v>
      </c>
      <c r="B26" s="183">
        <v>24</v>
      </c>
      <c r="C26" s="183" t="s">
        <v>209</v>
      </c>
      <c r="D26" s="184">
        <v>63.18</v>
      </c>
      <c r="E26" s="183">
        <v>60</v>
      </c>
      <c r="F26" s="184">
        <f>Table_0__5[[#This Row],[Quantidade]]*Table_0__5[[#This Row],[Column4]]</f>
        <v>3790.8</v>
      </c>
      <c r="G26" s="184">
        <v>74.489999999999995</v>
      </c>
      <c r="H26" s="184">
        <f>Table_0__5[[#This Row],[Preço Médio]]*Table_0__5[[#This Row],[Quantidade]]</f>
        <v>4469.3999999999996</v>
      </c>
      <c r="I26" s="184"/>
      <c r="J26" s="185">
        <f>Table_0__5[[#This Row],[Div 2024]]/Table_0__5[[#This Row],[Valor Atual]]</f>
        <v>0</v>
      </c>
      <c r="K26" s="185">
        <f>Table_0__5[[#This Row],[Div 2024]]/Table_0__5[[#This Row],[Valor de compra]]</f>
        <v>0</v>
      </c>
    </row>
    <row r="27" spans="1:11" x14ac:dyDescent="0.25">
      <c r="A27" s="183" t="s">
        <v>261</v>
      </c>
      <c r="B27" s="183">
        <v>25</v>
      </c>
      <c r="C27" s="183" t="s">
        <v>210</v>
      </c>
      <c r="D27" s="184">
        <v>135.68</v>
      </c>
      <c r="E27" s="183">
        <v>26</v>
      </c>
      <c r="F27" s="184">
        <f>Table_0__5[[#This Row],[Quantidade]]*Table_0__5[[#This Row],[Column4]]</f>
        <v>3527.6800000000003</v>
      </c>
      <c r="G27" s="184">
        <v>269.74</v>
      </c>
      <c r="H27" s="184">
        <f>Table_0__5[[#This Row],[Preço Médio]]*Table_0__5[[#This Row],[Quantidade]]</f>
        <v>7013.24</v>
      </c>
      <c r="I27" s="184"/>
      <c r="J27" s="185">
        <f>Table_0__5[[#This Row],[Div 2024]]/Table_0__5[[#This Row],[Valor Atual]]</f>
        <v>0</v>
      </c>
      <c r="K27" s="185">
        <f>Table_0__5[[#This Row],[Div 2024]]/Table_0__5[[#This Row],[Valor de compra]]</f>
        <v>0</v>
      </c>
    </row>
    <row r="28" spans="1:11" x14ac:dyDescent="0.25">
      <c r="A28" s="183" t="s">
        <v>261</v>
      </c>
      <c r="B28" s="183">
        <v>26</v>
      </c>
      <c r="C28" s="183" t="s">
        <v>256</v>
      </c>
      <c r="D28" s="184">
        <v>99.49</v>
      </c>
      <c r="E28" s="183">
        <v>57</v>
      </c>
      <c r="F28" s="184">
        <f>Table_0__5[[#This Row],[Quantidade]]*Table_0__5[[#This Row],[Column4]]</f>
        <v>5670.9299999999994</v>
      </c>
      <c r="G28" s="184">
        <v>111.04</v>
      </c>
      <c r="H28" s="184">
        <f>Table_0__5[[#This Row],[Preço Médio]]*Table_0__5[[#This Row],[Quantidade]]</f>
        <v>6329.2800000000007</v>
      </c>
      <c r="I28" s="184"/>
      <c r="J28" s="185">
        <f>Table_0__5[[#This Row],[Div 2024]]/Table_0__5[[#This Row],[Valor Atual]]</f>
        <v>0</v>
      </c>
      <c r="K28" s="185">
        <f>Table_0__5[[#This Row],[Div 2024]]/Table_0__5[[#This Row],[Valor de compra]]</f>
        <v>0</v>
      </c>
    </row>
    <row r="29" spans="1:11" x14ac:dyDescent="0.25">
      <c r="A29" s="183" t="s">
        <v>261</v>
      </c>
      <c r="B29" s="183">
        <v>27</v>
      </c>
      <c r="C29" s="183" t="s">
        <v>249</v>
      </c>
      <c r="D29" s="184">
        <v>73.86</v>
      </c>
      <c r="E29" s="183">
        <v>122</v>
      </c>
      <c r="F29" s="184">
        <f>Table_0__5[[#This Row],[Quantidade]]*Table_0__5[[#This Row],[Column4]]</f>
        <v>9010.92</v>
      </c>
      <c r="G29" s="184">
        <v>105.08</v>
      </c>
      <c r="H29" s="184">
        <f>Table_0__5[[#This Row],[Preço Médio]]*Table_0__5[[#This Row],[Quantidade]]</f>
        <v>12819.76</v>
      </c>
      <c r="I29" s="184"/>
      <c r="J29" s="185">
        <f>Table_0__5[[#This Row],[Div 2024]]/Table_0__5[[#This Row],[Valor Atual]]</f>
        <v>0</v>
      </c>
      <c r="K29" s="185">
        <f>Table_0__5[[#This Row],[Div 2024]]/Table_0__5[[#This Row],[Valor de compra]]</f>
        <v>0</v>
      </c>
    </row>
    <row r="30" spans="1:11" x14ac:dyDescent="0.25">
      <c r="A30" s="183" t="s">
        <v>261</v>
      </c>
      <c r="B30" s="183">
        <v>28</v>
      </c>
      <c r="C30" s="183" t="s">
        <v>257</v>
      </c>
      <c r="D30" s="184">
        <v>56.79</v>
      </c>
      <c r="E30" s="183"/>
      <c r="F30" s="184">
        <f>Table_0__5[[#This Row],[Quantidade]]*Table_0__5[[#This Row],[Column4]]</f>
        <v>0</v>
      </c>
      <c r="G30" s="184">
        <v>28.67</v>
      </c>
      <c r="H30" s="184">
        <f>Table_0__5[[#This Row],[Preço Médio]]*Table_0__5[[#This Row],[Quantidade]]</f>
        <v>0</v>
      </c>
      <c r="I30" s="184"/>
      <c r="J30" s="185" t="e">
        <f>Table_0__5[[#This Row],[Div 2024]]/Table_0__5[[#This Row],[Valor Atual]]</f>
        <v>#DIV/0!</v>
      </c>
      <c r="K30" s="185" t="e">
        <f>Table_0__5[[#This Row],[Div 2024]]/Table_0__5[[#This Row],[Valor de compra]]</f>
        <v>#DIV/0!</v>
      </c>
    </row>
    <row r="31" spans="1:11" x14ac:dyDescent="0.25">
      <c r="A31" s="183" t="s">
        <v>261</v>
      </c>
      <c r="B31" s="183">
        <v>29</v>
      </c>
      <c r="C31" s="183" t="s">
        <v>243</v>
      </c>
      <c r="D31" s="184">
        <v>34.93</v>
      </c>
      <c r="E31" s="183"/>
      <c r="F31" s="184">
        <f>Table_0__5[[#This Row],[Quantidade]]*Table_0__5[[#This Row],[Column4]]</f>
        <v>0</v>
      </c>
      <c r="G31" s="184">
        <v>28.67</v>
      </c>
      <c r="H31" s="184">
        <f>Table_0__5[[#This Row],[Preço Médio]]*Table_0__5[[#This Row],[Quantidade]]</f>
        <v>0</v>
      </c>
      <c r="I31" s="184"/>
      <c r="J31" s="185" t="e">
        <f>Table_0__5[[#This Row],[Div 2024]]/Table_0__5[[#This Row],[Valor Atual]]</f>
        <v>#DIV/0!</v>
      </c>
      <c r="K31" s="185" t="e">
        <f>Table_0__5[[#This Row],[Div 2024]]/Table_0__5[[#This Row],[Valor de compra]]</f>
        <v>#DIV/0!</v>
      </c>
    </row>
    <row r="32" spans="1:11" x14ac:dyDescent="0.25">
      <c r="A32" s="183" t="s">
        <v>261</v>
      </c>
      <c r="B32" s="183">
        <v>30</v>
      </c>
      <c r="C32" s="183" t="s">
        <v>242</v>
      </c>
      <c r="D32" s="184">
        <v>583.21</v>
      </c>
      <c r="E32" s="183"/>
      <c r="F32" s="184">
        <f>Table_0__5[[#This Row],[Quantidade]]*Table_0__5[[#This Row],[Column4]]</f>
        <v>0</v>
      </c>
      <c r="G32" s="184">
        <v>28.67</v>
      </c>
      <c r="H32" s="184">
        <f>Table_0__5[[#This Row],[Preço Médio]]*Table_0__5[[#This Row],[Quantidade]]</f>
        <v>0</v>
      </c>
      <c r="I32" s="184"/>
      <c r="J32" s="185" t="e">
        <f>Table_0__5[[#This Row],[Div 2024]]/Table_0__5[[#This Row],[Valor Atual]]</f>
        <v>#DIV/0!</v>
      </c>
      <c r="K32" s="185" t="e">
        <f>Table_0__5[[#This Row],[Div 2024]]/Table_0__5[[#This Row],[Valor de compra]]</f>
        <v>#DIV/0!</v>
      </c>
    </row>
    <row r="33" spans="1:11" x14ac:dyDescent="0.25">
      <c r="A33" s="183" t="s">
        <v>261</v>
      </c>
      <c r="B33" s="183">
        <v>31</v>
      </c>
      <c r="C33" s="183" t="s">
        <v>241</v>
      </c>
      <c r="D33" s="184">
        <v>90.41</v>
      </c>
      <c r="E33" s="183"/>
      <c r="F33" s="184">
        <f>Table_0__5[[#This Row],[Quantidade]]*Table_0__5[[#This Row],[Column4]]</f>
        <v>0</v>
      </c>
      <c r="G33" s="184">
        <v>28.67</v>
      </c>
      <c r="H33" s="184">
        <f>Table_0__5[[#This Row],[Preço Médio]]*Table_0__5[[#This Row],[Quantidade]]</f>
        <v>0</v>
      </c>
      <c r="I33" s="184"/>
      <c r="J33" s="185" t="e">
        <f>Table_0__5[[#This Row],[Div 2024]]/Table_0__5[[#This Row],[Valor Atual]]</f>
        <v>#DIV/0!</v>
      </c>
      <c r="K33" s="185" t="e">
        <f>Table_0__5[[#This Row],[Div 2024]]/Table_0__5[[#This Row],[Valor de compra]]</f>
        <v>#DIV/0!</v>
      </c>
    </row>
  </sheetData>
  <mergeCells count="1">
    <mergeCell ref="A1:K1"/>
  </mergeCells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B5F87-2B8C-466D-AAE6-CBE4EA5A3EA8}">
  <dimension ref="A1:X61"/>
  <sheetViews>
    <sheetView topLeftCell="F16" zoomScale="80" zoomScaleNormal="80" workbookViewId="0">
      <selection activeCell="X42" sqref="X42"/>
    </sheetView>
  </sheetViews>
  <sheetFormatPr defaultRowHeight="15" x14ac:dyDescent="0.25"/>
  <cols>
    <col min="1" max="1" width="17.42578125" customWidth="1"/>
    <col min="2" max="2" width="15.42578125" customWidth="1"/>
    <col min="3" max="3" width="14.28515625" customWidth="1"/>
    <col min="4" max="4" width="18.28515625" customWidth="1"/>
    <col min="5" max="5" width="14" customWidth="1"/>
    <col min="6" max="6" width="12.85546875" customWidth="1"/>
    <col min="7" max="7" width="17.140625" customWidth="1"/>
    <col min="8" max="8" width="13.7109375" customWidth="1"/>
    <col min="9" max="9" width="12.7109375" customWidth="1"/>
    <col min="10" max="10" width="11.140625" customWidth="1"/>
    <col min="11" max="11" width="13.5703125" customWidth="1"/>
    <col min="12" max="12" width="14" customWidth="1"/>
    <col min="13" max="13" width="15.7109375" customWidth="1"/>
    <col min="14" max="14" width="12.7109375" customWidth="1"/>
    <col min="15" max="15" width="11.7109375" customWidth="1"/>
    <col min="16" max="16" width="13" customWidth="1"/>
    <col min="17" max="19" width="12.42578125" customWidth="1"/>
    <col min="20" max="20" width="17.140625" customWidth="1"/>
    <col min="21" max="21" width="16.7109375" customWidth="1"/>
    <col min="22" max="22" width="15.42578125" customWidth="1"/>
    <col min="23" max="23" width="12.7109375" bestFit="1" customWidth="1"/>
    <col min="24" max="24" width="15.5703125" bestFit="1" customWidth="1"/>
  </cols>
  <sheetData>
    <row r="1" spans="1:22" x14ac:dyDescent="0.25">
      <c r="A1" s="221" t="s">
        <v>197</v>
      </c>
      <c r="B1" s="223" t="s">
        <v>198</v>
      </c>
      <c r="C1" s="224"/>
      <c r="D1" s="224"/>
      <c r="E1" s="224"/>
      <c r="F1" s="224"/>
      <c r="G1" s="224"/>
      <c r="H1" s="224"/>
      <c r="I1" s="224"/>
      <c r="J1" s="224"/>
      <c r="K1" s="224"/>
      <c r="L1" s="224"/>
      <c r="M1" s="224"/>
      <c r="N1" s="224"/>
      <c r="O1" s="224"/>
      <c r="P1" s="225"/>
      <c r="Q1" s="90"/>
      <c r="R1" s="90"/>
      <c r="S1" s="90"/>
      <c r="T1" s="4"/>
    </row>
    <row r="2" spans="1:22" x14ac:dyDescent="0.25">
      <c r="A2" s="222"/>
      <c r="B2" s="18" t="s">
        <v>199</v>
      </c>
      <c r="C2" s="18" t="s">
        <v>157</v>
      </c>
      <c r="D2" s="18" t="s">
        <v>200</v>
      </c>
      <c r="E2" s="18" t="s">
        <v>201</v>
      </c>
      <c r="F2" s="18" t="s">
        <v>202</v>
      </c>
      <c r="G2" s="18" t="s">
        <v>203</v>
      </c>
      <c r="H2" s="18" t="s">
        <v>204</v>
      </c>
      <c r="I2" s="18" t="s">
        <v>205</v>
      </c>
      <c r="J2" s="18" t="s">
        <v>206</v>
      </c>
      <c r="K2" s="18" t="s">
        <v>207</v>
      </c>
      <c r="L2" s="18" t="s">
        <v>99</v>
      </c>
      <c r="M2" s="18" t="s">
        <v>208</v>
      </c>
      <c r="N2" s="18" t="s">
        <v>209</v>
      </c>
      <c r="O2" s="18" t="s">
        <v>210</v>
      </c>
      <c r="P2" s="18" t="s">
        <v>223</v>
      </c>
      <c r="Q2" s="18" t="s">
        <v>249</v>
      </c>
      <c r="R2" s="18"/>
      <c r="S2" s="18"/>
      <c r="T2" s="4"/>
    </row>
    <row r="3" spans="1:22" x14ac:dyDescent="0.25">
      <c r="A3" s="19" t="s">
        <v>37</v>
      </c>
      <c r="B3" s="18">
        <v>61</v>
      </c>
      <c r="C3" s="18">
        <v>43</v>
      </c>
      <c r="D3" s="18">
        <v>515</v>
      </c>
      <c r="E3" s="18">
        <v>57</v>
      </c>
      <c r="F3" s="18">
        <v>48</v>
      </c>
      <c r="G3" s="18">
        <v>33</v>
      </c>
      <c r="H3" s="18">
        <v>39</v>
      </c>
      <c r="I3" s="18">
        <v>52</v>
      </c>
      <c r="J3" s="18">
        <v>53</v>
      </c>
      <c r="K3" s="92">
        <v>43</v>
      </c>
      <c r="L3" s="18">
        <v>38</v>
      </c>
      <c r="M3" s="18">
        <v>28</v>
      </c>
      <c r="N3" s="18">
        <v>33</v>
      </c>
      <c r="O3" s="18">
        <v>7</v>
      </c>
      <c r="P3" s="18"/>
      <c r="Q3" s="18"/>
      <c r="R3" s="18"/>
      <c r="S3" s="18"/>
      <c r="T3" s="4"/>
    </row>
    <row r="4" spans="1:22" x14ac:dyDescent="0.25">
      <c r="A4" s="4" t="s">
        <v>211</v>
      </c>
      <c r="B4" s="88"/>
      <c r="C4" s="88"/>
      <c r="D4" s="88"/>
      <c r="E4" s="88"/>
      <c r="F4" s="88"/>
      <c r="G4" s="88"/>
      <c r="H4" s="88"/>
      <c r="I4" s="88"/>
      <c r="J4" s="88"/>
      <c r="K4" s="88"/>
      <c r="L4" s="88"/>
      <c r="M4" s="88"/>
      <c r="N4" s="88"/>
      <c r="O4" s="88"/>
      <c r="P4" s="88"/>
      <c r="Q4" s="88"/>
      <c r="R4" s="88"/>
      <c r="S4" s="88"/>
      <c r="T4" s="226" t="s">
        <v>36</v>
      </c>
      <c r="U4" s="45">
        <f>SUM(B4:P4)</f>
        <v>0</v>
      </c>
      <c r="V4" s="128">
        <f t="shared" ref="V4:V15" si="0">SUM(U4:U4)</f>
        <v>0</v>
      </c>
    </row>
    <row r="5" spans="1:22" x14ac:dyDescent="0.25">
      <c r="A5" s="101" t="s">
        <v>212</v>
      </c>
      <c r="B5" s="102"/>
      <c r="C5" s="102"/>
      <c r="D5" s="102">
        <v>53.56</v>
      </c>
      <c r="E5" s="102"/>
      <c r="F5" s="102"/>
      <c r="G5" s="102"/>
      <c r="H5" s="102">
        <v>20.72</v>
      </c>
      <c r="I5" s="102">
        <v>24.57</v>
      </c>
      <c r="J5" s="102"/>
      <c r="K5" s="102"/>
      <c r="L5" s="102"/>
      <c r="M5" s="102">
        <v>32.200000000000003</v>
      </c>
      <c r="N5" s="102">
        <v>13.5</v>
      </c>
      <c r="O5" s="102"/>
      <c r="P5" s="102">
        <v>24.2</v>
      </c>
      <c r="Q5" s="102"/>
      <c r="R5" s="102"/>
      <c r="S5" s="102"/>
      <c r="T5" s="226"/>
      <c r="U5" s="45">
        <f t="shared" ref="U5:U12" si="1">SUM(B5:P5)</f>
        <v>168.75</v>
      </c>
      <c r="V5" s="128">
        <f t="shared" si="0"/>
        <v>168.75</v>
      </c>
    </row>
    <row r="6" spans="1:22" x14ac:dyDescent="0.25">
      <c r="A6" s="98" t="s">
        <v>213</v>
      </c>
      <c r="B6" s="99">
        <v>32.33</v>
      </c>
      <c r="C6" s="99">
        <v>18.7</v>
      </c>
      <c r="D6" s="99">
        <v>49.44</v>
      </c>
      <c r="E6" s="99">
        <v>26.1</v>
      </c>
      <c r="F6" s="99">
        <v>35.520000000000003</v>
      </c>
      <c r="G6" s="99">
        <v>18.72</v>
      </c>
      <c r="H6" s="99">
        <v>20.72</v>
      </c>
      <c r="I6" s="99">
        <v>24.57</v>
      </c>
      <c r="J6" s="99">
        <v>18.86</v>
      </c>
      <c r="K6" s="99">
        <v>23.76</v>
      </c>
      <c r="L6" s="99">
        <v>28.5</v>
      </c>
      <c r="M6" s="99">
        <v>33.6</v>
      </c>
      <c r="N6" s="99">
        <v>13.5</v>
      </c>
      <c r="O6" s="99">
        <v>8</v>
      </c>
      <c r="P6" s="99">
        <v>40.5</v>
      </c>
      <c r="Q6" s="99"/>
      <c r="R6" s="99"/>
      <c r="S6" s="99"/>
      <c r="T6" s="226"/>
      <c r="U6" s="45">
        <f t="shared" si="1"/>
        <v>392.82</v>
      </c>
      <c r="V6" s="128">
        <f t="shared" si="0"/>
        <v>392.82</v>
      </c>
    </row>
    <row r="7" spans="1:22" x14ac:dyDescent="0.25">
      <c r="A7" s="105" t="s">
        <v>214</v>
      </c>
      <c r="B7" s="106">
        <v>39.65</v>
      </c>
      <c r="C7" s="106">
        <v>36.549999999999997</v>
      </c>
      <c r="D7" s="106">
        <v>61.8</v>
      </c>
      <c r="E7" s="106">
        <v>59.85</v>
      </c>
      <c r="F7" s="106">
        <v>35.520000000000003</v>
      </c>
      <c r="G7" s="106">
        <v>25.74</v>
      </c>
      <c r="H7" s="106">
        <v>28.86</v>
      </c>
      <c r="I7" s="106">
        <v>32.76</v>
      </c>
      <c r="J7" s="106">
        <v>24.38</v>
      </c>
      <c r="K7" s="106">
        <v>30.96</v>
      </c>
      <c r="L7" s="106">
        <v>36.1</v>
      </c>
      <c r="M7" s="106">
        <v>35</v>
      </c>
      <c r="N7" s="106">
        <v>24.75</v>
      </c>
      <c r="O7" s="106">
        <v>11.2</v>
      </c>
      <c r="P7" s="106"/>
      <c r="Q7" s="106"/>
      <c r="R7" s="106"/>
      <c r="S7" s="106"/>
      <c r="T7" s="226"/>
      <c r="U7" s="45">
        <f t="shared" si="1"/>
        <v>483.12</v>
      </c>
      <c r="V7" s="128">
        <f t="shared" si="0"/>
        <v>483.12</v>
      </c>
    </row>
    <row r="8" spans="1:22" x14ac:dyDescent="0.25">
      <c r="A8" s="108" t="s">
        <v>215</v>
      </c>
      <c r="B8" s="109">
        <v>40.869999999999997</v>
      </c>
      <c r="C8" s="109">
        <v>36.549999999999997</v>
      </c>
      <c r="D8" s="109">
        <v>92.76</v>
      </c>
      <c r="E8" s="109">
        <v>54.15</v>
      </c>
      <c r="F8" s="109">
        <v>35.520000000000003</v>
      </c>
      <c r="G8" s="109">
        <v>25.74</v>
      </c>
      <c r="H8" s="109">
        <v>45.86</v>
      </c>
      <c r="I8" s="109">
        <v>44.1</v>
      </c>
      <c r="J8" s="109">
        <v>24.38</v>
      </c>
      <c r="K8" s="109">
        <v>31.39</v>
      </c>
      <c r="L8" s="109">
        <v>36.1</v>
      </c>
      <c r="M8" s="109">
        <v>63.75</v>
      </c>
      <c r="N8" s="109">
        <v>35.25</v>
      </c>
      <c r="O8" s="109">
        <v>11.2</v>
      </c>
      <c r="P8" s="109"/>
      <c r="Q8" s="109"/>
      <c r="R8" s="109"/>
      <c r="S8" s="109"/>
      <c r="T8" s="226"/>
      <c r="U8" s="45">
        <f t="shared" si="1"/>
        <v>577.62000000000012</v>
      </c>
      <c r="V8" s="128">
        <f t="shared" si="0"/>
        <v>577.62000000000012</v>
      </c>
    </row>
    <row r="9" spans="1:22" x14ac:dyDescent="0.25">
      <c r="A9" s="111" t="s">
        <v>216</v>
      </c>
      <c r="B9" s="112">
        <v>65.099999999999994</v>
      </c>
      <c r="C9" s="112">
        <v>65.45</v>
      </c>
      <c r="D9" s="112">
        <v>134.04</v>
      </c>
      <c r="E9" s="112">
        <v>100.8</v>
      </c>
      <c r="F9" s="112">
        <v>48.1</v>
      </c>
      <c r="G9" s="112">
        <v>43.68</v>
      </c>
      <c r="H9" s="112">
        <v>54.02</v>
      </c>
      <c r="I9" s="112">
        <v>53.55</v>
      </c>
      <c r="J9" s="112">
        <v>38.18</v>
      </c>
      <c r="K9" s="112">
        <v>48.18</v>
      </c>
      <c r="L9" s="112">
        <v>62.7</v>
      </c>
      <c r="M9" s="112">
        <v>80</v>
      </c>
      <c r="N9" s="112">
        <v>35.25</v>
      </c>
      <c r="O9" s="112">
        <v>19.2</v>
      </c>
      <c r="P9" s="112"/>
      <c r="Q9" s="112"/>
      <c r="R9" s="112"/>
      <c r="S9" s="112"/>
      <c r="T9" s="226"/>
      <c r="U9" s="45">
        <f t="shared" si="1"/>
        <v>848.25</v>
      </c>
      <c r="V9" s="128">
        <f t="shared" si="0"/>
        <v>848.25</v>
      </c>
    </row>
    <row r="10" spans="1:22" x14ac:dyDescent="0.25">
      <c r="A10" s="114" t="s">
        <v>217</v>
      </c>
      <c r="B10" s="115">
        <v>72.099999999999994</v>
      </c>
      <c r="C10" s="115">
        <v>109.2</v>
      </c>
      <c r="D10" s="115">
        <v>145.21</v>
      </c>
      <c r="E10" s="115">
        <v>99.2</v>
      </c>
      <c r="F10" s="115">
        <v>60.68</v>
      </c>
      <c r="G10" s="115">
        <v>78.400000000000006</v>
      </c>
      <c r="H10" s="115">
        <v>63.08</v>
      </c>
      <c r="I10" s="115">
        <v>86.31</v>
      </c>
      <c r="J10" s="115">
        <v>44.62</v>
      </c>
      <c r="K10" s="115">
        <v>63.51</v>
      </c>
      <c r="L10" s="115">
        <v>75.44</v>
      </c>
      <c r="M10" s="115">
        <v>96.25</v>
      </c>
      <c r="N10" s="115">
        <v>35.25</v>
      </c>
      <c r="O10" s="115">
        <v>19.2</v>
      </c>
      <c r="P10" s="115"/>
      <c r="Q10" s="115"/>
      <c r="R10" s="115"/>
      <c r="S10" s="115"/>
      <c r="T10" s="226"/>
      <c r="U10" s="45">
        <f t="shared" si="1"/>
        <v>1048.45</v>
      </c>
      <c r="V10" s="128">
        <f t="shared" si="0"/>
        <v>1048.45</v>
      </c>
    </row>
    <row r="11" spans="1:22" x14ac:dyDescent="0.25">
      <c r="A11" s="117" t="s">
        <v>218</v>
      </c>
      <c r="B11" s="117">
        <v>90.3</v>
      </c>
      <c r="C11" s="118">
        <v>66.3</v>
      </c>
      <c r="D11" s="118">
        <v>139.68</v>
      </c>
      <c r="E11" s="118">
        <v>111.3</v>
      </c>
      <c r="F11" s="118">
        <v>74</v>
      </c>
      <c r="G11" s="118">
        <v>51.48</v>
      </c>
      <c r="H11" s="118">
        <v>67.64</v>
      </c>
      <c r="I11" s="118">
        <v>106.47</v>
      </c>
      <c r="J11" s="118">
        <v>53.36</v>
      </c>
      <c r="K11" s="118">
        <v>71.540000000000006</v>
      </c>
      <c r="L11" s="118">
        <v>70.7</v>
      </c>
      <c r="M11" s="118">
        <v>111.6</v>
      </c>
      <c r="N11" s="118">
        <v>35.25</v>
      </c>
      <c r="O11" s="118">
        <v>19.2</v>
      </c>
      <c r="P11" s="118"/>
      <c r="Q11" s="118"/>
      <c r="R11" s="118"/>
      <c r="S11" s="118"/>
      <c r="T11" s="226"/>
      <c r="U11" s="45">
        <f t="shared" si="1"/>
        <v>1068.82</v>
      </c>
      <c r="V11" s="128">
        <f t="shared" si="0"/>
        <v>1068.82</v>
      </c>
    </row>
    <row r="12" spans="1:22" x14ac:dyDescent="0.25">
      <c r="A12" s="123" t="s">
        <v>219</v>
      </c>
      <c r="B12" s="124">
        <v>97.3</v>
      </c>
      <c r="C12" s="124">
        <v>66.3</v>
      </c>
      <c r="D12" s="124">
        <v>165.75</v>
      </c>
      <c r="E12" s="124">
        <v>135.19999999999999</v>
      </c>
      <c r="F12" s="124">
        <v>77.7</v>
      </c>
      <c r="G12" s="124">
        <v>59.28</v>
      </c>
      <c r="H12" s="124">
        <v>71.59</v>
      </c>
      <c r="I12" s="124">
        <v>96.25</v>
      </c>
      <c r="J12" s="124">
        <v>60.26</v>
      </c>
      <c r="K12" s="124">
        <v>78.84</v>
      </c>
      <c r="L12" s="124">
        <v>80.5</v>
      </c>
      <c r="M12" s="124">
        <v>124.8</v>
      </c>
      <c r="N12" s="124">
        <v>35.25</v>
      </c>
      <c r="O12" s="124">
        <v>19.2</v>
      </c>
      <c r="P12" s="124"/>
      <c r="Q12" s="124"/>
      <c r="R12" s="124"/>
      <c r="S12" s="124"/>
      <c r="T12" s="226"/>
      <c r="U12" s="45">
        <f t="shared" si="1"/>
        <v>1168.22</v>
      </c>
      <c r="V12" s="128">
        <f t="shared" si="0"/>
        <v>1168.22</v>
      </c>
    </row>
    <row r="13" spans="1:22" x14ac:dyDescent="0.25">
      <c r="A13" s="101" t="s">
        <v>220</v>
      </c>
      <c r="B13" s="101">
        <v>97.3</v>
      </c>
      <c r="C13" s="102">
        <v>66.3</v>
      </c>
      <c r="D13" s="102">
        <v>153</v>
      </c>
      <c r="E13" s="102">
        <v>130.5</v>
      </c>
      <c r="F13" s="102">
        <v>81.400000000000006</v>
      </c>
      <c r="G13" s="102">
        <v>59.28</v>
      </c>
      <c r="H13" s="102">
        <v>86.64</v>
      </c>
      <c r="I13" s="102">
        <v>96.25</v>
      </c>
      <c r="J13" s="102">
        <v>60.26</v>
      </c>
      <c r="K13" s="102">
        <v>79.92</v>
      </c>
      <c r="L13" s="102">
        <v>80.5</v>
      </c>
      <c r="M13" s="102">
        <v>124.8</v>
      </c>
      <c r="N13" s="102">
        <v>35.25</v>
      </c>
      <c r="O13" s="102">
        <v>18</v>
      </c>
      <c r="P13" s="102"/>
      <c r="Q13" s="102">
        <v>56.7</v>
      </c>
      <c r="R13" s="102"/>
      <c r="S13" s="102"/>
      <c r="T13" s="226"/>
      <c r="U13" s="45">
        <f>SUM(B13:Q13)</f>
        <v>1226.0999999999999</v>
      </c>
      <c r="V13" s="128">
        <f t="shared" si="0"/>
        <v>1226.0999999999999</v>
      </c>
    </row>
    <row r="14" spans="1:22" x14ac:dyDescent="0.25">
      <c r="A14" s="126" t="s">
        <v>221</v>
      </c>
      <c r="B14" s="120">
        <v>103.36</v>
      </c>
      <c r="C14" s="121">
        <v>66.3</v>
      </c>
      <c r="D14" s="121">
        <v>153</v>
      </c>
      <c r="E14" s="121">
        <v>139.19999999999999</v>
      </c>
      <c r="F14" s="121">
        <v>81.400000000000006</v>
      </c>
      <c r="G14" s="121">
        <v>59.28</v>
      </c>
      <c r="H14" s="121">
        <v>86.64</v>
      </c>
      <c r="I14" s="121">
        <v>113.3</v>
      </c>
      <c r="J14" s="121">
        <v>60.26</v>
      </c>
      <c r="K14" s="121">
        <v>92.5</v>
      </c>
      <c r="L14" s="121">
        <v>88.9</v>
      </c>
      <c r="M14" s="121">
        <v>104</v>
      </c>
      <c r="N14" s="121">
        <v>35.25</v>
      </c>
      <c r="O14" s="121">
        <v>18</v>
      </c>
      <c r="P14" s="121"/>
      <c r="Q14" s="121">
        <v>56.7</v>
      </c>
      <c r="R14" s="121"/>
      <c r="S14" s="121"/>
      <c r="T14" s="226"/>
      <c r="U14" s="45">
        <f>SUM(B14:Q14)</f>
        <v>1258.0899999999999</v>
      </c>
      <c r="V14" s="128">
        <f t="shared" si="0"/>
        <v>1258.0899999999999</v>
      </c>
    </row>
    <row r="15" spans="1:22" x14ac:dyDescent="0.25">
      <c r="A15" s="108" t="s">
        <v>222</v>
      </c>
      <c r="B15" s="109">
        <v>98.8</v>
      </c>
      <c r="C15" s="109">
        <v>66.3</v>
      </c>
      <c r="D15" s="109">
        <v>140.25</v>
      </c>
      <c r="E15" s="109">
        <v>121.8</v>
      </c>
      <c r="F15" s="109">
        <v>81.400000000000006</v>
      </c>
      <c r="G15" s="109">
        <v>59.28</v>
      </c>
      <c r="H15" s="109">
        <v>98.04</v>
      </c>
      <c r="I15" s="109">
        <v>127.6</v>
      </c>
      <c r="J15" s="109">
        <v>60.26</v>
      </c>
      <c r="K15" s="109">
        <v>92.5</v>
      </c>
      <c r="L15" s="109">
        <v>88.9</v>
      </c>
      <c r="M15" s="109">
        <v>124</v>
      </c>
      <c r="N15" s="109">
        <v>39</v>
      </c>
      <c r="O15" s="109">
        <v>18</v>
      </c>
      <c r="P15" s="109"/>
      <c r="Q15" s="109">
        <v>56.7</v>
      </c>
      <c r="R15" s="109"/>
      <c r="S15" s="109"/>
      <c r="T15" s="226"/>
      <c r="U15" s="45">
        <f>SUM(B15:Q15)</f>
        <v>1272.8300000000002</v>
      </c>
      <c r="V15" s="128">
        <f t="shared" si="0"/>
        <v>1272.8300000000002</v>
      </c>
    </row>
    <row r="16" spans="1:22" x14ac:dyDescent="0.25">
      <c r="A16" s="44" t="s">
        <v>81</v>
      </c>
      <c r="B16" s="50">
        <f>SUM(B4:B15)</f>
        <v>737.1099999999999</v>
      </c>
      <c r="C16" s="50">
        <f t="shared" ref="C16:Q16" si="2">SUM(C4:C15)</f>
        <v>597.94999999999993</v>
      </c>
      <c r="D16" s="50">
        <f t="shared" si="2"/>
        <v>1288.49</v>
      </c>
      <c r="E16" s="50">
        <f t="shared" si="2"/>
        <v>978.09999999999991</v>
      </c>
      <c r="F16" s="50">
        <f t="shared" si="2"/>
        <v>611.24</v>
      </c>
      <c r="G16" s="50">
        <f t="shared" si="2"/>
        <v>480.87999999999988</v>
      </c>
      <c r="H16" s="50">
        <f t="shared" si="2"/>
        <v>643.80999999999995</v>
      </c>
      <c r="I16" s="50">
        <f t="shared" si="2"/>
        <v>805.73</v>
      </c>
      <c r="J16" s="50">
        <f t="shared" si="2"/>
        <v>444.81999999999994</v>
      </c>
      <c r="K16" s="50">
        <f t="shared" si="2"/>
        <v>613.09999999999991</v>
      </c>
      <c r="L16" s="50">
        <f t="shared" si="2"/>
        <v>648.33999999999992</v>
      </c>
      <c r="M16" s="50">
        <f t="shared" si="2"/>
        <v>929.99999999999989</v>
      </c>
      <c r="N16" s="50">
        <f t="shared" si="2"/>
        <v>337.5</v>
      </c>
      <c r="O16" s="50">
        <f t="shared" si="2"/>
        <v>161.19999999999999</v>
      </c>
      <c r="P16" s="50">
        <f t="shared" si="2"/>
        <v>64.7</v>
      </c>
      <c r="Q16" s="50">
        <f t="shared" si="2"/>
        <v>170.10000000000002</v>
      </c>
      <c r="R16" s="50"/>
      <c r="S16" s="50"/>
      <c r="T16" s="50">
        <f>SUM(B16:Q16)</f>
        <v>9513.0700000000015</v>
      </c>
      <c r="U16" s="45">
        <f>SUM(B16:Q16)</f>
        <v>9513.0700000000015</v>
      </c>
      <c r="V16" s="127">
        <f>SUM(V4:V15)</f>
        <v>9513.07</v>
      </c>
    </row>
    <row r="17" spans="1:24" x14ac:dyDescent="0.25">
      <c r="A17" s="89" t="s">
        <v>38</v>
      </c>
      <c r="B17" s="130">
        <v>14995.32</v>
      </c>
      <c r="C17" s="130">
        <v>9305.3700000000008</v>
      </c>
      <c r="D17" s="130">
        <v>10608.75</v>
      </c>
      <c r="E17" s="130">
        <v>10821.85</v>
      </c>
      <c r="F17" s="130">
        <v>6773.826</v>
      </c>
      <c r="G17" s="130">
        <v>6492.31</v>
      </c>
      <c r="H17" s="130">
        <v>7961.35</v>
      </c>
      <c r="I17" s="130">
        <v>14987</v>
      </c>
      <c r="J17" s="130">
        <v>6584.4059999999999</v>
      </c>
      <c r="K17" s="130">
        <v>7319.75</v>
      </c>
      <c r="L17" s="129">
        <v>9955</v>
      </c>
      <c r="M17" s="130">
        <v>9831.36</v>
      </c>
      <c r="N17" s="130">
        <v>3390.48</v>
      </c>
      <c r="O17" s="130">
        <v>3009.06</v>
      </c>
      <c r="P17" s="4"/>
      <c r="Q17" s="4"/>
      <c r="R17" s="4"/>
      <c r="S17" s="4"/>
      <c r="T17" s="4"/>
    </row>
    <row r="18" spans="1:24" x14ac:dyDescent="0.25">
      <c r="A18" s="89" t="s">
        <v>175</v>
      </c>
      <c r="B18" s="80">
        <f>B16/B17</f>
        <v>4.9156003339708647E-2</v>
      </c>
      <c r="C18" s="80">
        <f t="shared" ref="C18:K18" si="3">C16/C17</f>
        <v>6.4258594768397154E-2</v>
      </c>
      <c r="D18" s="80">
        <f t="shared" si="3"/>
        <v>0.12145540238011075</v>
      </c>
      <c r="E18" s="80">
        <f t="shared" si="3"/>
        <v>9.0381958722399583E-2</v>
      </c>
      <c r="F18" s="80">
        <f t="shared" si="3"/>
        <v>9.0235562590476937E-2</v>
      </c>
      <c r="G18" s="80">
        <f t="shared" si="3"/>
        <v>7.4069167984892867E-2</v>
      </c>
      <c r="H18" s="80">
        <f t="shared" si="3"/>
        <v>8.086693839612627E-2</v>
      </c>
      <c r="I18" s="80">
        <f t="shared" si="3"/>
        <v>5.3761927003402953E-2</v>
      </c>
      <c r="J18" s="80">
        <f t="shared" si="3"/>
        <v>6.7556587488681583E-2</v>
      </c>
      <c r="K18" s="80">
        <f t="shared" si="3"/>
        <v>8.3759691246285725E-2</v>
      </c>
      <c r="L18" s="80">
        <f t="shared" ref="L18:O18" si="4">L16/L17</f>
        <v>6.5127071823204416E-2</v>
      </c>
      <c r="M18" s="80">
        <f t="shared" si="4"/>
        <v>9.4595254369690449E-2</v>
      </c>
      <c r="N18" s="80">
        <f t="shared" si="4"/>
        <v>9.9543427479294969E-2</v>
      </c>
      <c r="O18" s="80">
        <f t="shared" si="4"/>
        <v>5.3571547260606298E-2</v>
      </c>
      <c r="P18" s="80"/>
      <c r="Q18" s="80"/>
      <c r="R18" s="80"/>
      <c r="S18" s="80"/>
      <c r="T18" s="4"/>
    </row>
    <row r="19" spans="1:24" x14ac:dyDescent="0.25">
      <c r="V19" s="127"/>
    </row>
    <row r="20" spans="1:24" x14ac:dyDescent="0.25">
      <c r="T20" t="s">
        <v>235</v>
      </c>
      <c r="V20" s="135">
        <f>28582.35+V16</f>
        <v>38095.42</v>
      </c>
    </row>
    <row r="21" spans="1:24" x14ac:dyDescent="0.25">
      <c r="A21" s="221" t="s">
        <v>253</v>
      </c>
      <c r="B21" s="223" t="s">
        <v>198</v>
      </c>
      <c r="C21" s="224"/>
      <c r="D21" s="224"/>
      <c r="E21" s="224"/>
      <c r="F21" s="224"/>
      <c r="G21" s="224"/>
      <c r="H21" s="224"/>
      <c r="I21" s="224"/>
      <c r="J21" s="224"/>
      <c r="K21" s="224"/>
      <c r="L21" s="224"/>
      <c r="M21" s="224"/>
      <c r="N21" s="224"/>
      <c r="O21" s="224"/>
      <c r="P21" s="225"/>
      <c r="Q21" s="90"/>
      <c r="R21" s="90"/>
      <c r="S21" s="90"/>
      <c r="T21" s="4"/>
    </row>
    <row r="22" spans="1:24" x14ac:dyDescent="0.25">
      <c r="A22" s="222"/>
      <c r="B22" s="18" t="s">
        <v>199</v>
      </c>
      <c r="C22" s="18" t="s">
        <v>277</v>
      </c>
      <c r="D22" s="18" t="s">
        <v>280</v>
      </c>
      <c r="E22" s="18" t="s">
        <v>279</v>
      </c>
      <c r="F22" s="18" t="s">
        <v>274</v>
      </c>
      <c r="G22" s="18" t="s">
        <v>285</v>
      </c>
      <c r="H22" s="18" t="s">
        <v>276</v>
      </c>
      <c r="I22" s="18" t="s">
        <v>205</v>
      </c>
      <c r="J22" s="18" t="s">
        <v>206</v>
      </c>
      <c r="K22" s="18" t="s">
        <v>278</v>
      </c>
      <c r="L22" s="18" t="s">
        <v>272</v>
      </c>
      <c r="M22" s="18" t="s">
        <v>273</v>
      </c>
      <c r="N22" s="18" t="s">
        <v>275</v>
      </c>
      <c r="O22" s="18" t="s">
        <v>210</v>
      </c>
      <c r="P22" s="18" t="s">
        <v>282</v>
      </c>
      <c r="Q22" s="18" t="s">
        <v>281</v>
      </c>
      <c r="R22" s="18" t="s">
        <v>284</v>
      </c>
      <c r="S22" s="18" t="s">
        <v>291</v>
      </c>
      <c r="T22" s="4"/>
    </row>
    <row r="23" spans="1:24" x14ac:dyDescent="0.25">
      <c r="A23" s="19" t="s">
        <v>37</v>
      </c>
      <c r="B23" s="18">
        <v>225</v>
      </c>
      <c r="C23" s="18">
        <v>175</v>
      </c>
      <c r="D23" s="18">
        <v>2275</v>
      </c>
      <c r="E23" s="18">
        <v>2441</v>
      </c>
      <c r="F23" s="18">
        <v>221</v>
      </c>
      <c r="G23" s="18">
        <v>76</v>
      </c>
      <c r="H23" s="18">
        <v>232</v>
      </c>
      <c r="I23" s="18">
        <v>3000</v>
      </c>
      <c r="J23" s="18">
        <v>195</v>
      </c>
      <c r="K23" s="92">
        <v>217</v>
      </c>
      <c r="L23" s="18">
        <v>185</v>
      </c>
      <c r="M23" s="18">
        <v>181</v>
      </c>
      <c r="N23" s="18">
        <v>60</v>
      </c>
      <c r="O23" s="18">
        <v>22</v>
      </c>
      <c r="P23" s="18">
        <v>182</v>
      </c>
      <c r="Q23" s="18">
        <v>246</v>
      </c>
      <c r="R23" s="18">
        <v>203</v>
      </c>
      <c r="S23" s="18"/>
      <c r="T23" s="4"/>
      <c r="W23" t="s">
        <v>289</v>
      </c>
      <c r="X23" t="s">
        <v>290</v>
      </c>
    </row>
    <row r="24" spans="1:24" x14ac:dyDescent="0.25">
      <c r="A24" s="4" t="s">
        <v>211</v>
      </c>
      <c r="B24" s="88">
        <v>122.88</v>
      </c>
      <c r="C24" s="88">
        <v>179.4</v>
      </c>
      <c r="D24" s="88">
        <v>140.25</v>
      </c>
      <c r="E24" s="88">
        <v>121.8</v>
      </c>
      <c r="F24" s="88">
        <v>100.32</v>
      </c>
      <c r="G24" s="88">
        <v>91.2</v>
      </c>
      <c r="H24" s="88">
        <v>114.21</v>
      </c>
      <c r="I24" s="88">
        <v>145.75</v>
      </c>
      <c r="J24" s="88">
        <v>78.66</v>
      </c>
      <c r="K24" s="88">
        <v>100.64</v>
      </c>
      <c r="L24" s="88">
        <v>107.25</v>
      </c>
      <c r="M24" s="88">
        <v>124</v>
      </c>
      <c r="N24" s="88">
        <v>45</v>
      </c>
      <c r="O24" s="88">
        <v>33</v>
      </c>
      <c r="P24" s="88">
        <v>51</v>
      </c>
      <c r="Q24" s="88">
        <v>72.8</v>
      </c>
      <c r="R24" s="88"/>
      <c r="S24" s="88"/>
      <c r="T24" s="226" t="s">
        <v>36</v>
      </c>
      <c r="U24" s="45">
        <f>SUM(B24:Q24)</f>
        <v>1628.16</v>
      </c>
      <c r="V24" s="128">
        <f t="shared" ref="V24:V35" si="5">SUM(U24:U24)</f>
        <v>1628.16</v>
      </c>
    </row>
    <row r="25" spans="1:24" x14ac:dyDescent="0.25">
      <c r="A25" s="101" t="s">
        <v>212</v>
      </c>
      <c r="B25" s="102">
        <v>156</v>
      </c>
      <c r="C25" s="102">
        <v>91.8</v>
      </c>
      <c r="D25" s="102">
        <v>140.25</v>
      </c>
      <c r="E25" s="102">
        <v>195.28</v>
      </c>
      <c r="F25" s="102">
        <v>113.24</v>
      </c>
      <c r="G25" s="102">
        <v>59.28</v>
      </c>
      <c r="H25" s="102">
        <v>124.8</v>
      </c>
      <c r="I25" s="102">
        <v>165</v>
      </c>
      <c r="J25" s="102">
        <v>102.12</v>
      </c>
      <c r="K25" s="102">
        <v>128.76</v>
      </c>
      <c r="L25" s="102">
        <v>148</v>
      </c>
      <c r="M25" s="102">
        <v>130.19999999999999</v>
      </c>
      <c r="N25" s="102">
        <v>45</v>
      </c>
      <c r="O25" s="102">
        <v>45</v>
      </c>
      <c r="P25" s="102">
        <v>73.8</v>
      </c>
      <c r="Q25" s="102">
        <v>99.4</v>
      </c>
      <c r="R25" s="102"/>
      <c r="S25" s="102"/>
      <c r="T25" s="226"/>
      <c r="U25" s="45">
        <f>SUM(B25:Q25)</f>
        <v>1817.93</v>
      </c>
      <c r="V25" s="128">
        <f t="shared" si="5"/>
        <v>1817.93</v>
      </c>
    </row>
    <row r="26" spans="1:24" x14ac:dyDescent="0.25">
      <c r="A26" s="98" t="s">
        <v>213</v>
      </c>
      <c r="B26" s="99">
        <v>145.6</v>
      </c>
      <c r="C26" s="99">
        <v>91.8</v>
      </c>
      <c r="D26" s="99">
        <v>140.25</v>
      </c>
      <c r="E26" s="99">
        <v>195.28</v>
      </c>
      <c r="F26" s="99">
        <v>119.2</v>
      </c>
      <c r="G26" s="99">
        <v>59.28</v>
      </c>
      <c r="H26" s="99">
        <v>121.6</v>
      </c>
      <c r="I26" s="99">
        <v>165</v>
      </c>
      <c r="J26" s="99">
        <v>102.12</v>
      </c>
      <c r="K26" s="99">
        <v>128.76</v>
      </c>
      <c r="L26" s="99">
        <v>157.25</v>
      </c>
      <c r="M26" s="99">
        <v>157.56</v>
      </c>
      <c r="N26" s="99">
        <v>45</v>
      </c>
      <c r="O26" s="99">
        <v>45</v>
      </c>
      <c r="P26" s="99">
        <v>73.8</v>
      </c>
      <c r="Q26" s="99">
        <v>92.3</v>
      </c>
      <c r="R26" s="99"/>
      <c r="S26" s="99"/>
      <c r="T26" s="226"/>
      <c r="U26" s="45">
        <f>SUM(B26:Q26)</f>
        <v>1839.8</v>
      </c>
      <c r="V26" s="128">
        <f t="shared" si="5"/>
        <v>1839.8</v>
      </c>
    </row>
    <row r="27" spans="1:24" x14ac:dyDescent="0.25">
      <c r="A27" s="105" t="s">
        <v>214</v>
      </c>
      <c r="B27" s="106">
        <v>150.80000000000001</v>
      </c>
      <c r="C27" s="106">
        <v>91.8</v>
      </c>
      <c r="D27" s="106">
        <v>127.5</v>
      </c>
      <c r="E27" s="106">
        <v>219.69</v>
      </c>
      <c r="F27" s="106">
        <v>119.2</v>
      </c>
      <c r="G27" s="106">
        <v>59.28</v>
      </c>
      <c r="H27" s="106">
        <v>121.6</v>
      </c>
      <c r="I27" s="106">
        <v>165</v>
      </c>
      <c r="J27" s="106">
        <v>106.56</v>
      </c>
      <c r="K27" s="106">
        <v>128.76</v>
      </c>
      <c r="L27" s="106">
        <v>166.5</v>
      </c>
      <c r="M27" s="106">
        <v>156</v>
      </c>
      <c r="N27" s="106">
        <v>45</v>
      </c>
      <c r="O27" s="106">
        <v>45</v>
      </c>
      <c r="P27" s="106">
        <v>73.8</v>
      </c>
      <c r="Q27" s="106">
        <v>92.3</v>
      </c>
      <c r="R27" s="106"/>
      <c r="S27" s="106"/>
      <c r="T27" s="226"/>
      <c r="U27" s="45">
        <f>SUM(B27:Q27)</f>
        <v>1868.7899999999997</v>
      </c>
      <c r="V27" s="128">
        <f t="shared" si="5"/>
        <v>1868.7899999999997</v>
      </c>
    </row>
    <row r="28" spans="1:24" x14ac:dyDescent="0.25">
      <c r="A28" s="108" t="s">
        <v>215</v>
      </c>
      <c r="B28" s="193">
        <v>156</v>
      </c>
      <c r="C28" s="193">
        <v>91.8</v>
      </c>
      <c r="D28" s="193">
        <v>250.25</v>
      </c>
      <c r="E28" s="193">
        <v>219.69</v>
      </c>
      <c r="F28" s="193">
        <v>119.2</v>
      </c>
      <c r="G28" s="193">
        <v>59.28</v>
      </c>
      <c r="H28" s="193">
        <v>145.91999999999999</v>
      </c>
      <c r="I28" s="193">
        <v>165</v>
      </c>
      <c r="J28" s="193">
        <v>106.56</v>
      </c>
      <c r="K28" s="193">
        <v>128.76</v>
      </c>
      <c r="L28" s="193">
        <v>166.5</v>
      </c>
      <c r="M28" s="193">
        <v>148.19999999999999</v>
      </c>
      <c r="N28" s="109"/>
      <c r="O28" s="193">
        <v>45</v>
      </c>
      <c r="P28" s="193">
        <v>73.8</v>
      </c>
      <c r="Q28" s="193">
        <v>92.3</v>
      </c>
      <c r="R28" s="193">
        <v>136.16</v>
      </c>
      <c r="S28" s="193"/>
      <c r="T28" s="226"/>
      <c r="U28" s="45">
        <f t="shared" ref="U28:U33" si="6">SUM(B28:R28)</f>
        <v>2104.42</v>
      </c>
      <c r="V28" s="128">
        <f t="shared" si="5"/>
        <v>2104.42</v>
      </c>
    </row>
    <row r="29" spans="1:24" x14ac:dyDescent="0.25">
      <c r="A29" s="111" t="s">
        <v>216</v>
      </c>
      <c r="B29" s="112"/>
      <c r="C29" s="112">
        <v>148.75</v>
      </c>
      <c r="D29" s="112">
        <v>250.25</v>
      </c>
      <c r="E29" s="112">
        <v>195.28</v>
      </c>
      <c r="F29" s="112">
        <v>176.8</v>
      </c>
      <c r="G29" s="112"/>
      <c r="H29" s="112">
        <v>176.32</v>
      </c>
      <c r="I29" s="112">
        <v>165</v>
      </c>
      <c r="J29" s="112"/>
      <c r="K29" s="112">
        <v>160.58000000000001</v>
      </c>
      <c r="L29" s="112">
        <v>166.5</v>
      </c>
      <c r="M29" s="112">
        <v>171.95</v>
      </c>
      <c r="N29" s="112"/>
      <c r="O29" s="112"/>
      <c r="P29" s="112">
        <v>163.80000000000001</v>
      </c>
      <c r="Q29" s="112">
        <v>159.9</v>
      </c>
      <c r="R29" s="112">
        <v>186.76</v>
      </c>
      <c r="S29" s="112"/>
      <c r="T29" s="226"/>
      <c r="U29" s="45">
        <f t="shared" si="6"/>
        <v>2121.89</v>
      </c>
      <c r="V29" s="128">
        <f t="shared" si="5"/>
        <v>2121.89</v>
      </c>
      <c r="W29" s="48">
        <f>V29/X29</f>
        <v>7.5537653413998351E-3</v>
      </c>
      <c r="X29" s="8">
        <f>T37</f>
        <v>280904.93999999994</v>
      </c>
    </row>
    <row r="30" spans="1:24" x14ac:dyDescent="0.25">
      <c r="A30" s="114" t="s">
        <v>217</v>
      </c>
      <c r="B30" s="115"/>
      <c r="C30" s="115">
        <v>218.75</v>
      </c>
      <c r="D30" s="115">
        <v>227.5</v>
      </c>
      <c r="E30" s="115">
        <v>219.69</v>
      </c>
      <c r="F30" s="115">
        <v>176.8</v>
      </c>
      <c r="G30" s="115"/>
      <c r="H30" s="115">
        <v>217.36</v>
      </c>
      <c r="I30" s="115">
        <v>220.35</v>
      </c>
      <c r="J30" s="115"/>
      <c r="K30" s="115">
        <v>160.58000000000001</v>
      </c>
      <c r="L30" s="115">
        <v>166.5</v>
      </c>
      <c r="M30" s="115">
        <v>206</v>
      </c>
      <c r="N30" s="115"/>
      <c r="O30" s="115"/>
      <c r="P30" s="115">
        <v>191.1</v>
      </c>
      <c r="Q30" s="115">
        <v>159.9</v>
      </c>
      <c r="R30" s="197">
        <v>230.92</v>
      </c>
      <c r="S30" s="197"/>
      <c r="T30" s="226"/>
      <c r="U30" s="45">
        <f t="shared" si="6"/>
        <v>2395.4499999999998</v>
      </c>
      <c r="V30" s="128">
        <f t="shared" si="5"/>
        <v>2395.4499999999998</v>
      </c>
      <c r="W30" s="48"/>
      <c r="X30" s="8"/>
    </row>
    <row r="31" spans="1:24" x14ac:dyDescent="0.25">
      <c r="A31" s="117" t="s">
        <v>218</v>
      </c>
      <c r="B31" s="117"/>
      <c r="C31" s="118">
        <v>148.75</v>
      </c>
      <c r="D31" s="118">
        <v>227.5</v>
      </c>
      <c r="E31" s="118">
        <v>219.69</v>
      </c>
      <c r="F31" s="118">
        <v>176.8</v>
      </c>
      <c r="G31" s="118"/>
      <c r="H31" s="118">
        <v>278.92</v>
      </c>
      <c r="I31" s="118">
        <v>177.7</v>
      </c>
      <c r="J31" s="118"/>
      <c r="K31" s="118">
        <v>160.58000000000001</v>
      </c>
      <c r="L31" s="118">
        <v>166.5</v>
      </c>
      <c r="M31" s="118">
        <v>206</v>
      </c>
      <c r="N31" s="118"/>
      <c r="O31" s="118"/>
      <c r="P31" s="118">
        <v>169.26</v>
      </c>
      <c r="Q31" s="118">
        <v>159.9</v>
      </c>
      <c r="R31" s="118">
        <v>304.52</v>
      </c>
      <c r="S31" s="118"/>
      <c r="T31" s="226"/>
      <c r="U31" s="45">
        <f t="shared" si="6"/>
        <v>2396.12</v>
      </c>
      <c r="V31" s="128">
        <f t="shared" si="5"/>
        <v>2396.12</v>
      </c>
      <c r="W31" s="48"/>
      <c r="X31" s="8"/>
    </row>
    <row r="32" spans="1:24" x14ac:dyDescent="0.25">
      <c r="A32" s="123" t="s">
        <v>219</v>
      </c>
      <c r="B32" s="124"/>
      <c r="C32" s="124">
        <v>190.15</v>
      </c>
      <c r="D32" s="124">
        <v>227.5</v>
      </c>
      <c r="E32" s="124">
        <v>219.69</v>
      </c>
      <c r="F32" s="124">
        <v>176.8</v>
      </c>
      <c r="G32" s="124"/>
      <c r="H32" s="124">
        <v>286.26</v>
      </c>
      <c r="I32" s="124">
        <v>177.7</v>
      </c>
      <c r="J32" s="124"/>
      <c r="K32" s="124">
        <v>160.58000000000001</v>
      </c>
      <c r="L32" s="124">
        <v>148</v>
      </c>
      <c r="M32" s="124">
        <v>195.7</v>
      </c>
      <c r="N32" s="124"/>
      <c r="O32" s="124"/>
      <c r="P32" s="124">
        <v>169.26</v>
      </c>
      <c r="Q32" s="124">
        <v>159.9</v>
      </c>
      <c r="R32" s="124">
        <v>304.52</v>
      </c>
      <c r="S32" s="124"/>
      <c r="T32" s="226"/>
      <c r="U32" s="45">
        <f t="shared" si="6"/>
        <v>2416.06</v>
      </c>
      <c r="V32" s="128">
        <f t="shared" si="5"/>
        <v>2416.06</v>
      </c>
      <c r="W32" s="48"/>
      <c r="X32" s="8"/>
    </row>
    <row r="33" spans="1:24" x14ac:dyDescent="0.25">
      <c r="A33" s="101" t="s">
        <v>220</v>
      </c>
      <c r="B33" s="101"/>
      <c r="C33" s="102">
        <v>218.67</v>
      </c>
      <c r="D33" s="102">
        <v>227.5</v>
      </c>
      <c r="E33" s="102">
        <v>219.69</v>
      </c>
      <c r="F33" s="102">
        <v>176.8</v>
      </c>
      <c r="G33" s="102"/>
      <c r="H33" s="102">
        <v>286.26</v>
      </c>
      <c r="I33" s="102">
        <v>177.7</v>
      </c>
      <c r="J33" s="102"/>
      <c r="K33" s="102">
        <v>160.58000000000001</v>
      </c>
      <c r="L33" s="102">
        <v>148</v>
      </c>
      <c r="M33" s="102">
        <v>185.4</v>
      </c>
      <c r="N33" s="102"/>
      <c r="O33" s="102"/>
      <c r="P33" s="102">
        <v>169.26</v>
      </c>
      <c r="Q33" s="102"/>
      <c r="R33" s="102">
        <v>327.52</v>
      </c>
      <c r="S33" s="102"/>
      <c r="T33" s="226"/>
      <c r="U33" s="45">
        <f t="shared" si="6"/>
        <v>2297.38</v>
      </c>
      <c r="V33" s="128">
        <f t="shared" si="5"/>
        <v>2297.38</v>
      </c>
      <c r="W33" s="48"/>
      <c r="X33" s="8"/>
    </row>
    <row r="34" spans="1:24" x14ac:dyDescent="0.25">
      <c r="A34" s="126" t="s">
        <v>221</v>
      </c>
      <c r="B34" s="120"/>
      <c r="C34" s="121">
        <v>234.78</v>
      </c>
      <c r="D34" s="121">
        <v>250.25</v>
      </c>
      <c r="E34" s="121">
        <v>195.28</v>
      </c>
      <c r="F34" s="121">
        <v>176.8</v>
      </c>
      <c r="G34" s="121"/>
      <c r="H34" s="121">
        <v>286.26</v>
      </c>
      <c r="I34" s="121">
        <v>290.79000000000002</v>
      </c>
      <c r="J34" s="121"/>
      <c r="K34" s="121">
        <v>160.58000000000001</v>
      </c>
      <c r="L34" s="121">
        <v>148</v>
      </c>
      <c r="M34" s="121">
        <v>185.4</v>
      </c>
      <c r="N34" s="121"/>
      <c r="O34" s="121"/>
      <c r="P34" s="121">
        <v>169.26</v>
      </c>
      <c r="Q34" s="121"/>
      <c r="R34" s="121">
        <v>327.52</v>
      </c>
      <c r="S34" s="121">
        <v>489.12</v>
      </c>
      <c r="T34" s="226"/>
      <c r="U34" s="45">
        <f>SUM(C34:S34)</f>
        <v>2914.0399999999995</v>
      </c>
      <c r="V34" s="128">
        <f t="shared" si="5"/>
        <v>2914.0399999999995</v>
      </c>
      <c r="W34" s="48"/>
      <c r="X34" s="8"/>
    </row>
    <row r="35" spans="1:24" x14ac:dyDescent="0.25">
      <c r="A35" s="108" t="s">
        <v>222</v>
      </c>
      <c r="B35" s="109"/>
      <c r="C35" s="109">
        <v>240.3</v>
      </c>
      <c r="D35" s="109">
        <v>250.25</v>
      </c>
      <c r="E35" s="109">
        <v>195.28</v>
      </c>
      <c r="F35" s="109">
        <v>176.8</v>
      </c>
      <c r="G35" s="109"/>
      <c r="H35" s="109">
        <v>286.26</v>
      </c>
      <c r="I35" s="109">
        <v>323.10000000000002</v>
      </c>
      <c r="J35" s="109"/>
      <c r="K35" s="109">
        <v>160.58000000000001</v>
      </c>
      <c r="L35" s="109">
        <v>148</v>
      </c>
      <c r="M35" s="109">
        <v>195.7</v>
      </c>
      <c r="N35" s="109"/>
      <c r="O35" s="109"/>
      <c r="P35" s="109">
        <v>169.26</v>
      </c>
      <c r="Q35" s="109"/>
      <c r="R35" s="109">
        <v>327.52</v>
      </c>
      <c r="S35" s="109">
        <v>357</v>
      </c>
      <c r="T35" s="226"/>
      <c r="U35" s="45">
        <f>SUM(C35:S35)</f>
        <v>2830.05</v>
      </c>
      <c r="V35" s="128">
        <f t="shared" si="5"/>
        <v>2830.05</v>
      </c>
      <c r="W35" s="45"/>
      <c r="X35" s="8"/>
    </row>
    <row r="36" spans="1:24" x14ac:dyDescent="0.25">
      <c r="A36" s="44" t="s">
        <v>81</v>
      </c>
      <c r="B36" s="50">
        <f>SUM(B24:B35)</f>
        <v>731.28</v>
      </c>
      <c r="C36" s="50">
        <f t="shared" ref="C36:S36" si="7">SUM(C24:C35)</f>
        <v>1946.75</v>
      </c>
      <c r="D36" s="50">
        <f>SUM(D24:D35)</f>
        <v>2459.25</v>
      </c>
      <c r="E36" s="50">
        <f>SUM(E24:E35)</f>
        <v>2416.3400000000006</v>
      </c>
      <c r="F36" s="50">
        <f>SUM(F23:F35)</f>
        <v>2029.7599999999998</v>
      </c>
      <c r="G36" s="50">
        <f>SUM(G24:G35)</f>
        <v>328.32000000000005</v>
      </c>
      <c r="H36" s="50">
        <f>SUM(H24:H35)</f>
        <v>2445.7700000000004</v>
      </c>
      <c r="I36" s="50">
        <f>SUM(I24:I35)</f>
        <v>2338.09</v>
      </c>
      <c r="J36" s="50">
        <f t="shared" si="7"/>
        <v>496.02</v>
      </c>
      <c r="K36" s="50">
        <f t="shared" si="7"/>
        <v>1739.7399999999998</v>
      </c>
      <c r="L36" s="50">
        <f t="shared" si="7"/>
        <v>1837</v>
      </c>
      <c r="M36" s="50">
        <f t="shared" si="7"/>
        <v>2062.11</v>
      </c>
      <c r="N36" s="50">
        <f t="shared" si="7"/>
        <v>180</v>
      </c>
      <c r="O36" s="50">
        <f>SUM(O24:O35)</f>
        <v>213</v>
      </c>
      <c r="P36" s="50">
        <f>SUM(P24:P35)</f>
        <v>1547.3999999999999</v>
      </c>
      <c r="Q36" s="50">
        <f>SUM(Q24:Q35)</f>
        <v>1088.7</v>
      </c>
      <c r="R36" s="50">
        <f>SUM(R24:R35)</f>
        <v>2145.4399999999996</v>
      </c>
      <c r="S36" s="50">
        <f t="shared" si="7"/>
        <v>846.12</v>
      </c>
      <c r="T36" s="50">
        <f>SUM(B36:S36)</f>
        <v>26851.09</v>
      </c>
      <c r="U36" s="45">
        <f>SUM(B36:S36)</f>
        <v>26851.09</v>
      </c>
      <c r="V36" s="45"/>
    </row>
    <row r="37" spans="1:24" x14ac:dyDescent="0.25">
      <c r="A37" s="89" t="s">
        <v>38</v>
      </c>
      <c r="B37" s="130">
        <v>0</v>
      </c>
      <c r="C37" s="130">
        <v>33831.870000000003</v>
      </c>
      <c r="D37" s="130">
        <v>21862.75</v>
      </c>
      <c r="E37" s="130">
        <v>22237.51</v>
      </c>
      <c r="F37" s="130">
        <v>20013.759999999998</v>
      </c>
      <c r="G37" s="130">
        <v>0</v>
      </c>
      <c r="H37" s="130">
        <v>28485.599999999999</v>
      </c>
      <c r="I37" s="130">
        <v>24555.599999999999</v>
      </c>
      <c r="J37" s="130">
        <v>0</v>
      </c>
      <c r="K37" s="130">
        <v>19464.900000000001</v>
      </c>
      <c r="L37" s="186">
        <v>16350.3</v>
      </c>
      <c r="M37" s="130">
        <v>20144.740000000002</v>
      </c>
      <c r="N37" s="130">
        <v>0</v>
      </c>
      <c r="O37" s="130">
        <v>0</v>
      </c>
      <c r="P37" s="130">
        <v>20076.419999999998</v>
      </c>
      <c r="Q37" s="130">
        <v>24978.84</v>
      </c>
      <c r="R37" s="130">
        <v>28902.65</v>
      </c>
      <c r="S37" s="130"/>
      <c r="T37" s="130">
        <f>SUM(B37:R37)</f>
        <v>280904.93999999994</v>
      </c>
    </row>
    <row r="38" spans="1:24" x14ac:dyDescent="0.25">
      <c r="A38" s="89" t="s">
        <v>175</v>
      </c>
      <c r="B38" s="80" t="e">
        <f>B36/B37</f>
        <v>#DIV/0!</v>
      </c>
      <c r="C38" s="80">
        <f t="shared" ref="C38:R38" si="8">C36/C37</f>
        <v>5.7541897624931754E-2</v>
      </c>
      <c r="D38" s="80">
        <f t="shared" si="8"/>
        <v>0.11248584921841946</v>
      </c>
      <c r="E38" s="80">
        <f t="shared" si="8"/>
        <v>0.10866054697670741</v>
      </c>
      <c r="F38" s="80">
        <f t="shared" si="8"/>
        <v>0.10141822426170793</v>
      </c>
      <c r="G38" s="80" t="e">
        <f t="shared" si="8"/>
        <v>#DIV/0!</v>
      </c>
      <c r="H38" s="80">
        <f t="shared" si="8"/>
        <v>8.5859873058668254E-2</v>
      </c>
      <c r="I38" s="80">
        <f>I36/I37</f>
        <v>9.521616250468326E-2</v>
      </c>
      <c r="J38" s="80" t="e">
        <f t="shared" si="8"/>
        <v>#DIV/0!</v>
      </c>
      <c r="K38" s="80">
        <f t="shared" si="8"/>
        <v>8.9378316867797916E-2</v>
      </c>
      <c r="L38" s="80">
        <f t="shared" si="8"/>
        <v>0.11235267854412458</v>
      </c>
      <c r="M38" s="80">
        <f t="shared" si="8"/>
        <v>0.10236468676190409</v>
      </c>
      <c r="N38" s="80" t="e">
        <f t="shared" si="8"/>
        <v>#DIV/0!</v>
      </c>
      <c r="O38" s="80" t="e">
        <f t="shared" si="8"/>
        <v>#DIV/0!</v>
      </c>
      <c r="P38" s="80">
        <f>P36/P37</f>
        <v>7.7075494535380318E-2</v>
      </c>
      <c r="Q38" s="80">
        <f t="shared" si="8"/>
        <v>4.3584890251108538E-2</v>
      </c>
      <c r="R38" s="80">
        <f t="shared" si="8"/>
        <v>7.4229871655367222E-2</v>
      </c>
      <c r="S38" s="80"/>
      <c r="T38" s="80">
        <f>T36/T37</f>
        <v>9.5587817003147058E-2</v>
      </c>
    </row>
    <row r="39" spans="1:24" x14ac:dyDescent="0.25">
      <c r="U39" t="s">
        <v>271</v>
      </c>
      <c r="V39" s="45">
        <v>26851.09</v>
      </c>
      <c r="W39" s="45">
        <v>13023.7</v>
      </c>
      <c r="X39" s="45">
        <f>V39+W39</f>
        <v>39874.79</v>
      </c>
    </row>
    <row r="40" spans="1:24" x14ac:dyDescent="0.25">
      <c r="B40" s="48" t="e">
        <f>B27/B37</f>
        <v>#DIV/0!</v>
      </c>
      <c r="F40" s="48">
        <f>F27/F37</f>
        <v>5.9559023391906373E-3</v>
      </c>
      <c r="I40" s="48">
        <f>I27/I37</f>
        <v>6.7194448516835264E-3</v>
      </c>
      <c r="J40" s="192"/>
      <c r="O40" s="48"/>
      <c r="T40" s="48">
        <f>U26/T37</f>
        <v>6.5495466188668673E-3</v>
      </c>
      <c r="U40" t="s">
        <v>236</v>
      </c>
      <c r="X40">
        <v>26552.240000000002</v>
      </c>
    </row>
    <row r="41" spans="1:24" x14ac:dyDescent="0.25">
      <c r="B41" t="e">
        <f>B40*12</f>
        <v>#DIV/0!</v>
      </c>
      <c r="F41" s="48">
        <f>F40*12</f>
        <v>7.1470828070287651E-2</v>
      </c>
      <c r="I41">
        <f>I40*12</f>
        <v>8.0633338220202314E-2</v>
      </c>
      <c r="T41">
        <f>T40*12</f>
        <v>7.8594559426402408E-2</v>
      </c>
    </row>
    <row r="42" spans="1:24" x14ac:dyDescent="0.25">
      <c r="X42" s="45">
        <f>SUM(X39:X41)</f>
        <v>66427.03</v>
      </c>
    </row>
    <row r="43" spans="1:24" x14ac:dyDescent="0.25">
      <c r="A43" t="s">
        <v>286</v>
      </c>
      <c r="B43" s="45">
        <f>U36+'Carteira Recebíveis'!I16+'Div Ações Brasil'!O152</f>
        <v>66427.031000000003</v>
      </c>
    </row>
    <row r="44" spans="1:24" x14ac:dyDescent="0.25">
      <c r="A44" s="221" t="s">
        <v>292</v>
      </c>
      <c r="B44" s="223" t="s">
        <v>198</v>
      </c>
      <c r="C44" s="224"/>
      <c r="D44" s="224"/>
      <c r="E44" s="224"/>
      <c r="F44" s="224"/>
      <c r="G44" s="224"/>
      <c r="H44" s="224"/>
      <c r="I44" s="224"/>
      <c r="J44" s="224"/>
      <c r="K44" s="224"/>
      <c r="L44" s="224"/>
      <c r="M44" s="224"/>
      <c r="N44" s="224"/>
      <c r="O44" s="224"/>
      <c r="P44" s="225"/>
      <c r="Q44" s="90"/>
      <c r="R44" s="90"/>
      <c r="S44" s="90"/>
      <c r="T44" s="4"/>
    </row>
    <row r="45" spans="1:24" x14ac:dyDescent="0.25">
      <c r="A45" s="222"/>
      <c r="B45" s="18" t="s">
        <v>199</v>
      </c>
      <c r="C45" s="18" t="s">
        <v>277</v>
      </c>
      <c r="D45" s="18" t="s">
        <v>280</v>
      </c>
      <c r="E45" s="18" t="s">
        <v>279</v>
      </c>
      <c r="F45" s="18" t="s">
        <v>274</v>
      </c>
      <c r="G45" s="18" t="s">
        <v>285</v>
      </c>
      <c r="H45" s="18" t="s">
        <v>276</v>
      </c>
      <c r="I45" s="18" t="s">
        <v>205</v>
      </c>
      <c r="J45" s="18" t="s">
        <v>206</v>
      </c>
      <c r="K45" s="18" t="s">
        <v>278</v>
      </c>
      <c r="L45" s="18" t="s">
        <v>272</v>
      </c>
      <c r="M45" s="18" t="s">
        <v>273</v>
      </c>
      <c r="N45" s="18" t="s">
        <v>275</v>
      </c>
      <c r="O45" s="18" t="s">
        <v>210</v>
      </c>
      <c r="P45" s="18" t="s">
        <v>282</v>
      </c>
      <c r="Q45" s="18" t="s">
        <v>281</v>
      </c>
      <c r="R45" s="18" t="s">
        <v>284</v>
      </c>
      <c r="S45" s="18" t="s">
        <v>291</v>
      </c>
      <c r="T45" s="4"/>
    </row>
    <row r="46" spans="1:24" x14ac:dyDescent="0.25">
      <c r="A46" s="19" t="s">
        <v>37</v>
      </c>
      <c r="B46" s="18">
        <v>225</v>
      </c>
      <c r="C46" s="18">
        <v>175</v>
      </c>
      <c r="D46" s="18">
        <v>2275</v>
      </c>
      <c r="E46" s="18">
        <v>2441</v>
      </c>
      <c r="F46" s="18">
        <v>221</v>
      </c>
      <c r="G46" s="18">
        <v>76</v>
      </c>
      <c r="H46" s="18">
        <v>232</v>
      </c>
      <c r="I46" s="18">
        <v>3000</v>
      </c>
      <c r="J46" s="18">
        <v>195</v>
      </c>
      <c r="K46" s="92">
        <v>217</v>
      </c>
      <c r="L46" s="18">
        <v>185</v>
      </c>
      <c r="M46" s="18">
        <v>181</v>
      </c>
      <c r="N46" s="18">
        <v>60</v>
      </c>
      <c r="O46" s="18">
        <v>22</v>
      </c>
      <c r="P46" s="18">
        <v>182</v>
      </c>
      <c r="Q46" s="18">
        <v>246</v>
      </c>
      <c r="R46" s="18">
        <v>203</v>
      </c>
      <c r="S46" s="18"/>
      <c r="T46" s="4"/>
    </row>
    <row r="47" spans="1:24" x14ac:dyDescent="0.25">
      <c r="A47" s="4" t="s">
        <v>211</v>
      </c>
      <c r="B47" s="88"/>
      <c r="C47" s="88"/>
      <c r="D47" s="88"/>
      <c r="E47" s="88"/>
      <c r="F47" s="88"/>
      <c r="G47" s="88"/>
      <c r="H47" s="88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88"/>
      <c r="T47" s="226" t="s">
        <v>36</v>
      </c>
      <c r="U47" s="45">
        <f>SUM(B47:Q47)</f>
        <v>0</v>
      </c>
      <c r="V47" s="128">
        <f t="shared" ref="V47:V58" si="9">SUM(U47:U47)</f>
        <v>0</v>
      </c>
    </row>
    <row r="48" spans="1:24" x14ac:dyDescent="0.25">
      <c r="A48" s="101" t="s">
        <v>212</v>
      </c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  <c r="S48" s="102"/>
      <c r="T48" s="226"/>
      <c r="U48" s="45">
        <f>SUM(B48:Q48)</f>
        <v>0</v>
      </c>
      <c r="V48" s="128">
        <f t="shared" si="9"/>
        <v>0</v>
      </c>
    </row>
    <row r="49" spans="1:22" x14ac:dyDescent="0.25">
      <c r="A49" s="98" t="s">
        <v>213</v>
      </c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  <c r="M49" s="99"/>
      <c r="N49" s="99"/>
      <c r="O49" s="99"/>
      <c r="P49" s="99"/>
      <c r="Q49" s="99"/>
      <c r="R49" s="99"/>
      <c r="S49" s="99"/>
      <c r="T49" s="226"/>
      <c r="U49" s="45">
        <f>SUM(B49:Q49)</f>
        <v>0</v>
      </c>
      <c r="V49" s="128">
        <f t="shared" si="9"/>
        <v>0</v>
      </c>
    </row>
    <row r="50" spans="1:22" x14ac:dyDescent="0.25">
      <c r="A50" s="105" t="s">
        <v>214</v>
      </c>
      <c r="B50" s="106"/>
      <c r="C50" s="106"/>
      <c r="D50" s="106"/>
      <c r="E50" s="106"/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106"/>
      <c r="Q50" s="106"/>
      <c r="R50" s="106"/>
      <c r="S50" s="106"/>
      <c r="T50" s="226"/>
      <c r="U50" s="45">
        <f>SUM(B50:Q50)</f>
        <v>0</v>
      </c>
      <c r="V50" s="128">
        <f t="shared" si="9"/>
        <v>0</v>
      </c>
    </row>
    <row r="51" spans="1:22" x14ac:dyDescent="0.25">
      <c r="A51" s="108" t="s">
        <v>215</v>
      </c>
      <c r="B51" s="193"/>
      <c r="C51" s="193"/>
      <c r="D51" s="193"/>
      <c r="E51" s="193"/>
      <c r="F51" s="193"/>
      <c r="G51" s="193"/>
      <c r="H51" s="193"/>
      <c r="I51" s="193"/>
      <c r="J51" s="193"/>
      <c r="K51" s="193"/>
      <c r="L51" s="193"/>
      <c r="M51" s="193"/>
      <c r="N51" s="109"/>
      <c r="O51" s="193"/>
      <c r="P51" s="193"/>
      <c r="Q51" s="193"/>
      <c r="R51" s="193"/>
      <c r="S51" s="193"/>
      <c r="T51" s="226"/>
      <c r="U51" s="45">
        <f t="shared" ref="U51:U56" si="10">SUM(B51:R51)</f>
        <v>0</v>
      </c>
      <c r="V51" s="128">
        <f t="shared" si="9"/>
        <v>0</v>
      </c>
    </row>
    <row r="52" spans="1:22" x14ac:dyDescent="0.25">
      <c r="A52" s="111" t="s">
        <v>216</v>
      </c>
      <c r="B52" s="112"/>
      <c r="C52" s="112"/>
      <c r="D52" s="112"/>
      <c r="E52" s="112"/>
      <c r="F52" s="112"/>
      <c r="G52" s="112"/>
      <c r="H52" s="112"/>
      <c r="I52" s="112"/>
      <c r="J52" s="112"/>
      <c r="K52" s="112"/>
      <c r="L52" s="112"/>
      <c r="M52" s="112"/>
      <c r="N52" s="112"/>
      <c r="O52" s="112"/>
      <c r="P52" s="112"/>
      <c r="Q52" s="112"/>
      <c r="R52" s="112"/>
      <c r="S52" s="112"/>
      <c r="T52" s="226"/>
      <c r="U52" s="45">
        <f t="shared" si="10"/>
        <v>0</v>
      </c>
      <c r="V52" s="128">
        <f t="shared" si="9"/>
        <v>0</v>
      </c>
    </row>
    <row r="53" spans="1:22" x14ac:dyDescent="0.25">
      <c r="A53" s="114" t="s">
        <v>217</v>
      </c>
      <c r="B53" s="115"/>
      <c r="C53" s="115"/>
      <c r="D53" s="115"/>
      <c r="E53" s="115"/>
      <c r="F53" s="115"/>
      <c r="G53" s="115"/>
      <c r="H53" s="115"/>
      <c r="I53" s="115"/>
      <c r="J53" s="115"/>
      <c r="K53" s="115"/>
      <c r="L53" s="115"/>
      <c r="M53" s="115"/>
      <c r="N53" s="115"/>
      <c r="O53" s="115"/>
      <c r="P53" s="115"/>
      <c r="Q53" s="115"/>
      <c r="R53" s="197"/>
      <c r="S53" s="197"/>
      <c r="T53" s="226"/>
      <c r="U53" s="45">
        <f t="shared" si="10"/>
        <v>0</v>
      </c>
      <c r="V53" s="128">
        <f t="shared" si="9"/>
        <v>0</v>
      </c>
    </row>
    <row r="54" spans="1:22" x14ac:dyDescent="0.25">
      <c r="A54" s="117" t="s">
        <v>218</v>
      </c>
      <c r="B54" s="117"/>
      <c r="C54" s="118"/>
      <c r="D54" s="118"/>
      <c r="E54" s="118"/>
      <c r="F54" s="118"/>
      <c r="G54" s="118"/>
      <c r="H54" s="118"/>
      <c r="I54" s="118"/>
      <c r="J54" s="118"/>
      <c r="K54" s="118"/>
      <c r="L54" s="118"/>
      <c r="M54" s="118"/>
      <c r="N54" s="118"/>
      <c r="O54" s="118"/>
      <c r="P54" s="118"/>
      <c r="Q54" s="118"/>
      <c r="R54" s="118"/>
      <c r="S54" s="118"/>
      <c r="T54" s="226"/>
      <c r="U54" s="45">
        <f t="shared" si="10"/>
        <v>0</v>
      </c>
      <c r="V54" s="128">
        <f t="shared" si="9"/>
        <v>0</v>
      </c>
    </row>
    <row r="55" spans="1:22" x14ac:dyDescent="0.25">
      <c r="A55" s="123" t="s">
        <v>219</v>
      </c>
      <c r="B55" s="124"/>
      <c r="C55" s="124"/>
      <c r="D55" s="124"/>
      <c r="E55" s="124"/>
      <c r="F55" s="124"/>
      <c r="G55" s="124"/>
      <c r="H55" s="124"/>
      <c r="I55" s="124"/>
      <c r="J55" s="124"/>
      <c r="K55" s="124"/>
      <c r="L55" s="124"/>
      <c r="M55" s="124"/>
      <c r="N55" s="124"/>
      <c r="O55" s="124"/>
      <c r="P55" s="124"/>
      <c r="Q55" s="124"/>
      <c r="R55" s="124"/>
      <c r="S55" s="124"/>
      <c r="T55" s="226"/>
      <c r="U55" s="45">
        <f t="shared" si="10"/>
        <v>0</v>
      </c>
      <c r="V55" s="128">
        <f t="shared" si="9"/>
        <v>0</v>
      </c>
    </row>
    <row r="56" spans="1:22" x14ac:dyDescent="0.25">
      <c r="A56" s="101" t="s">
        <v>220</v>
      </c>
      <c r="B56" s="101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  <c r="R56" s="102"/>
      <c r="S56" s="102"/>
      <c r="T56" s="226"/>
      <c r="U56" s="45">
        <f t="shared" si="10"/>
        <v>0</v>
      </c>
      <c r="V56" s="128">
        <f t="shared" si="9"/>
        <v>0</v>
      </c>
    </row>
    <row r="57" spans="1:22" x14ac:dyDescent="0.25">
      <c r="A57" s="126" t="s">
        <v>221</v>
      </c>
      <c r="B57" s="120"/>
      <c r="C57" s="121"/>
      <c r="D57" s="121"/>
      <c r="E57" s="121"/>
      <c r="F57" s="121"/>
      <c r="G57" s="121"/>
      <c r="H57" s="121"/>
      <c r="I57" s="121"/>
      <c r="J57" s="121"/>
      <c r="K57" s="121"/>
      <c r="L57" s="121"/>
      <c r="M57" s="121"/>
      <c r="N57" s="121"/>
      <c r="O57" s="121"/>
      <c r="P57" s="121"/>
      <c r="Q57" s="121"/>
      <c r="R57" s="121"/>
      <c r="S57" s="121"/>
      <c r="T57" s="226"/>
      <c r="U57" s="45">
        <f>SUM(C57:S57)</f>
        <v>0</v>
      </c>
      <c r="V57" s="128">
        <f t="shared" si="9"/>
        <v>0</v>
      </c>
    </row>
    <row r="58" spans="1:22" x14ac:dyDescent="0.25">
      <c r="A58" s="108" t="s">
        <v>222</v>
      </c>
      <c r="B58" s="109"/>
      <c r="C58" s="109"/>
      <c r="D58" s="109"/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109"/>
      <c r="P58" s="109"/>
      <c r="Q58" s="109"/>
      <c r="R58" s="109"/>
      <c r="S58" s="109"/>
      <c r="T58" s="226"/>
      <c r="U58" s="45">
        <f>SUM(C58:S58)</f>
        <v>0</v>
      </c>
      <c r="V58" s="128">
        <f t="shared" si="9"/>
        <v>0</v>
      </c>
    </row>
    <row r="59" spans="1:22" x14ac:dyDescent="0.25">
      <c r="A59" s="44" t="s">
        <v>81</v>
      </c>
      <c r="B59" s="50">
        <f>SUM(B47:B58)</f>
        <v>0</v>
      </c>
      <c r="C59" s="50">
        <f t="shared" ref="C59" si="11">SUM(C47:C58)</f>
        <v>0</v>
      </c>
      <c r="D59" s="50">
        <f>SUM(D47:D58)</f>
        <v>0</v>
      </c>
      <c r="E59" s="50">
        <f>SUM(E47:E58)</f>
        <v>0</v>
      </c>
      <c r="F59" s="50">
        <f>SUM(F46:F58)</f>
        <v>221</v>
      </c>
      <c r="G59" s="50">
        <f>SUM(G47:G58)</f>
        <v>0</v>
      </c>
      <c r="H59" s="50">
        <f>SUM(H47:H58)</f>
        <v>0</v>
      </c>
      <c r="I59" s="50">
        <f>SUM(I47:I58)</f>
        <v>0</v>
      </c>
      <c r="J59" s="50">
        <f t="shared" ref="J59:N59" si="12">SUM(J47:J58)</f>
        <v>0</v>
      </c>
      <c r="K59" s="50">
        <f t="shared" si="12"/>
        <v>0</v>
      </c>
      <c r="L59" s="50">
        <f t="shared" si="12"/>
        <v>0</v>
      </c>
      <c r="M59" s="50">
        <f t="shared" si="12"/>
        <v>0</v>
      </c>
      <c r="N59" s="50">
        <f t="shared" si="12"/>
        <v>0</v>
      </c>
      <c r="O59" s="50">
        <f>SUM(O47:O58)</f>
        <v>0</v>
      </c>
      <c r="P59" s="50">
        <f>SUM(P47:P58)</f>
        <v>0</v>
      </c>
      <c r="Q59" s="50">
        <f>SUM(Q47:Q58)</f>
        <v>0</v>
      </c>
      <c r="R59" s="50">
        <f>SUM(R47:R58)</f>
        <v>0</v>
      </c>
      <c r="S59" s="50">
        <f t="shared" ref="S59" si="13">SUM(S47:S58)</f>
        <v>0</v>
      </c>
      <c r="T59" s="50">
        <f>SUM(B59:S59)</f>
        <v>221</v>
      </c>
      <c r="U59" s="45">
        <f>SUM(B59:S59)</f>
        <v>221</v>
      </c>
      <c r="V59" s="127">
        <f>SUM(V47:V58)</f>
        <v>0</v>
      </c>
    </row>
    <row r="60" spans="1:22" x14ac:dyDescent="0.25">
      <c r="A60" s="89" t="s">
        <v>38</v>
      </c>
      <c r="B60" s="130">
        <v>0</v>
      </c>
      <c r="C60" s="130">
        <v>33831.870000000003</v>
      </c>
      <c r="D60" s="130">
        <v>21862.75</v>
      </c>
      <c r="E60" s="130">
        <v>22237.51</v>
      </c>
      <c r="F60" s="130">
        <v>20013.759999999998</v>
      </c>
      <c r="G60" s="130">
        <v>0</v>
      </c>
      <c r="H60" s="130">
        <v>28485.599999999999</v>
      </c>
      <c r="I60" s="130">
        <v>24555.599999999999</v>
      </c>
      <c r="J60" s="130">
        <v>0</v>
      </c>
      <c r="K60" s="130">
        <v>19464.900000000001</v>
      </c>
      <c r="L60" s="186">
        <v>16350.3</v>
      </c>
      <c r="M60" s="130">
        <v>20144.740000000002</v>
      </c>
      <c r="N60" s="130">
        <v>0</v>
      </c>
      <c r="O60" s="130">
        <v>0</v>
      </c>
      <c r="P60" s="130">
        <v>20076.419999999998</v>
      </c>
      <c r="Q60" s="130">
        <v>24978.84</v>
      </c>
      <c r="R60" s="130">
        <v>28902.65</v>
      </c>
      <c r="S60" s="130"/>
      <c r="T60" s="130">
        <f>SUM(B60:R60)</f>
        <v>280904.93999999994</v>
      </c>
    </row>
    <row r="61" spans="1:22" x14ac:dyDescent="0.25">
      <c r="A61" s="89" t="s">
        <v>175</v>
      </c>
      <c r="B61" s="80" t="e">
        <f>B59/B60</f>
        <v>#DIV/0!</v>
      </c>
      <c r="C61" s="80">
        <f t="shared" ref="C61:H61" si="14">C59/C60</f>
        <v>0</v>
      </c>
      <c r="D61" s="80">
        <f t="shared" si="14"/>
        <v>0</v>
      </c>
      <c r="E61" s="80">
        <f t="shared" si="14"/>
        <v>0</v>
      </c>
      <c r="F61" s="80">
        <f t="shared" si="14"/>
        <v>1.1042402826855124E-2</v>
      </c>
      <c r="G61" s="80" t="e">
        <f t="shared" si="14"/>
        <v>#DIV/0!</v>
      </c>
      <c r="H61" s="80">
        <f t="shared" si="14"/>
        <v>0</v>
      </c>
      <c r="I61" s="80">
        <f>I59/I60</f>
        <v>0</v>
      </c>
      <c r="J61" s="80" t="e">
        <f t="shared" ref="J61:O61" si="15">J59/J60</f>
        <v>#DIV/0!</v>
      </c>
      <c r="K61" s="80">
        <f t="shared" si="15"/>
        <v>0</v>
      </c>
      <c r="L61" s="80">
        <f t="shared" si="15"/>
        <v>0</v>
      </c>
      <c r="M61" s="80">
        <f t="shared" si="15"/>
        <v>0</v>
      </c>
      <c r="N61" s="80" t="e">
        <f t="shared" si="15"/>
        <v>#DIV/0!</v>
      </c>
      <c r="O61" s="80" t="e">
        <f t="shared" si="15"/>
        <v>#DIV/0!</v>
      </c>
      <c r="P61" s="80">
        <f>P59/P60</f>
        <v>0</v>
      </c>
      <c r="Q61" s="80">
        <f t="shared" ref="Q61:R61" si="16">Q59/Q60</f>
        <v>0</v>
      </c>
      <c r="R61" s="80">
        <f t="shared" si="16"/>
        <v>0</v>
      </c>
      <c r="S61" s="80"/>
      <c r="T61" s="80">
        <f>T59/T60</f>
        <v>7.8674301705053688E-4</v>
      </c>
    </row>
  </sheetData>
  <sortState xmlns:xlrd2="http://schemas.microsoft.com/office/spreadsheetml/2017/richdata2" ref="A2:L1048541">
    <sortCondition ref="A1"/>
  </sortState>
  <mergeCells count="9">
    <mergeCell ref="A44:A45"/>
    <mergeCell ref="B44:P44"/>
    <mergeCell ref="T47:T58"/>
    <mergeCell ref="T24:T35"/>
    <mergeCell ref="B1:P1"/>
    <mergeCell ref="A1:A2"/>
    <mergeCell ref="T4:T15"/>
    <mergeCell ref="A21:A22"/>
    <mergeCell ref="B21:P2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AF744F-B586-4043-896F-9E7DDC5EA11B}">
  <dimension ref="A1:L18"/>
  <sheetViews>
    <sheetView zoomScale="80" zoomScaleNormal="80" workbookViewId="0">
      <selection activeCell="B37" sqref="B37"/>
    </sheetView>
  </sheetViews>
  <sheetFormatPr defaultRowHeight="15" x14ac:dyDescent="0.25"/>
  <cols>
    <col min="2" max="4" width="11.5703125" bestFit="1" customWidth="1"/>
    <col min="5" max="5" width="10" bestFit="1" customWidth="1"/>
    <col min="6" max="7" width="11.5703125" bestFit="1" customWidth="1"/>
    <col min="8" max="10" width="12.7109375" bestFit="1" customWidth="1"/>
    <col min="11" max="11" width="10.140625" bestFit="1" customWidth="1"/>
    <col min="12" max="12" width="15.42578125" customWidth="1"/>
  </cols>
  <sheetData>
    <row r="1" spans="1:12" x14ac:dyDescent="0.25">
      <c r="A1" s="221" t="s">
        <v>253</v>
      </c>
      <c r="B1" s="223" t="s">
        <v>270</v>
      </c>
      <c r="C1" s="224"/>
      <c r="D1" s="224"/>
      <c r="E1" s="224"/>
      <c r="F1" s="224"/>
      <c r="G1" s="191"/>
      <c r="H1" s="4"/>
    </row>
    <row r="2" spans="1:12" x14ac:dyDescent="0.25">
      <c r="A2" s="222"/>
      <c r="B2" s="18" t="s">
        <v>265</v>
      </c>
      <c r="C2" s="18" t="s">
        <v>266</v>
      </c>
      <c r="D2" s="18" t="s">
        <v>267</v>
      </c>
      <c r="E2" s="18" t="s">
        <v>268</v>
      </c>
      <c r="F2" s="18" t="s">
        <v>269</v>
      </c>
      <c r="G2" s="18" t="s">
        <v>283</v>
      </c>
      <c r="H2" s="4"/>
    </row>
    <row r="3" spans="1:12" x14ac:dyDescent="0.25">
      <c r="A3" s="19" t="s">
        <v>37</v>
      </c>
      <c r="B3" s="18">
        <v>2371</v>
      </c>
      <c r="C3" s="18">
        <v>3487</v>
      </c>
      <c r="D3" s="18">
        <v>254</v>
      </c>
      <c r="E3" s="18">
        <v>94</v>
      </c>
      <c r="F3" s="18">
        <v>282</v>
      </c>
      <c r="G3" s="18">
        <v>270</v>
      </c>
      <c r="H3" s="4"/>
      <c r="K3" t="s">
        <v>287</v>
      </c>
      <c r="L3" t="s">
        <v>288</v>
      </c>
    </row>
    <row r="4" spans="1:12" x14ac:dyDescent="0.25">
      <c r="A4" s="4" t="s">
        <v>211</v>
      </c>
      <c r="B4" s="88"/>
      <c r="C4" s="88"/>
      <c r="D4" s="88"/>
      <c r="E4" s="88"/>
      <c r="F4" s="88"/>
      <c r="G4" s="88"/>
      <c r="H4" s="226" t="s">
        <v>36</v>
      </c>
      <c r="I4" s="45">
        <f t="shared" ref="I4" si="0">SUM(B4:F4)</f>
        <v>0</v>
      </c>
      <c r="J4" s="128">
        <f t="shared" ref="J4:J15" si="1">SUM(I4:I4)</f>
        <v>0</v>
      </c>
    </row>
    <row r="5" spans="1:12" x14ac:dyDescent="0.25">
      <c r="A5" s="101" t="s">
        <v>212</v>
      </c>
      <c r="B5" s="102">
        <v>92.29</v>
      </c>
      <c r="C5" s="102">
        <v>85.05</v>
      </c>
      <c r="D5" s="102">
        <v>107</v>
      </c>
      <c r="E5" s="102">
        <v>103.4</v>
      </c>
      <c r="F5" s="102">
        <v>129.15</v>
      </c>
      <c r="G5" s="102"/>
      <c r="H5" s="226"/>
      <c r="I5" s="45">
        <f>SUM(B5:F5)</f>
        <v>516.89</v>
      </c>
      <c r="J5" s="128">
        <f t="shared" si="1"/>
        <v>516.89</v>
      </c>
    </row>
    <row r="6" spans="1:12" x14ac:dyDescent="0.25">
      <c r="A6" s="98" t="s">
        <v>213</v>
      </c>
      <c r="B6" s="99">
        <v>137.91</v>
      </c>
      <c r="C6" s="99">
        <v>199.76</v>
      </c>
      <c r="D6" s="99">
        <v>163</v>
      </c>
      <c r="E6" s="99">
        <v>168.3</v>
      </c>
      <c r="F6" s="99">
        <v>190</v>
      </c>
      <c r="G6" s="99"/>
      <c r="H6" s="226"/>
      <c r="I6" s="45">
        <f>SUM(B6:F6)</f>
        <v>858.97</v>
      </c>
      <c r="J6" s="128">
        <f t="shared" si="1"/>
        <v>858.97</v>
      </c>
    </row>
    <row r="7" spans="1:12" x14ac:dyDescent="0.25">
      <c r="A7" s="105" t="s">
        <v>214</v>
      </c>
      <c r="B7" s="106">
        <v>172.93</v>
      </c>
      <c r="C7" s="106">
        <v>223.52</v>
      </c>
      <c r="D7" s="106">
        <v>258.75</v>
      </c>
      <c r="E7" s="106">
        <v>168.3</v>
      </c>
      <c r="F7" s="106">
        <v>228.96</v>
      </c>
      <c r="G7" s="106"/>
      <c r="H7" s="226"/>
      <c r="I7" s="45">
        <f>SUM(B7:F7)</f>
        <v>1052.46</v>
      </c>
      <c r="J7" s="128">
        <f t="shared" si="1"/>
        <v>1052.46</v>
      </c>
    </row>
    <row r="8" spans="1:12" x14ac:dyDescent="0.25">
      <c r="A8" s="108" t="s">
        <v>215</v>
      </c>
      <c r="B8" s="193">
        <v>206.51</v>
      </c>
      <c r="C8" s="193">
        <v>309.10000000000002</v>
      </c>
      <c r="D8" s="193">
        <v>317.5</v>
      </c>
      <c r="E8" s="193">
        <v>153</v>
      </c>
      <c r="F8" s="193">
        <v>313.02</v>
      </c>
      <c r="G8" s="193">
        <v>68.2</v>
      </c>
      <c r="H8" s="226"/>
      <c r="I8" s="45">
        <f t="shared" ref="I8:I14" si="2">SUM(B8:G8)</f>
        <v>1367.3300000000002</v>
      </c>
      <c r="J8" s="128">
        <f t="shared" si="1"/>
        <v>1367.3300000000002</v>
      </c>
    </row>
    <row r="9" spans="1:12" x14ac:dyDescent="0.25">
      <c r="A9" s="111" t="s">
        <v>216</v>
      </c>
      <c r="B9" s="112">
        <v>260.81</v>
      </c>
      <c r="C9" s="112">
        <v>348.7</v>
      </c>
      <c r="D9" s="112">
        <v>317.5</v>
      </c>
      <c r="E9" s="112"/>
      <c r="F9" s="112">
        <v>239.7</v>
      </c>
      <c r="G9" s="112">
        <v>270</v>
      </c>
      <c r="H9" s="226"/>
      <c r="I9" s="45">
        <f t="shared" si="2"/>
        <v>1436.71</v>
      </c>
      <c r="J9" s="128">
        <f>SUM(I9:I9)</f>
        <v>1436.71</v>
      </c>
      <c r="K9" s="48">
        <f>J9/L9</f>
        <v>1.0722375764002205E-2</v>
      </c>
      <c r="L9" s="8">
        <f>H17</f>
        <v>133991.76</v>
      </c>
    </row>
    <row r="10" spans="1:12" x14ac:dyDescent="0.25">
      <c r="A10" s="114" t="s">
        <v>217</v>
      </c>
      <c r="B10" s="115">
        <v>218.13</v>
      </c>
      <c r="C10" s="115">
        <v>348.7</v>
      </c>
      <c r="D10" s="115">
        <v>317.5</v>
      </c>
      <c r="E10" s="115"/>
      <c r="F10" s="115">
        <v>248.16</v>
      </c>
      <c r="G10" s="115">
        <v>270</v>
      </c>
      <c r="H10" s="226"/>
      <c r="I10" s="45">
        <f t="shared" si="2"/>
        <v>1402.49</v>
      </c>
      <c r="J10" s="128">
        <f t="shared" si="1"/>
        <v>1402.49</v>
      </c>
      <c r="K10" s="48">
        <f>J10/H17</f>
        <v>1.0466986925166144E-2</v>
      </c>
      <c r="L10" s="8"/>
    </row>
    <row r="11" spans="1:12" x14ac:dyDescent="0.25">
      <c r="A11" s="117" t="s">
        <v>218</v>
      </c>
      <c r="B11" s="199">
        <v>248.95</v>
      </c>
      <c r="C11" s="118">
        <v>453.31</v>
      </c>
      <c r="D11" s="118">
        <v>254</v>
      </c>
      <c r="E11" s="118"/>
      <c r="F11" s="118">
        <v>312.33999999999997</v>
      </c>
      <c r="G11" s="118">
        <v>270</v>
      </c>
      <c r="H11" s="226"/>
      <c r="I11" s="45">
        <f t="shared" si="2"/>
        <v>1538.6</v>
      </c>
      <c r="J11" s="128">
        <f t="shared" si="1"/>
        <v>1538.6</v>
      </c>
      <c r="K11" s="48">
        <f>J11/H17</f>
        <v>1.1482795658479296E-2</v>
      </c>
      <c r="L11" s="8"/>
    </row>
    <row r="12" spans="1:12" x14ac:dyDescent="0.25">
      <c r="A12" s="123" t="s">
        <v>219</v>
      </c>
      <c r="B12" s="124">
        <v>237.1</v>
      </c>
      <c r="C12" s="124">
        <v>453.31</v>
      </c>
      <c r="D12" s="124">
        <v>254</v>
      </c>
      <c r="E12" s="124"/>
      <c r="F12" s="124">
        <v>276.92</v>
      </c>
      <c r="G12" s="124">
        <v>270</v>
      </c>
      <c r="H12" s="226"/>
      <c r="I12" s="45">
        <f t="shared" si="2"/>
        <v>1491.33</v>
      </c>
      <c r="J12" s="128">
        <f t="shared" si="1"/>
        <v>1491.33</v>
      </c>
      <c r="K12" s="48">
        <f>J12/H17</f>
        <v>1.113001277093457E-2</v>
      </c>
      <c r="L12" s="8"/>
    </row>
    <row r="13" spans="1:12" x14ac:dyDescent="0.25">
      <c r="A13" s="101" t="s">
        <v>220</v>
      </c>
      <c r="B13" s="198">
        <v>237.1</v>
      </c>
      <c r="C13" s="102"/>
      <c r="D13" s="102">
        <v>254</v>
      </c>
      <c r="E13" s="102"/>
      <c r="F13" s="102">
        <v>251.16</v>
      </c>
      <c r="G13" s="102">
        <v>270</v>
      </c>
      <c r="H13" s="226"/>
      <c r="I13" s="45">
        <f t="shared" si="2"/>
        <v>1012.26</v>
      </c>
      <c r="J13" s="128">
        <f t="shared" si="1"/>
        <v>1012.26</v>
      </c>
      <c r="K13" s="48">
        <f>J13/H17</f>
        <v>7.554643658684683E-3</v>
      </c>
      <c r="L13" s="8"/>
    </row>
    <row r="14" spans="1:12" x14ac:dyDescent="0.25">
      <c r="A14" s="126" t="s">
        <v>221</v>
      </c>
      <c r="B14" s="121">
        <v>142.26</v>
      </c>
      <c r="C14" s="121"/>
      <c r="D14" s="121">
        <v>454</v>
      </c>
      <c r="E14" s="121"/>
      <c r="F14" s="121">
        <v>289.8</v>
      </c>
      <c r="G14" s="121">
        <v>270</v>
      </c>
      <c r="H14" s="226"/>
      <c r="I14" s="45">
        <f t="shared" si="2"/>
        <v>1156.06</v>
      </c>
      <c r="J14" s="128">
        <f>SUM(I14:I14)</f>
        <v>1156.06</v>
      </c>
      <c r="K14" s="48">
        <f>J14/H17</f>
        <v>8.6278439808537468E-3</v>
      </c>
      <c r="L14" s="8"/>
    </row>
    <row r="15" spans="1:12" x14ac:dyDescent="0.25">
      <c r="A15" s="108" t="s">
        <v>222</v>
      </c>
      <c r="B15" s="109">
        <v>176.8</v>
      </c>
      <c r="C15" s="109"/>
      <c r="D15" s="109">
        <v>454</v>
      </c>
      <c r="E15" s="109"/>
      <c r="F15" s="109">
        <v>289.8</v>
      </c>
      <c r="G15" s="109">
        <v>270</v>
      </c>
      <c r="H15" s="226"/>
      <c r="I15" s="45">
        <f>SUM(B15:G15)</f>
        <v>1190.5999999999999</v>
      </c>
      <c r="J15" s="128">
        <f t="shared" si="1"/>
        <v>1190.5999999999999</v>
      </c>
      <c r="K15" s="48">
        <f>J15/H17</f>
        <v>8.8856210262481805E-3</v>
      </c>
      <c r="L15" s="8"/>
    </row>
    <row r="16" spans="1:12" x14ac:dyDescent="0.25">
      <c r="A16" s="44" t="s">
        <v>81</v>
      </c>
      <c r="B16" s="50">
        <f>SUM(B4:B15)</f>
        <v>2130.79</v>
      </c>
      <c r="C16" s="50">
        <f t="shared" ref="C16:G16" si="3">SUM(C4:C15)</f>
        <v>2421.4500000000003</v>
      </c>
      <c r="D16" s="50">
        <f t="shared" si="3"/>
        <v>3151.25</v>
      </c>
      <c r="E16" s="50">
        <f t="shared" si="3"/>
        <v>593</v>
      </c>
      <c r="F16" s="50">
        <f t="shared" si="3"/>
        <v>2769.01</v>
      </c>
      <c r="G16" s="50">
        <f t="shared" si="3"/>
        <v>1958.2</v>
      </c>
      <c r="H16" s="50">
        <f>SUM(B16:G16)</f>
        <v>13023.7</v>
      </c>
      <c r="I16" s="45">
        <f>SUM(B16:G16)</f>
        <v>13023.7</v>
      </c>
      <c r="J16" s="127">
        <f>SUM(J4:J15)</f>
        <v>13023.7</v>
      </c>
    </row>
    <row r="17" spans="1:10" x14ac:dyDescent="0.25">
      <c r="A17" s="89" t="s">
        <v>38</v>
      </c>
      <c r="B17" s="130">
        <v>23852.26</v>
      </c>
      <c r="C17" s="130">
        <v>29290.799999999999</v>
      </c>
      <c r="D17" s="130">
        <v>27205.94</v>
      </c>
      <c r="E17" s="130">
        <v>0</v>
      </c>
      <c r="F17" s="130">
        <v>26502.36</v>
      </c>
      <c r="G17" s="130">
        <v>27140.400000000001</v>
      </c>
      <c r="H17" s="130">
        <f>SUM(B17:G17)</f>
        <v>133991.76</v>
      </c>
    </row>
    <row r="18" spans="1:10" x14ac:dyDescent="0.25">
      <c r="A18" s="89" t="s">
        <v>175</v>
      </c>
      <c r="B18" s="80">
        <f>B16/B17</f>
        <v>8.9332834708325343E-2</v>
      </c>
      <c r="C18" s="80">
        <f t="shared" ref="C18:G18" si="4">C16/C17</f>
        <v>8.2669302306526291E-2</v>
      </c>
      <c r="D18" s="80">
        <f>D16/D17</f>
        <v>0.11582948429644409</v>
      </c>
      <c r="E18" s="80"/>
      <c r="F18" s="80">
        <f t="shared" si="4"/>
        <v>0.10448163861633455</v>
      </c>
      <c r="G18" s="80">
        <f t="shared" si="4"/>
        <v>7.2150742067176601E-2</v>
      </c>
      <c r="H18" s="80">
        <f>H16/H17</f>
        <v>9.7197767982150546E-2</v>
      </c>
      <c r="J18" s="48"/>
    </row>
  </sheetData>
  <mergeCells count="3">
    <mergeCell ref="A1:A2"/>
    <mergeCell ref="B1:F1"/>
    <mergeCell ref="H4:H15"/>
  </mergeCells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0 c 5 8 6 6 7 8 - b 9 6 8 - 4 c b 7 - a f d c - 2 7 d 1 e 7 5 c 9 1 b c "   x m l n s = " h t t p : / / s c h e m a s . m i c r o s o f t . c o m / D a t a M a s h u p " > A A A A A O I E A A B Q S w M E F A A C A A g A K 5 b + W m M u s G q l A A A A 9 w A A A B I A H A B D b 2 5 m a W c v U G F j a 2 F n Z S 5 4 b W w g o h g A K K A U A A A A A A A A A A A A A A A A A A A A A A A A A A A A h Y 9 N D o I w G E S v Q r q n f 2 o 0 5 K M k u p X E a G L c N l i h E Q q h x X I 3 F x 7 J K 4 h R 1 J 3 L e f M W M / f r D Z K + K o O L a q 2 u T Y w Y p i h Q J q u P 2 u Q x 6 t w p X K B E w E Z m Z 5 m r Y J C N j X p 7 j F H h X B M R 4 r 3 H f o L r N i e c U k Y O 6 X q X F a q S 6 C P r / 3 K o j X X S Z A o J 2 L / G C I 7 Z d I Y Z 5 X N M g Y w U U m 2 + B h 8 G P 9 s f C K u u d F 2 r R O P C 5 R b I G I G 8 T 4 g H U E s D B B Q A A g A I A C u W / l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r l v 5 a u o x + N 9 s B A A C i C w A A E w A c A E Z v c m 1 1 b G F z L 1 N l Y 3 R p b 2 4 x L m 0 g o h g A K K A U A A A A A A A A A A A A A A A A A A A A A A A A A A A A 7 Z X b i 5 t A G M X f A / k f B v t i I N 4 S L 6 G l D 7 k 0 j c H N 7 j a G l Z Z S v H x R u z p j n H F J N u R / r y Z 7 k d K 0 s B B o 2 v V F O R / j n O P v M F L w W U w w m h / u y r t m o 9 m g k Z t D g E b E L 1 L A D L 1 H C b B m A 5 X X m G A G p X A D n n j l h s B X D 8 N K x I z y X M R Y R t 9 K U k B 8 K o a E h A m I P k k l m u X g B j Q C Y F Q K J J A 6 V / 2 h I y h 3 1 5 P 7 e Q d y 0 / K s k a x f J H Y e h C M n k v X 7 z L g E 4 d N 0 L W g X y 8 R X 9 S G e B I P l B m g x I O r Y S a 3 e 9 4 l 1 F 4 1 W x k 3 / 0 g d m D j V V y g o v Y m n C t V r t g 9 + R y 1 y l 9 L v 3 v V V 2 X y r h a 7 M R 4 9 q 8 H v o N Z 7 t e A k j m z j 2 2 / B R b f o j 9 M C w j x h l B / Y R B 7 g a k C r r P L N q 5 i + m S 5 O m Q J E W K 7 U 0 G l N + / q r 3 d c g d R 4 d q I l Q P E Y M 1 2 b f S o d 0 r d x E x X x W p Z b d A 9 s k A 9 o m u P O i 5 S D / L d r v V M 6 2 f n v w S H + E 7 r F d 6 5 w X s 6 b P 4 F e i 8 7 c R D f P f / o / 1 1 x 6 x T Q g Q L 6 L Q X 7 V l 8 5 i f t B X 6 S 6 1 o + M x a Z Y h M v Z x C V Y G E + m J 2 3 A H / a W r e v e T D E W 9 G O k q t 9 6 6 z i e T / X b W d Y x B o r 8 W Y 2 8 r h L Y 6 t g 0 p 4 K + C p x a A 5 6 / 1 t 7 y k X 6 r p + 3 3 y d K d Y b 9 f / v f U X i H 9 T Z B + A F B L A Q I t A B Q A A g A I A C u W / l p j L r B q p Q A A A P c A A A A S A A A A A A A A A A A A A A A A A A A A A A B D b 2 5 m a W c v U G F j a 2 F n Z S 5 4 b W x Q S w E C L Q A U A A I A C A A r l v 5 a D 8 r p q 6 Q A A A D p A A A A E w A A A A A A A A A A A A A A A A D x A A A A W 0 N v b n R l b n R f V H l w Z X N d L n h t b F B L A Q I t A B Q A A g A I A C u W / l q 6 j H 4 3 2 w E A A K I L A A A T A A A A A A A A A A A A A A A A A O I B A A B G b 3 J t d W x h c y 9 T Z W N 0 a W 9 u M S 5 t U E s F B g A A A A A D A A M A w g A A A A o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J J A A A A A A A A 0 E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R v Y 3 V t Z W 5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5 h d m l n Y X R p b 2 5 T d G V w T m F t Z S I g V m F s d W U 9 I n N O Y X Z l Z 2 H D p 8 O j b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w L T A y V D A w O j M y O j Q 3 L j c 1 O D g y M T J a I i A v P j x F b n R y e S B U e X B l P S J G a W x s Q 2 9 s d W 1 u V H l w Z X M i I F Z h b H V l P S J z Q m d Z R y I g L z 4 8 R W 5 0 c n k g V H l w Z T 0 i R m l s b E N v b H V t b k 5 h b W V z I i B W Y W x 1 Z T 0 i c 1 s m c X V v d D t L a W 5 k J n F 1 b 3 Q 7 L C Z x d W 9 0 O 0 5 h b W U m c X V v d D s s J n F 1 b 3 Q 7 V G V 4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v Y 3 V t Z W 5 0 L 0 R h d G E x L n t L a W 5 k L D B 9 J n F 1 b 3 Q 7 L C Z x d W 9 0 O 1 N l Y 3 R p b 2 4 x L 0 R v Y 3 V t Z W 5 0 L 0 R h d G E x L n t O Y W 1 l L D F 9 J n F 1 b 3 Q 7 L C Z x d W 9 0 O 1 N l Y 3 R p b 2 4 x L 0 R v Y 3 V t Z W 5 0 L 0 R h d G E x L n t U Z X h 0 L D N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R v Y 3 V t Z W 5 0 L 0 R h d G E x L n t L a W 5 k L D B 9 J n F 1 b 3 Q 7 L C Z x d W 9 0 O 1 N l Y 3 R p b 2 4 x L 0 R v Y 3 V t Z W 5 0 L 0 R h d G E x L n t O Y W 1 l L D F 9 J n F 1 b 3 Q 7 L C Z x d W 9 0 O 1 N l Y 3 R p b 2 4 x L 0 R v Y 3 V t Z W 5 0 L 0 R h d G E x L n t U Z X h 0 L D N 9 J n F 1 b 3 Q 7 X S w m c X V v d D t S Z W x h d G l v b n N o a X B J b m Z v J n F 1 b 3 Q 7 O l t d f S I g L z 4 8 R W 5 0 c n k g V H l w Z T 0 i U X V l c n l J R C I g V m F s d W U 9 I n M z M j M 4 Y W J l Z C 0 5 N G U z L T R i Y 2 U t Y T V i M S 0 5 Z m E 4 Y z l m M T A w M T E i I C 8 + P C 9 T d G F i b G V F b n R y a W V z P j w v S X R l b T 4 8 S X R l b T 4 8 S X R l b U x v Y 2 F 0 a W 9 u P j x J d G V t V H l w Z T 5 G b 3 J t d W x h P C 9 J d G V t V H l w Z T 4 8 S X R l b V B h d G g + U 2 V j d G l v b j E v R G 9 j d W 1 l b n Q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2 N 1 b W V u d C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O Y X Z p Z 2 F 0 a W 9 u U 3 R l c E 5 h b W U i I F Z h b H V l P S J z T m F 2 Z W d h w 6 f D o 2 8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M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A t M D J U M D A 6 M z I 6 N D c u N z c 0 N D Q y M 1 o i I C 8 + P E V u d H J 5 I F R 5 c G U 9 I k Z p b G x D b 2 x 1 b W 5 U e X B l c y I g V m F s d W U 9 I n N C Z 0 1 H Q m d V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L 1 R p c G 8 g Q W x 0 Z X J h Z G 8 u e 0 N v b H V t b j E s M H 0 m c X V v d D s s J n F 1 b 3 Q 7 U 2 V j d G l v b j E v V G F i b G U g M C 9 U a X B v I E F s d G V y Y W R v L n t D b 2 x 1 b W 4 y L D F 9 J n F 1 b 3 Q 7 L C Z x d W 9 0 O 1 N l Y 3 R p b 2 4 x L 1 R h Y m x l I D A v V G l w b y B B b H R l c m F k b y 5 7 Q 2 9 s d W 1 u M y w y f S Z x d W 9 0 O y w m c X V v d D t T Z W N 0 a W 9 u M S 9 U Y W J s Z S A w L 1 R p c G 8 g Q W x 0 Z X J h Z G 8 u e 0 N v b H V t b j Q s M 3 0 m c X V v d D s s J n F 1 b 3 Q 7 U 2 V j d G l v b j E v V G F i b G U g M C 9 U a X B v I E F s d G V y Y W R v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R h Y m x l I D A v V G l w b y B B b H R l c m F k b y 5 7 Q 2 9 s d W 1 u M S w w f S Z x d W 9 0 O y w m c X V v d D t T Z W N 0 a W 9 u M S 9 U Y W J s Z S A w L 1 R p c G 8 g Q W x 0 Z X J h Z G 8 u e 0 N v b H V t b j I s M X 0 m c X V v d D s s J n F 1 b 3 Q 7 U 2 V j d G l v b j E v V G F i b G U g M C 9 U a X B v I E F s d G V y Y W R v L n t D b 2 x 1 b W 4 z L D J 9 J n F 1 b 3 Q 7 L C Z x d W 9 0 O 1 N l Y 3 R p b 2 4 x L 1 R h Y m x l I D A v V G l w b y B B b H R l c m F k b y 5 7 Q 2 9 s d W 1 u N C w z f S Z x d W 9 0 O y w m c X V v d D t T Z W N 0 a W 9 u M S 9 U Y W J s Z S A w L 1 R p c G 8 g Q W x 0 Z X J h Z G 8 u e 0 N v b H V t b j U s N H 0 m c X V v d D t d L C Z x d W 9 0 O 1 J l b G F 0 a W 9 u c 2 h p c E l u Z m 8 m c X V v d D s 6 W 1 1 9 I i A v P j x F b n R y e S B U e X B l P S J R d W V y e U l E I i B W Y W x 1 Z T 0 i c z M 3 N 2 V l N W Q 2 L T Q w M 2 Q t N D l h M i 0 4 Y 2 Q 3 L T l l M D R m Y T M 1 Y m U 4 Z S I g L z 4 8 L 1 N 0 Y W J s Z U V u d H J p Z X M + P C 9 J d G V t P j x J d G V t P j x J d G V t T G 9 j Y X R p b 2 4 + P E l 0 Z W 1 U e X B l P k Z v c m 1 1 b G E 8 L 0 l 0 Z W 1 U e X B l P j x J d G V t U G F 0 a D 5 T Z W N 0 a W 9 u M S 9 U Y W J s Z S U y M D A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5 h d m l n Y X R p b 2 5 T d G V w T m F t Z S I g V m F s d W U 9 I n N O Y X Z l Z 2 H D p 8 O j b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I C g y K S 9 U a X B v I E F s d G V y Y W R v L n t D b 2 x 1 b W 4 x L D B 9 J n F 1 b 3 Q 7 L C Z x d W 9 0 O 1 N l Y 3 R p b 2 4 x L 1 R h Y m x l I D A g K D I p L 1 R p c G 8 g Q W x 0 Z X J h Z G 8 u e 0 N v b H V t b j I s M X 0 m c X V v d D s s J n F 1 b 3 Q 7 U 2 V j d G l v b j E v V G F i b G U g M C A o M i k v V G l w b y B B b H R l c m F k b y 5 7 Q 2 9 s d W 1 u M y w y f S Z x d W 9 0 O y w m c X V v d D t T Z W N 0 a W 9 u M S 9 U Y W J s Z S A w I C g y K S 9 U a X B v I E F s d G V y Y W R v L n t D b 2 x 1 b W 4 0 L D N 9 J n F 1 b 3 Q 7 L C Z x d W 9 0 O 1 N l Y 3 R p b 2 4 x L 1 R h Y m x l I D A g K D I p L 1 R p c G 8 g Q W x 0 Z X J h Z G 8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V G F i b G U g M C A o M i k v V G l w b y B B b H R l c m F k b y 5 7 Q 2 9 s d W 1 u M S w w f S Z x d W 9 0 O y w m c X V v d D t T Z W N 0 a W 9 u M S 9 U Y W J s Z S A w I C g y K S 9 U a X B v I E F s d G V y Y W R v L n t D b 2 x 1 b W 4 y L D F 9 J n F 1 b 3 Q 7 L C Z x d W 9 0 O 1 N l Y 3 R p b 2 4 x L 1 R h Y m x l I D A g K D I p L 1 R p c G 8 g Q W x 0 Z X J h Z G 8 u e 0 N v b H V t b j M s M n 0 m c X V v d D s s J n F 1 b 3 Q 7 U 2 V j d G l v b j E v V G F i b G U g M C A o M i k v V G l w b y B B b H R l c m F k b y 5 7 Q 2 9 s d W 1 u N C w z f S Z x d W 9 0 O y w m c X V v d D t T Z W N 0 a W 9 u M S 9 U Y W J s Z S A w I C g y K S 9 U a X B v I E F s d G V y Y W R v L n t D b 2 x 1 b W 4 1 L D R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Q 2 9 s d W 1 u V H l w Z X M i I F Z h b H V l P S J z Q m d N R 0 J n V T 0 i I C 8 + P E V u d H J 5 I F R 5 c G U 9 I k Z p b G x M Y X N 0 V X B k Y X R l Z C I g V m F s d W U 9 I m Q y M D I z L T E w L T A y V D A w O j M 5 O j I 4 L j c 0 N D I z N j Z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i I g L z 4 8 R W 5 0 c n k g V H l w Z T 0 i Q W R k Z W R U b 0 R h d G F N b 2 R l b C I g V m F s d W U 9 I m w x I i A v P j x F b n R y e S B U e X B l P S J R d W V y e U l E I i B W Y W x 1 Z T 0 i c z h h O T M z O T A w L T A 4 M G Q t N D I z O S 0 5 Z j A 1 L T Y y Z j h h N T I w M G M x Z C I g L z 4 8 L 1 N 0 Y W J s Z U V u d H J p Z X M + P C 9 J d G V t P j x J d G V t P j x J d G V t T G 9 j Y X R p b 2 4 + P E l 0 Z W 1 U e X B l P k Z v c m 1 1 b G E 8 L 0 l 0 Z W 1 U e X B l P j x J d G V t U G F 0 a D 5 T Z W N 0 a W 9 u M S 9 U Y W J s Z S U y M D A l M j A o M i k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i k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i k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j d W 1 l b n Q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w L T A y V D A w O j Q w O j U 0 L j g x N D Q 4 M z d a I i A v P j x F b n R y e S B U e X B l P S J G a W x s Q 2 9 s d W 1 u V H l w Z X M i I F Z h b H V l P S J z Q m d Z R y I g L z 4 8 R W 5 0 c n k g V H l w Z T 0 i R m l s b E N v b H V t b k 5 h b W V z I i B W Y W x 1 Z T 0 i c 1 s m c X V v d D t L a W 5 k J n F 1 b 3 Q 7 L C Z x d W 9 0 O 0 5 h b W U m c X V v d D s s J n F 1 b 3 Q 7 V G V 4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v Y 3 V t Z W 5 0 I C g y K S 9 E Y X R h M S 5 7 S 2 l u Z C w w f S Z x d W 9 0 O y w m c X V v d D t T Z W N 0 a W 9 u M S 9 E b 2 N 1 b W V u d C A o M i k v R G F 0 Y T E u e 0 5 h b W U s M X 0 m c X V v d D s s J n F 1 b 3 Q 7 U 2 V j d G l v b j E v R G 9 j d W 1 l b n Q g K D I p L 0 R h d G E x L n t U Z X h 0 L D N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R v Y 3 V t Z W 5 0 I C g y K S 9 E Y X R h M S 5 7 S 2 l u Z C w w f S Z x d W 9 0 O y w m c X V v d D t T Z W N 0 a W 9 u M S 9 E b 2 N 1 b W V u d C A o M i k v R G F 0 Y T E u e 0 5 h b W U s M X 0 m c X V v d D s s J n F 1 b 3 Q 7 U 2 V j d G l v b j E v R G 9 j d W 1 l b n Q g K D I p L 0 R h d G E x L n t U Z X h 0 L D N 9 J n F 1 b 3 Q 7 X S w m c X V v d D t S Z W x h d G l v b n N o a X B J b m Z v J n F 1 b 3 Q 7 O l t d f S I g L z 4 8 R W 5 0 c n k g V H l w Z T 0 i U X V l c n l J R C I g V m F s d W U 9 I n M z M W U 1 N D J m Y S 0 y Z D c 5 L T R j N m U t O G I 4 M y 0 x Z T B l N G Z j M D d l N T M i I C 8 + P C 9 T d G F i b G V F b n R y a W V z P j w v S X R l b T 4 8 S X R l b T 4 8 S X R l b U x v Y 2 F 0 a W 9 u P j x J d G V t V H l w Z T 5 G b 3 J t d W x h P C 9 J d G V t V H l w Z T 4 8 S X R l b V B h d G g + U 2 V j d G l v b j E v R G 9 j d W 1 l b n Q l M j A o M i k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2 N 1 b W V u d C U y M C g y K S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S I g L z 4 8 R W 5 0 c n k g V H l w Z T 0 i R m l s b E N v d W 5 0 I i B W Y W x 1 Z T 0 i b D E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w L T A y V D A w O j Q 1 O j Q 4 L j k x M z M 2 M D l a I i A v P j x F b n R y e S B U e X B l P S J G a W x s Q 2 9 s d W 1 u V H l w Z X M i I F Z h b H V l P S J z Q m d N R 0 J n V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A o M y k v V G l w b y B B b H R l c m F k b y 5 7 Q 2 9 s d W 1 u M S w w f S Z x d W 9 0 O y w m c X V v d D t T Z W N 0 a W 9 u M S 9 U Y W J s Z S A w I C g z K S 9 U a X B v I E F s d G V y Y W R v L n t D b 2 x 1 b W 4 y L D F 9 J n F 1 b 3 Q 7 L C Z x d W 9 0 O 1 N l Y 3 R p b 2 4 x L 1 R h Y m x l I D A g K D M p L 1 R p c G 8 g Q W x 0 Z X J h Z G 8 u e 0 N v b H V t b j M s M n 0 m c X V v d D s s J n F 1 b 3 Q 7 U 2 V j d G l v b j E v V G F i b G U g M C A o M y k v V G l w b y B B b H R l c m F k b y 5 7 Q 2 9 s d W 1 u N C w z f S Z x d W 9 0 O y w m c X V v d D t T Z W N 0 a W 9 u M S 9 U Y W J s Z S A w I C g z K S 9 U a X B v I E F s d G V y Y W R v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R h Y m x l I D A g K D M p L 1 R p c G 8 g Q W x 0 Z X J h Z G 8 u e 0 N v b H V t b j E s M H 0 m c X V v d D s s J n F 1 b 3 Q 7 U 2 V j d G l v b j E v V G F i b G U g M C A o M y k v V G l w b y B B b H R l c m F k b y 5 7 Q 2 9 s d W 1 u M i w x f S Z x d W 9 0 O y w m c X V v d D t T Z W N 0 a W 9 u M S 9 U Y W J s Z S A w I C g z K S 9 U a X B v I E F s d G V y Y W R v L n t D b 2 x 1 b W 4 z L D J 9 J n F 1 b 3 Q 7 L C Z x d W 9 0 O 1 N l Y 3 R p b 2 4 x L 1 R h Y m x l I D A g K D M p L 1 R p c G 8 g Q W x 0 Z X J h Z G 8 u e 0 N v b H V t b j Q s M 3 0 m c X V v d D s s J n F 1 b 3 Q 7 U 2 V j d G l v b j E v V G F i b G U g M C A o M y k v V G l w b y B B b H R l c m F k b y 5 7 Q 2 9 s d W 1 u N S w 0 f S Z x d W 9 0 O 1 0 s J n F 1 b 3 Q 7 U m V s Y X R p b 2 5 z a G l w S W 5 m b y Z x d W 9 0 O z p b X X 0 i I C 8 + P E V u d H J 5 I F R 5 c G U 9 I l F 1 Z X J 5 S U Q i I F Z h b H V l P S J z N j Q 1 M D Q y M j U t Z G R m O S 0 0 N m U 0 L T h i Z D k t N D k 1 N z d h N G R m Z W Y 0 I i A v P j x F b n R y e S B U e X B l P S J S Z W N v d m V y e V R h c m d l d F N o Z W V 0 I i B W Y W x 1 Z T 0 i c 1 B s Y W 5 p b G h h M S I g L z 4 8 R W 5 0 c n k g V H l w Z T 0 i U m V j b 3 Z l c n l U Y X J n Z X R D b 2 x 1 b W 4 i I F Z h b H V l P S J s M S I g L z 4 8 R W 5 0 c n k g V H l w Z T 0 i U m V j b 3 Z l c n l U Y X J n Z X R S b 3 c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U Y W J s Z S U y M D A l M j A o M y k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y k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y k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H R 0 c H M l M 0 E l M k Y l M k Z k b 2 N z J T I w Z 2 9 v Z 2 x l J T I w Y 2 9 t J T J G c 3 B y Z W F k c 2 h l Z X R z J T J G Z C U y R m U l M k Y y U E F D W C 0 x d l R r N n F Y b G F F N l V t N j V B a D d V e X V V Z 2 Z O S G F v b i 1 G S E o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z Z j Q z M 2 J j N y 0 1 Z D U 2 L T Q 3 O T U t Y j k 3 Y S 1 i M j c x O G U 2 O T Q 2 O G Y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S 0 x O F Q y M D o 1 N D o x O S 4 0 N D Q w M D Q 1 W i I g L z 4 8 R W 5 0 c n k g V H l w Z T 0 i R m l s b E N v b H V t b l R 5 c G V z I i B W Y W x 1 Z T 0 i c 0 J n W U d C Z z 0 9 I i A v P j x F b n R y e S B U e X B l P S J G a W x s Q 2 9 s d W 1 u T m F t Z X M i I F Z h b H V l P S J z W y Z x d W 9 0 O 0 N h c H R p b 2 4 m c X V v d D s s J n F 1 b 3 Q 7 U 2 9 1 c m N l J n F 1 b 3 Q 7 L C Z x d W 9 0 O 0 N s Y X N z T m F t Z S Z x d W 9 0 O y w m c X V v d D t J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h 0 d H B z O l x c L 1 x c L 2 R v Y 3 M g Z 2 9 v Z 2 x l I G N v b V x c L 3 N w c m V h Z H N o Z W V 0 c 1 x c L 2 R c X C 9 l X F w v M l B B Q 1 g t M X Z U a z Z x W G x h R T Z V b T Y 1 Q W g 3 V X l 1 V W d m T k h h b 2 4 t R k h K L 0 F 1 d G 9 S Z W 1 v d m V k Q 2 9 s d W 1 u c z E u e 0 N h c H R p b 2 4 s M H 0 m c X V v d D s s J n F 1 b 3 Q 7 U 2 V j d G l v b j E v a H R 0 c H M 6 X F w v X F w v Z G 9 j c y B n b 2 9 n b G U g Y 2 9 t X F w v c 3 B y Z W F k c 2 h l Z X R z X F w v Z F x c L 2 V c X C 8 y U E F D W C 0 x d l R r N n F Y b G F F N l V t N j V B a D d V e X V V Z 2 Z O S G F v b i 1 G S E o v Q X V 0 b 1 J l b W 9 2 Z W R D b 2 x 1 b W 5 z M S 5 7 U 2 9 1 c m N l L D F 9 J n F 1 b 3 Q 7 L C Z x d W 9 0 O 1 N l Y 3 R p b 2 4 x L 2 h 0 d H B z O l x c L 1 x c L 2 R v Y 3 M g Z 2 9 v Z 2 x l I G N v b V x c L 3 N w c m V h Z H N o Z W V 0 c 1 x c L 2 R c X C 9 l X F w v M l B B Q 1 g t M X Z U a z Z x W G x h R T Z V b T Y 1 Q W g 3 V X l 1 V W d m T k h h b 2 4 t R k h K L 0 F 1 d G 9 S Z W 1 v d m V k Q 2 9 s d W 1 u c z E u e 0 N s Y X N z T m F t Z S w y f S Z x d W 9 0 O y w m c X V v d D t T Z W N 0 a W 9 u M S 9 o d H R w c z p c X C 9 c X C 9 k b 2 N z I G d v b 2 d s Z S B j b 2 1 c X C 9 z c H J l Y W R z a G V l d H N c X C 9 k X F w v Z V x c L z J Q Q U N Y L T F 2 V G s 2 c V h s Y U U 2 V W 0 2 N U F o N 1 V 5 d V V n Z k 5 I Y W 9 u L U Z I S i 9 B d X R v U m V t b 3 Z l Z E N v b H V t b n M x L n t J Z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o d H R w c z p c X C 9 c X C 9 k b 2 N z I G d v b 2 d s Z S B j b 2 1 c X C 9 z c H J l Y W R z a G V l d H N c X C 9 k X F w v Z V x c L z J Q Q U N Y L T F 2 V G s 2 c V h s Y U U 2 V W 0 2 N U F o N 1 V 5 d V V n Z k 5 I Y W 9 u L U Z I S i 9 B d X R v U m V t b 3 Z l Z E N v b H V t b n M x L n t D Y X B 0 a W 9 u L D B 9 J n F 1 b 3 Q 7 L C Z x d W 9 0 O 1 N l Y 3 R p b 2 4 x L 2 h 0 d H B z O l x c L 1 x c L 2 R v Y 3 M g Z 2 9 v Z 2 x l I G N v b V x c L 3 N w c m V h Z H N o Z W V 0 c 1 x c L 2 R c X C 9 l X F w v M l B B Q 1 g t M X Z U a z Z x W G x h R T Z V b T Y 1 Q W g 3 V X l 1 V W d m T k h h b 2 4 t R k h K L 0 F 1 d G 9 S Z W 1 v d m V k Q 2 9 s d W 1 u c z E u e 1 N v d X J j Z S w x f S Z x d W 9 0 O y w m c X V v d D t T Z W N 0 a W 9 u M S 9 o d H R w c z p c X C 9 c X C 9 k b 2 N z I G d v b 2 d s Z S B j b 2 1 c X C 9 z c H J l Y W R z a G V l d H N c X C 9 k X F w v Z V x c L z J Q Q U N Y L T F 2 V G s 2 c V h s Y U U 2 V W 0 2 N U F o N 1 V 5 d V V n Z k 5 I Y W 9 u L U Z I S i 9 B d X R v U m V t b 3 Z l Z E N v b H V t b n M x L n t D b G F z c 0 5 h b W U s M n 0 m c X V v d D s s J n F 1 b 3 Q 7 U 2 V j d G l v b j E v a H R 0 c H M 6 X F w v X F w v Z G 9 j c y B n b 2 9 n b G U g Y 2 9 t X F w v c 3 B y Z W F k c 2 h l Z X R z X F w v Z F x c L 2 V c X C 8 y U E F D W C 0 x d l R r N n F Y b G F F N l V t N j V B a D d V e X V V Z 2 Z O S G F v b i 1 G S E o v Q X V 0 b 1 J l b W 9 2 Z W R D b 2 x 1 b W 5 z M S 5 7 S W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h 0 d H B z J T N B J T J G J T J G Z G 9 j c y U y M G d v b 2 d s Z S U y M G N v b S U y R n N w c m V h Z H N o Z W V 0 c y U y R m Q l M k Z l J T J G M l B B Q 1 g t M X Z U a z Z x W G x h R T Z V b T Y 1 Q W g 3 V X l 1 V W d m T k h h b 2 4 t R k h K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Q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j M w N m V i N D E t M m E y Z i 0 0 Y m U 4 L W I z N j I t O T M z O G R h M D E 5 Z j V j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O Y X Z p Z 2 F 0 a W 9 u U 3 R l c E 5 h b W U i I F Z h b H V l P S J z T m F 2 Z W d h w 6 f D o 2 8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M z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E t M T h U M j A 6 N T g 6 M j I u M z Y 3 M j Q x N F o i I C 8 + P E V u d H J 5 I F R 5 c G U 9 I k Z p b G x D b 2 x 1 b W 5 U e X B l c y I g V m F s d W U 9 I n N C Z 0 1 H Q l E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A o N C k v V G l w b y B B b H R l c m F k b y 5 7 Q 2 9 s d W 1 u M S w w f S Z x d W 9 0 O y w m c X V v d D t T Z W N 0 a W 9 u M S 9 U Y W J s Z S A w I C g 0 K S 9 U a X B v I E F s d G V y Y W R v L n t D b 2 x 1 b W 4 y L D F 9 J n F 1 b 3 Q 7 L C Z x d W 9 0 O 1 N l Y 3 R p b 2 4 x L 1 R h Y m x l I D A g K D Q p L 1 R p c G 8 g Q W x 0 Z X J h Z G 8 u e 0 N v b H V t b j M s M n 0 m c X V v d D s s J n F 1 b 3 Q 7 U 2 V j d G l v b j E v V G F i b G U g M C A o N C k v V G l w b y B B b H R l c m F k b y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s Z S A w I C g 0 K S 9 U a X B v I E F s d G V y Y W R v L n t D b 2 x 1 b W 4 x L D B 9 J n F 1 b 3 Q 7 L C Z x d W 9 0 O 1 N l Y 3 R p b 2 4 x L 1 R h Y m x l I D A g K D Q p L 1 R p c G 8 g Q W x 0 Z X J h Z G 8 u e 0 N v b H V t b j I s M X 0 m c X V v d D s s J n F 1 b 3 Q 7 U 2 V j d G l v b j E v V G F i b G U g M C A o N C k v V G l w b y B B b H R l c m F k b y 5 7 Q 2 9 s d W 1 u M y w y f S Z x d W 9 0 O y w m c X V v d D t T Z W N 0 a W 9 u M S 9 U Y W J s Z S A w I C g 0 K S 9 U a X B v I E F s d G V y Y W R v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A l M j A o N C k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N C k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N C k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U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z E 2 N G U 4 M z U t Z G Y 2 Y S 0 0 M m J l L T h m Y z M t Z j E 2 N z Q 2 Y 2 U 1 N m M 4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U Y X J n Z X Q i I F Z h b H V l P S J z V G F i b G V f M F 9 f N S I g L z 4 8 R W 5 0 c n k g V H l w Z T 0 i R m l s b G V k Q 2 9 t c G x l d G V S Z X N 1 b H R U b 1 d v c m t z a G V l d C I g V m F s d W U 9 I m w x I i A v P j x F b n R y e S B U e X B l P S J G a W x s T G F z d F V w Z G F 0 Z W Q i I F Z h b H V l P S J k M j A y N S 0 w N y 0 z M F Q y M T o 0 O T o y M i 4 4 N T Q z O T Y 3 W i I g L z 4 8 R W 5 0 c n k g V H l w Z T 0 i R m l s b E V y c m 9 y Q 2 9 1 b n Q i I F Z h b H V l P S J s M C I g L z 4 8 R W 5 0 c n k g V H l w Z T 0 i R m l s b E N v b H V t b l R 5 c G V z I i B W Y W x 1 Z T 0 i c 0 J n T U d C U T 0 9 I i A v P j x F b n R y e S B U e X B l P S J G a W x s R X J y b 3 J D b 2 R l I i B W Y W x 1 Z T 0 i c 1 V u a 2 5 v d 2 4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D b 3 V u d C I g V m F s d W U 9 I m w z M S I g L z 4 8 R W 5 0 c n k g V H l w Z T 0 i R m l s b F N 0 Y X R 1 c y I g V m F s d W U 9 I n N D b 2 1 w b G V 0 Z S I g L z 4 8 R W 5 0 c n k g V H l w Z T 0 i Q W R k Z W R U b 0 R h d G F N b 2 R l b C I g V m F s d W U 9 I m w x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I C g 1 K S 9 U a X B v I E F s d G V y Y W R v L n t D b 2 x 1 b W 4 x L D B 9 J n F 1 b 3 Q 7 L C Z x d W 9 0 O 1 N l Y 3 R p b 2 4 x L 1 R h Y m x l I D A g K D U p L 1 R p c G 8 g Q W x 0 Z X J h Z G 8 u e 0 N v b H V t b j I s M X 0 m c X V v d D s s J n F 1 b 3 Q 7 U 2 V j d G l v b j E v V G F i b G U g M C A o N S k v V G l w b y B B b H R l c m F k b y 5 7 Q 2 9 s d W 1 u M y w y f S Z x d W 9 0 O y w m c X V v d D t T Z W N 0 a W 9 u M S 9 U Y W J s Z S A w I C g 1 K S 9 U a X B v I E F s d G V y Y W R v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R h Y m x l I D A g K D U p L 1 R p c G 8 g Q W x 0 Z X J h Z G 8 u e 0 N v b H V t b j E s M H 0 m c X V v d D s s J n F 1 b 3 Q 7 U 2 V j d G l v b j E v V G F i b G U g M C A o N S k v V G l w b y B B b H R l c m F k b y 5 7 Q 2 9 s d W 1 u M i w x f S Z x d W 9 0 O y w m c X V v d D t T Z W N 0 a W 9 u M S 9 U Y W J s Z S A w I C g 1 K S 9 U a X B v I E F s d G V y Y W R v L n t D b 2 x 1 b W 4 z L D J 9 J n F 1 b 3 Q 7 L C Z x d W 9 0 O 1 N l Y 3 R p b 2 4 x L 1 R h Y m x l I D A g K D U p L 1 R p c G 8 g Q W x 0 Z X J h Z G 8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J T I w M C U y M C g 1 K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1 K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1 K S 9 U a X B v J T I w Q W x 0 Z X J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m y r c I 2 Y Z 8 0 K r F A t A j l 0 C s w A A A A A C A A A A A A A Q Z g A A A A E A A C A A A A D N a G L t 6 I 6 8 M R p e 9 i F Z D I f 5 w / o g K A t e c + k H x o f h S c H w 0 Q A A A A A O g A A A A A I A A C A A A A A w o o v k 8 m o f 3 0 D s t F / t A r F Z W h P F 3 K p d 1 x p L 5 h W J v I y i x 1 A A A A D q x m r 9 p C 0 G 1 s p B a 6 / 3 m D E F u g j C a w k U b 0 M + l m k V J A + / Q Z p f L u 8 X B / b V + e i 9 3 g H v 4 W 5 g s Z I i r X F X H 8 + V k v p c T h T m H z u X q Q s b R j 5 3 M M t m R Q Z T D U A A A A D T H Y Q H q f B X r s 3 p 9 U z K J 8 c 4 M e 8 R p 7 c O P F F B H P C y 0 h d w i C t x k E K a E E h e o P q X L K N q V E r 9 l R u Q v t p g 4 v J U G E d a 8 c z Y < / D a t a M a s h u p > 
</file>

<file path=customXml/itemProps1.xml><?xml version="1.0" encoding="utf-8"?>
<ds:datastoreItem xmlns:ds="http://schemas.openxmlformats.org/officeDocument/2006/customXml" ds:itemID="{CEDF9F6E-97FE-44A8-BA16-5B9BC7DC525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15</vt:i4>
      </vt:variant>
      <vt:variant>
        <vt:lpstr>Intervalos Nomeados</vt:lpstr>
      </vt:variant>
      <vt:variant>
        <vt:i4>1</vt:i4>
      </vt:variant>
    </vt:vector>
  </HeadingPairs>
  <TitlesOfParts>
    <vt:vector size="16" baseType="lpstr">
      <vt:lpstr>Carteira ações</vt:lpstr>
      <vt:lpstr>Gestão carteira</vt:lpstr>
      <vt:lpstr>Transferência de recurso</vt:lpstr>
      <vt:lpstr>Bitcoin</vt:lpstr>
      <vt:lpstr>simulação poupança</vt:lpstr>
      <vt:lpstr>Ánalise Empresas</vt:lpstr>
      <vt:lpstr>Cotação real</vt:lpstr>
      <vt:lpstr>Carteira FIIs</vt:lpstr>
      <vt:lpstr>Carteira Recebíveis</vt:lpstr>
      <vt:lpstr>Div exterior</vt:lpstr>
      <vt:lpstr>Div Ações Brasil</vt:lpstr>
      <vt:lpstr>Div Renda Fixa</vt:lpstr>
      <vt:lpstr>P2P</vt:lpstr>
      <vt:lpstr>Evolução Dividendos</vt:lpstr>
      <vt:lpstr>Alocação por ativos</vt:lpstr>
      <vt:lpstr>'Carteira ações'!Area_de_impressao</vt:lpstr>
    </vt:vector>
  </TitlesOfParts>
  <Company>Petrobras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ANDRADE RIBEIRO</dc:creator>
  <cp:lastModifiedBy>Cesar</cp:lastModifiedBy>
  <dcterms:created xsi:type="dcterms:W3CDTF">2017-08-27T23:39:06Z</dcterms:created>
  <dcterms:modified xsi:type="dcterms:W3CDTF">2025-07-30T21:50:06Z</dcterms:modified>
</cp:coreProperties>
</file>