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I, Manažment, Ing\1. semester\Ekonometria\univerzitka\"/>
    </mc:Choice>
  </mc:AlternateContent>
  <bookViews>
    <workbookView xWindow="240" yWindow="255" windowWidth="20010" windowHeight="7710" activeTab="5"/>
  </bookViews>
  <sheets>
    <sheet name="cviko 1" sheetId="1" r:id="rId1"/>
    <sheet name="cviko 2 a 3" sheetId="2" r:id="rId2"/>
    <sheet name="cviko 4" sheetId="3" r:id="rId3"/>
    <sheet name="cviko 5" sheetId="4" r:id="rId4"/>
    <sheet name="cviko 6" sheetId="5" r:id="rId5"/>
    <sheet name="cviko 7 a" sheetId="6" r:id="rId6"/>
    <sheet name="cviko 7 b" sheetId="7" r:id="rId7"/>
    <sheet name="cviko8" sheetId="8" r:id="rId8"/>
    <sheet name="Cviko 9-11" sheetId="9" r:id="rId9"/>
  </sheets>
  <calcPr calcId="152511"/>
</workbook>
</file>

<file path=xl/calcChain.xml><?xml version="1.0" encoding="utf-8"?>
<calcChain xmlns="http://schemas.openxmlformats.org/spreadsheetml/2006/main">
  <c r="D120" i="9" l="1"/>
  <c r="D119" i="9"/>
  <c r="D118" i="9"/>
  <c r="D117" i="9"/>
  <c r="D116" i="9"/>
  <c r="D115" i="9"/>
  <c r="D114" i="9"/>
  <c r="D113" i="9"/>
  <c r="H114" i="9" s="1" a="1"/>
  <c r="H101" i="9" a="1"/>
  <c r="K105" i="9" s="1"/>
  <c r="S85" i="9"/>
  <c r="R85" i="9"/>
  <c r="R84" i="9"/>
  <c r="Q84" i="9"/>
  <c r="S83" i="9"/>
  <c r="Q83" i="9"/>
  <c r="S82" i="9"/>
  <c r="E61" i="9"/>
  <c r="E60" i="9"/>
  <c r="E59" i="9"/>
  <c r="E58" i="9"/>
  <c r="E57" i="9"/>
  <c r="E56" i="9"/>
  <c r="E55" i="9"/>
  <c r="C66" i="9" s="1" a="1"/>
  <c r="J118" i="9" l="1"/>
  <c r="I118" i="9"/>
  <c r="H118" i="9"/>
  <c r="J117" i="9"/>
  <c r="I117" i="9"/>
  <c r="H117" i="9"/>
  <c r="J116" i="9"/>
  <c r="I116" i="9"/>
  <c r="H116" i="9"/>
  <c r="J115" i="9"/>
  <c r="I115" i="9"/>
  <c r="H115" i="9"/>
  <c r="J114" i="9"/>
  <c r="I114" i="9"/>
  <c r="H114" i="9"/>
  <c r="H101" i="9"/>
  <c r="I101" i="9"/>
  <c r="J101" i="9"/>
  <c r="K101" i="9"/>
  <c r="H102" i="9"/>
  <c r="I102" i="9"/>
  <c r="J102" i="9"/>
  <c r="K102" i="9"/>
  <c r="H103" i="9"/>
  <c r="I103" i="9"/>
  <c r="J103" i="9"/>
  <c r="K103" i="9"/>
  <c r="H104" i="9"/>
  <c r="I104" i="9"/>
  <c r="J104" i="9"/>
  <c r="K104" i="9"/>
  <c r="H105" i="9"/>
  <c r="I105" i="9"/>
  <c r="J105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M85" i="9" s="1"/>
  <c r="Q85" i="9" s="1"/>
  <c r="C66" i="9"/>
  <c r="M82" i="9" s="1"/>
  <c r="Q82" i="9" s="1"/>
  <c r="M86" i="9" l="1"/>
  <c r="Q86" i="9" s="1"/>
  <c r="H61" i="9"/>
  <c r="D82" i="9" s="1"/>
  <c r="H60" i="9"/>
  <c r="D81" i="9" s="1"/>
  <c r="H59" i="9"/>
  <c r="D80" i="9" s="1"/>
  <c r="H58" i="9"/>
  <c r="D79" i="9" s="1"/>
  <c r="H57" i="9"/>
  <c r="D78" i="9" s="1"/>
  <c r="H56" i="9"/>
  <c r="D77" i="9" s="1"/>
  <c r="H55" i="9"/>
  <c r="K46" i="8" a="1"/>
  <c r="K47" i="8" s="1"/>
  <c r="K30" i="8" a="1"/>
  <c r="M30" i="8" s="1"/>
  <c r="L4" i="8" a="1"/>
  <c r="N4" i="8" s="1"/>
  <c r="P25" i="8" s="1"/>
  <c r="D76" i="9" l="1"/>
  <c r="F76" i="9" s="1" a="1"/>
  <c r="G66" i="9" a="1"/>
  <c r="L49" i="8"/>
  <c r="L47" i="8"/>
  <c r="K46" i="8"/>
  <c r="L48" i="8"/>
  <c r="L46" i="8"/>
  <c r="K48" i="8"/>
  <c r="K49" i="8"/>
  <c r="P33" i="8"/>
  <c r="X33" i="8"/>
  <c r="T33" i="8"/>
  <c r="L33" i="8"/>
  <c r="V32" i="8"/>
  <c r="R32" i="8"/>
  <c r="N32" i="8"/>
  <c r="X31" i="8"/>
  <c r="T31" i="8"/>
  <c r="P31" i="8"/>
  <c r="L31" i="8"/>
  <c r="V30" i="8"/>
  <c r="R30" i="8"/>
  <c r="N30" i="8"/>
  <c r="U33" i="8"/>
  <c r="M33" i="8"/>
  <c r="S32" i="8"/>
  <c r="O32" i="8"/>
  <c r="U31" i="8"/>
  <c r="M31" i="8"/>
  <c r="S30" i="8"/>
  <c r="K30" i="8"/>
  <c r="V33" i="8"/>
  <c r="R33" i="8"/>
  <c r="N33" i="8"/>
  <c r="X32" i="8"/>
  <c r="T32" i="8"/>
  <c r="P32" i="8"/>
  <c r="L32" i="8"/>
  <c r="V31" i="8"/>
  <c r="R31" i="8"/>
  <c r="N31" i="8"/>
  <c r="X30" i="8"/>
  <c r="T30" i="8"/>
  <c r="P30" i="8"/>
  <c r="L30" i="8"/>
  <c r="Q33" i="8"/>
  <c r="W32" i="8"/>
  <c r="K32" i="8"/>
  <c r="Q31" i="8"/>
  <c r="W30" i="8"/>
  <c r="O30" i="8"/>
  <c r="W33" i="8"/>
  <c r="S33" i="8"/>
  <c r="O33" i="8"/>
  <c r="K33" i="8"/>
  <c r="U32" i="8"/>
  <c r="Q32" i="8"/>
  <c r="M32" i="8"/>
  <c r="W31" i="8"/>
  <c r="S31" i="8"/>
  <c r="O31" i="8"/>
  <c r="K31" i="8"/>
  <c r="U30" i="8"/>
  <c r="Q30" i="8"/>
  <c r="O7" i="8"/>
  <c r="O4" i="8"/>
  <c r="P24" i="8" s="1"/>
  <c r="L8" i="8"/>
  <c r="L7" i="8"/>
  <c r="L6" i="8"/>
  <c r="L5" i="8"/>
  <c r="L4" i="8"/>
  <c r="P27" i="8" s="1"/>
  <c r="O6" i="8"/>
  <c r="M8" i="8"/>
  <c r="M7" i="8"/>
  <c r="M6" i="8"/>
  <c r="M5" i="8"/>
  <c r="M4" i="8"/>
  <c r="P26" i="8" s="1"/>
  <c r="O8" i="8"/>
  <c r="O5" i="8"/>
  <c r="N8" i="8"/>
  <c r="N7" i="8"/>
  <c r="N6" i="8"/>
  <c r="N5" i="8"/>
  <c r="J70" i="9" l="1"/>
  <c r="I70" i="9"/>
  <c r="H70" i="9"/>
  <c r="G70" i="9"/>
  <c r="J69" i="9"/>
  <c r="I69" i="9"/>
  <c r="H69" i="9"/>
  <c r="G69" i="9"/>
  <c r="J68" i="9"/>
  <c r="I68" i="9"/>
  <c r="H68" i="9"/>
  <c r="G68" i="9"/>
  <c r="J67" i="9"/>
  <c r="I67" i="9"/>
  <c r="H67" i="9"/>
  <c r="G67" i="9"/>
  <c r="J66" i="9"/>
  <c r="N86" i="9" s="1"/>
  <c r="R86" i="9" s="1"/>
  <c r="I66" i="9"/>
  <c r="N82" i="9" s="1"/>
  <c r="R82" i="9" s="1"/>
  <c r="H66" i="9"/>
  <c r="N83" i="9" s="1"/>
  <c r="R83" i="9" s="1"/>
  <c r="G66" i="9"/>
  <c r="N78" i="9" s="1"/>
  <c r="H80" i="9"/>
  <c r="G80" i="9"/>
  <c r="F80" i="9"/>
  <c r="H79" i="9"/>
  <c r="G79" i="9"/>
  <c r="F79" i="9"/>
  <c r="H78" i="9"/>
  <c r="G78" i="9"/>
  <c r="F78" i="9"/>
  <c r="H77" i="9"/>
  <c r="G77" i="9"/>
  <c r="F77" i="9"/>
  <c r="H76" i="9"/>
  <c r="O86" i="9" s="1"/>
  <c r="S86" i="9" s="1"/>
  <c r="G76" i="9"/>
  <c r="O84" i="9" s="1"/>
  <c r="S84" i="9" s="1"/>
  <c r="F76" i="9"/>
  <c r="O78" i="9" s="1"/>
  <c r="K36" i="8" a="1"/>
  <c r="V42" i="8" a="1"/>
  <c r="Q78" i="9" l="1" a="1"/>
  <c r="V44" i="8"/>
  <c r="V42" i="8"/>
  <c r="V43" i="8"/>
  <c r="V45" i="8"/>
  <c r="M36" i="8"/>
  <c r="K37" i="8"/>
  <c r="L39" i="8"/>
  <c r="N39" i="8"/>
  <c r="K39" i="8"/>
  <c r="N38" i="8"/>
  <c r="L37" i="8"/>
  <c r="M38" i="8"/>
  <c r="K38" i="8"/>
  <c r="N36" i="8"/>
  <c r="L36" i="8"/>
  <c r="M37" i="8"/>
  <c r="N37" i="8"/>
  <c r="K36" i="8"/>
  <c r="L38" i="8"/>
  <c r="M39" i="8"/>
  <c r="S80" i="9" l="1"/>
  <c r="R80" i="9"/>
  <c r="Q80" i="9"/>
  <c r="S79" i="9"/>
  <c r="R79" i="9"/>
  <c r="Q79" i="9"/>
  <c r="S78" i="9"/>
  <c r="R78" i="9"/>
  <c r="Q78" i="9"/>
  <c r="P36" i="8" a="1"/>
  <c r="V49" i="8" a="1"/>
  <c r="V49" i="8" s="1"/>
  <c r="Q89" i="9" l="1" a="1"/>
  <c r="S93" i="9" s="1"/>
  <c r="V50" i="8"/>
  <c r="R36" i="8"/>
  <c r="P37" i="8"/>
  <c r="S37" i="8"/>
  <c r="Q37" i="8"/>
  <c r="R37" i="8"/>
  <c r="P39" i="8"/>
  <c r="S39" i="8"/>
  <c r="Q39" i="8"/>
  <c r="R39" i="8"/>
  <c r="P38" i="8"/>
  <c r="S38" i="8"/>
  <c r="Q38" i="8"/>
  <c r="R38" i="8"/>
  <c r="P36" i="8"/>
  <c r="S36" i="8"/>
  <c r="Q36" i="8"/>
  <c r="Q90" i="9" l="1"/>
  <c r="R91" i="9"/>
  <c r="S92" i="9"/>
  <c r="Q89" i="9"/>
  <c r="R90" i="9"/>
  <c r="S91" i="9"/>
  <c r="Q93" i="9"/>
  <c r="R89" i="9"/>
  <c r="S90" i="9"/>
  <c r="Q92" i="9"/>
  <c r="R93" i="9"/>
  <c r="S89" i="9"/>
  <c r="Q91" i="9"/>
  <c r="R92" i="9"/>
  <c r="P42" i="8" a="1"/>
  <c r="N50" i="8" a="1"/>
  <c r="N51" i="8" l="1"/>
  <c r="O52" i="8"/>
  <c r="O53" i="8"/>
  <c r="N53" i="8"/>
  <c r="O51" i="8"/>
  <c r="N52" i="8"/>
  <c r="O50" i="8"/>
  <c r="N50" i="8"/>
  <c r="R42" i="8"/>
  <c r="P43" i="8"/>
  <c r="Q43" i="8"/>
  <c r="S43" i="8"/>
  <c r="R43" i="8"/>
  <c r="S42" i="8"/>
  <c r="P42" i="8"/>
  <c r="Q42" i="8"/>
  <c r="P46" i="8" l="1" a="1"/>
  <c r="P47" i="8" l="1"/>
  <c r="P46" i="8"/>
  <c r="S46" i="8" s="1" a="1"/>
  <c r="Q46" i="8"/>
  <c r="Q47" i="8"/>
  <c r="K76" i="6"/>
  <c r="S47" i="8" l="1"/>
  <c r="T47" i="8"/>
  <c r="T46" i="8"/>
  <c r="S46" i="8"/>
  <c r="S71" i="6"/>
  <c r="S70" i="6"/>
  <c r="H17" i="6" a="1"/>
  <c r="H18" i="6" s="1"/>
  <c r="R50" i="8" l="1" a="1"/>
  <c r="H19" i="6"/>
  <c r="L18" i="6" s="1"/>
  <c r="H17" i="6"/>
  <c r="I20" i="6"/>
  <c r="L19" i="6" s="1"/>
  <c r="H21" i="6"/>
  <c r="I21" i="6"/>
  <c r="I19" i="6"/>
  <c r="I17" i="6"/>
  <c r="I18" i="6"/>
  <c r="H20" i="6"/>
  <c r="Y36" i="5"/>
  <c r="Y35" i="5"/>
  <c r="Y38" i="5" s="1"/>
  <c r="P3" i="5" a="1"/>
  <c r="R3" i="5" s="1"/>
  <c r="B21" i="5"/>
  <c r="B20" i="5"/>
  <c r="F6" i="5"/>
  <c r="S51" i="8" l="1"/>
  <c r="R51" i="8"/>
  <c r="R50" i="8"/>
  <c r="S50" i="8"/>
  <c r="H17" i="5"/>
  <c r="E23" i="6"/>
  <c r="P23" i="6" s="1"/>
  <c r="E27" i="6"/>
  <c r="P27" i="6" s="1"/>
  <c r="E31" i="6"/>
  <c r="P31" i="6" s="1"/>
  <c r="E35" i="6"/>
  <c r="P35" i="6" s="1"/>
  <c r="E21" i="6"/>
  <c r="P21" i="6" s="1"/>
  <c r="E25" i="6"/>
  <c r="P25" i="6" s="1"/>
  <c r="E29" i="6"/>
  <c r="P29" i="6" s="1"/>
  <c r="E33" i="6"/>
  <c r="P33" i="6" s="1"/>
  <c r="E19" i="6"/>
  <c r="P19" i="6" s="1"/>
  <c r="Q19" i="6" s="1"/>
  <c r="E20" i="6"/>
  <c r="P20" i="6" s="1"/>
  <c r="E24" i="6"/>
  <c r="P24" i="6" s="1"/>
  <c r="E28" i="6"/>
  <c r="P28" i="6" s="1"/>
  <c r="E32" i="6"/>
  <c r="P32" i="6" s="1"/>
  <c r="E36" i="6"/>
  <c r="P36" i="6" s="1"/>
  <c r="E34" i="6"/>
  <c r="P34" i="6" s="1"/>
  <c r="E22" i="6"/>
  <c r="P22" i="6" s="1"/>
  <c r="E26" i="6"/>
  <c r="P26" i="6" s="1"/>
  <c r="E30" i="6"/>
  <c r="P30" i="6" s="1"/>
  <c r="B17" i="5"/>
  <c r="S7" i="5"/>
  <c r="T6" i="5"/>
  <c r="P6" i="5"/>
  <c r="Q19" i="5" s="1"/>
  <c r="Q5" i="5"/>
  <c r="R4" i="5"/>
  <c r="S3" i="5"/>
  <c r="S8" i="5"/>
  <c r="T7" i="5"/>
  <c r="P7" i="5"/>
  <c r="Q6" i="5"/>
  <c r="R5" i="5"/>
  <c r="S4" i="5"/>
  <c r="T3" i="5"/>
  <c r="P3" i="5"/>
  <c r="Q3" i="5"/>
  <c r="L34" i="5" s="1"/>
  <c r="T33" i="5" s="1"/>
  <c r="U33" i="5" s="1"/>
  <c r="R8" i="5"/>
  <c r="T8" i="5"/>
  <c r="P8" i="5"/>
  <c r="Q7" i="5"/>
  <c r="R6" i="5"/>
  <c r="S5" i="5"/>
  <c r="T4" i="5"/>
  <c r="P4" i="5"/>
  <c r="Q8" i="5"/>
  <c r="R7" i="5"/>
  <c r="S6" i="5"/>
  <c r="T5" i="5"/>
  <c r="P5" i="5"/>
  <c r="Q18" i="5" s="1"/>
  <c r="Q4" i="5"/>
  <c r="C17" i="5"/>
  <c r="G17" i="5"/>
  <c r="E17" i="5"/>
  <c r="I17" i="5"/>
  <c r="F17" i="5"/>
  <c r="D17" i="5"/>
  <c r="R54" i="8" l="1" a="1"/>
  <c r="R54" i="8" s="1"/>
  <c r="R56" i="8"/>
  <c r="R55" i="8"/>
  <c r="R57" i="8"/>
  <c r="R34" i="6"/>
  <c r="S34" i="6"/>
  <c r="Q34" i="6"/>
  <c r="Q29" i="6"/>
  <c r="S29" i="6"/>
  <c r="R29" i="6"/>
  <c r="S36" i="6"/>
  <c r="R36" i="6"/>
  <c r="Q36" i="6"/>
  <c r="S32" i="6"/>
  <c r="R32" i="6"/>
  <c r="Q32" i="6"/>
  <c r="Q21" i="6"/>
  <c r="S21" i="6"/>
  <c r="R21" i="6"/>
  <c r="Q23" i="6"/>
  <c r="R23" i="6"/>
  <c r="S23" i="6"/>
  <c r="S24" i="6"/>
  <c r="R24" i="6"/>
  <c r="Q24" i="6"/>
  <c r="Q31" i="6"/>
  <c r="R31" i="6"/>
  <c r="S31" i="6"/>
  <c r="R30" i="6"/>
  <c r="S30" i="6"/>
  <c r="Q30" i="6"/>
  <c r="S20" i="6"/>
  <c r="Q20" i="6"/>
  <c r="R20" i="6"/>
  <c r="Q25" i="6"/>
  <c r="S25" i="6"/>
  <c r="R25" i="6"/>
  <c r="Q27" i="6"/>
  <c r="R27" i="6"/>
  <c r="S27" i="6"/>
  <c r="R26" i="6"/>
  <c r="S26" i="6"/>
  <c r="Q26" i="6"/>
  <c r="R22" i="6"/>
  <c r="S22" i="6"/>
  <c r="Q22" i="6"/>
  <c r="S28" i="6"/>
  <c r="R28" i="6"/>
  <c r="Q28" i="6"/>
  <c r="Q33" i="6"/>
  <c r="S33" i="6"/>
  <c r="R33" i="6"/>
  <c r="Q35" i="6"/>
  <c r="R35" i="6"/>
  <c r="S35" i="6"/>
  <c r="L24" i="5"/>
  <c r="T23" i="5" s="1"/>
  <c r="U23" i="5" s="1"/>
  <c r="L25" i="5"/>
  <c r="T24" i="5" s="1"/>
  <c r="U24" i="5" s="1"/>
  <c r="L22" i="5"/>
  <c r="T21" i="5" s="1"/>
  <c r="U21" i="5" s="1"/>
  <c r="L23" i="5"/>
  <c r="T22" i="5" s="1"/>
  <c r="U22" i="5" s="1"/>
  <c r="L27" i="5"/>
  <c r="T26" i="5" s="1"/>
  <c r="U26" i="5" s="1"/>
  <c r="L28" i="5"/>
  <c r="T27" i="5" s="1"/>
  <c r="U27" i="5" s="1"/>
  <c r="L29" i="5"/>
  <c r="T28" i="5" s="1"/>
  <c r="U28" i="5" s="1"/>
  <c r="L26" i="5"/>
  <c r="T25" i="5" s="1"/>
  <c r="U25" i="5" s="1"/>
  <c r="L31" i="5"/>
  <c r="T30" i="5" s="1"/>
  <c r="U30" i="5" s="1"/>
  <c r="L32" i="5"/>
  <c r="T31" i="5" s="1"/>
  <c r="U31" i="5" s="1"/>
  <c r="L33" i="5"/>
  <c r="T32" i="5" s="1"/>
  <c r="U32" i="5" s="1"/>
  <c r="L30" i="5"/>
  <c r="T29" i="5" s="1"/>
  <c r="U29" i="5" s="1"/>
  <c r="L20" i="5"/>
  <c r="T19" i="5" s="1"/>
  <c r="U19" i="5" s="1"/>
  <c r="L21" i="5"/>
  <c r="T20" i="5" s="1"/>
  <c r="U20" i="5" s="1"/>
  <c r="R41" i="4"/>
  <c r="Q41" i="4"/>
  <c r="F4" i="4" a="1"/>
  <c r="F5" i="4" s="1"/>
  <c r="W54" i="8" l="1" a="1"/>
  <c r="W55" i="8" s="1"/>
  <c r="Q37" i="6"/>
  <c r="R37" i="6"/>
  <c r="Q39" i="6" s="1"/>
  <c r="Q41" i="6" s="1"/>
  <c r="S37" i="6"/>
  <c r="F8" i="4"/>
  <c r="F6" i="4"/>
  <c r="F4" i="4"/>
  <c r="G8" i="4"/>
  <c r="G6" i="4"/>
  <c r="G4" i="4"/>
  <c r="G7" i="4"/>
  <c r="G5" i="4"/>
  <c r="F7" i="4"/>
  <c r="G19" i="3"/>
  <c r="O5" i="3"/>
  <c r="O4" i="3"/>
  <c r="N9" i="3"/>
  <c r="P8" i="3"/>
  <c r="O3" i="3" s="1"/>
  <c r="M7" i="3"/>
  <c r="O2" i="3" s="1"/>
  <c r="W54" i="8" l="1"/>
  <c r="W56" i="8"/>
  <c r="W57" i="8"/>
  <c r="K75" i="6"/>
  <c r="K77" i="6" s="1"/>
  <c r="Q40" i="6"/>
  <c r="L52" i="6"/>
  <c r="L56" i="6"/>
  <c r="L60" i="6"/>
  <c r="L64" i="6"/>
  <c r="K56" i="6"/>
  <c r="K60" i="6"/>
  <c r="K64" i="6"/>
  <c r="K52" i="6"/>
  <c r="K58" i="6"/>
  <c r="K62" i="6"/>
  <c r="K50" i="6"/>
  <c r="K54" i="6"/>
  <c r="L51" i="6"/>
  <c r="L55" i="6"/>
  <c r="L59" i="6"/>
  <c r="L63" i="6"/>
  <c r="K55" i="6"/>
  <c r="K59" i="6"/>
  <c r="K63" i="6"/>
  <c r="K51" i="6"/>
  <c r="L49" i="6"/>
  <c r="L53" i="6"/>
  <c r="L57" i="6"/>
  <c r="L61" i="6"/>
  <c r="L48" i="6"/>
  <c r="K57" i="6"/>
  <c r="K61" i="6"/>
  <c r="K49" i="6"/>
  <c r="K53" i="6"/>
  <c r="L50" i="6"/>
  <c r="L54" i="6"/>
  <c r="L58" i="6"/>
  <c r="L62" i="6"/>
  <c r="K48" i="6"/>
  <c r="H25" i="4"/>
  <c r="H23" i="4"/>
  <c r="H26" i="4"/>
  <c r="I6" i="4"/>
  <c r="M26" i="4" s="1"/>
  <c r="I10" i="4"/>
  <c r="M30" i="4" s="1"/>
  <c r="O30" i="4" s="1"/>
  <c r="I14" i="4"/>
  <c r="M34" i="4" s="1"/>
  <c r="I3" i="4"/>
  <c r="M23" i="4" s="1"/>
  <c r="N23" i="4" s="1"/>
  <c r="I7" i="4"/>
  <c r="M27" i="4" s="1"/>
  <c r="O27" i="4" s="1"/>
  <c r="I11" i="4"/>
  <c r="M31" i="4" s="1"/>
  <c r="I15" i="4"/>
  <c r="M35" i="4" s="1"/>
  <c r="O35" i="4" s="1"/>
  <c r="I4" i="4"/>
  <c r="M24" i="4" s="1"/>
  <c r="O24" i="4" s="1"/>
  <c r="I8" i="4"/>
  <c r="M28" i="4" s="1"/>
  <c r="O28" i="4" s="1"/>
  <c r="I12" i="4"/>
  <c r="M32" i="4" s="1"/>
  <c r="O32" i="4" s="1"/>
  <c r="I16" i="4"/>
  <c r="M36" i="4" s="1"/>
  <c r="O36" i="4" s="1"/>
  <c r="I5" i="4"/>
  <c r="M25" i="4" s="1"/>
  <c r="O25" i="4" s="1"/>
  <c r="I9" i="4"/>
  <c r="M29" i="4" s="1"/>
  <c r="O29" i="4" s="1"/>
  <c r="I13" i="4"/>
  <c r="M33" i="4" s="1"/>
  <c r="O33" i="4" s="1"/>
  <c r="I17" i="4"/>
  <c r="M37" i="4" s="1"/>
  <c r="O37" i="4" s="1"/>
  <c r="F24" i="2"/>
  <c r="F40" i="2" s="1"/>
  <c r="G18" i="3"/>
  <c r="C23" i="3"/>
  <c r="C22" i="3"/>
  <c r="C16" i="3"/>
  <c r="C15" i="3"/>
  <c r="L14" i="3"/>
  <c r="L13" i="3"/>
  <c r="O26" i="4" l="1"/>
  <c r="O31" i="4"/>
  <c r="I51" i="6" a="1"/>
  <c r="O34" i="4"/>
  <c r="P34" i="4" s="1"/>
  <c r="K79" i="6"/>
  <c r="L78" i="6"/>
  <c r="L76" i="6"/>
  <c r="E23" i="3"/>
  <c r="P25" i="4"/>
  <c r="N25" i="4"/>
  <c r="Q25" i="4"/>
  <c r="F43" i="2"/>
  <c r="P29" i="4"/>
  <c r="N29" i="4"/>
  <c r="Q29" i="4"/>
  <c r="N28" i="4"/>
  <c r="Q28" i="4"/>
  <c r="P28" i="4"/>
  <c r="N27" i="4"/>
  <c r="Q27" i="4"/>
  <c r="P27" i="4"/>
  <c r="Q26" i="4"/>
  <c r="P26" i="4"/>
  <c r="N26" i="4"/>
  <c r="P37" i="4"/>
  <c r="N37" i="4"/>
  <c r="Q37" i="4"/>
  <c r="N36" i="4"/>
  <c r="Q36" i="4"/>
  <c r="P36" i="4"/>
  <c r="N35" i="4"/>
  <c r="Q35" i="4"/>
  <c r="P35" i="4"/>
  <c r="Q34" i="4"/>
  <c r="N34" i="4"/>
  <c r="F39" i="2"/>
  <c r="Q24" i="4"/>
  <c r="N24" i="4"/>
  <c r="P24" i="4"/>
  <c r="F47" i="2"/>
  <c r="P33" i="4"/>
  <c r="N33" i="4"/>
  <c r="Q33" i="4"/>
  <c r="N32" i="4"/>
  <c r="Q32" i="4"/>
  <c r="P32" i="4"/>
  <c r="N31" i="4"/>
  <c r="Q31" i="4"/>
  <c r="P31" i="4"/>
  <c r="Q30" i="4"/>
  <c r="P30" i="4"/>
  <c r="N30" i="4"/>
  <c r="E16" i="3"/>
  <c r="N14" i="3"/>
  <c r="F46" i="2"/>
  <c r="F42" i="2"/>
  <c r="F45" i="2"/>
  <c r="F41" i="2"/>
  <c r="F44" i="2"/>
  <c r="J52" i="6" l="1"/>
  <c r="J53" i="6"/>
  <c r="I51" i="6"/>
  <c r="F70" i="6" s="1"/>
  <c r="F71" i="6" s="1"/>
  <c r="J55" i="6"/>
  <c r="I53" i="6"/>
  <c r="I54" i="6"/>
  <c r="J51" i="6"/>
  <c r="J54" i="6"/>
  <c r="I52" i="6"/>
  <c r="I55" i="6"/>
  <c r="K30" i="4"/>
  <c r="Q38" i="4"/>
  <c r="K35" i="4"/>
  <c r="L39" i="4" s="1"/>
  <c r="H21" i="2" a="1"/>
  <c r="I21" i="2" s="1"/>
  <c r="H5" i="2" a="1"/>
  <c r="J5" i="2" s="1"/>
  <c r="L21" i="1" a="1"/>
  <c r="N21" i="1" s="1"/>
  <c r="J4" i="1" a="1"/>
  <c r="L4" i="1" s="1"/>
  <c r="M47" i="6" l="1"/>
  <c r="O47" i="6" s="1"/>
  <c r="P47" i="6" s="1"/>
  <c r="G70" i="6"/>
  <c r="G71" i="6" s="1"/>
  <c r="L41" i="4"/>
  <c r="M56" i="6"/>
  <c r="O56" i="6" s="1"/>
  <c r="M55" i="6"/>
  <c r="O55" i="6" s="1"/>
  <c r="M54" i="6"/>
  <c r="O54" i="6" s="1"/>
  <c r="M53" i="6"/>
  <c r="O53" i="6" s="1"/>
  <c r="M58" i="6"/>
  <c r="O58" i="6" s="1"/>
  <c r="M63" i="6"/>
  <c r="O63" i="6" s="1"/>
  <c r="M61" i="6"/>
  <c r="O61" i="6" s="1"/>
  <c r="M52" i="6"/>
  <c r="O52" i="6" s="1"/>
  <c r="M51" i="6"/>
  <c r="O51" i="6" s="1"/>
  <c r="M49" i="6"/>
  <c r="O49" i="6" s="1"/>
  <c r="M48" i="6"/>
  <c r="O48" i="6" s="1"/>
  <c r="M60" i="6"/>
  <c r="O60" i="6" s="1"/>
  <c r="M59" i="6"/>
  <c r="O59" i="6" s="1"/>
  <c r="M57" i="6"/>
  <c r="O57" i="6" s="1"/>
  <c r="M64" i="6"/>
  <c r="O64" i="6" s="1"/>
  <c r="M62" i="6"/>
  <c r="O62" i="6" s="1"/>
  <c r="M50" i="6"/>
  <c r="O50" i="6" s="1"/>
  <c r="H25" i="2"/>
  <c r="J23" i="2"/>
  <c r="I22" i="2"/>
  <c r="H21" i="2"/>
  <c r="J24" i="2"/>
  <c r="I23" i="2"/>
  <c r="H22" i="2"/>
  <c r="J25" i="2"/>
  <c r="I24" i="2"/>
  <c r="H23" i="2"/>
  <c r="J21" i="2"/>
  <c r="I25" i="2"/>
  <c r="H24" i="2"/>
  <c r="J22" i="2"/>
  <c r="M7" i="2"/>
  <c r="N6" i="2"/>
  <c r="O5" i="2"/>
  <c r="J7" i="2"/>
  <c r="K6" i="2"/>
  <c r="O7" i="2"/>
  <c r="K7" i="2"/>
  <c r="P6" i="2"/>
  <c r="L6" i="2"/>
  <c r="H6" i="2"/>
  <c r="M5" i="2"/>
  <c r="I5" i="2"/>
  <c r="I7" i="2"/>
  <c r="J6" i="2"/>
  <c r="K5" i="2"/>
  <c r="N7" i="2"/>
  <c r="O6" i="2"/>
  <c r="P5" i="2"/>
  <c r="L5" i="2"/>
  <c r="H5" i="2"/>
  <c r="P7" i="2"/>
  <c r="L7" i="2"/>
  <c r="H7" i="2"/>
  <c r="M6" i="2"/>
  <c r="I6" i="2"/>
  <c r="N5" i="2"/>
  <c r="N24" i="1"/>
  <c r="L22" i="1"/>
  <c r="N23" i="1"/>
  <c r="L21" i="1"/>
  <c r="M25" i="1"/>
  <c r="L24" i="1"/>
  <c r="N22" i="1"/>
  <c r="M21" i="1"/>
  <c r="M23" i="1"/>
  <c r="L25" i="1"/>
  <c r="M22" i="1"/>
  <c r="N25" i="1"/>
  <c r="M24" i="1"/>
  <c r="L23" i="1"/>
  <c r="S6" i="1"/>
  <c r="O6" i="1"/>
  <c r="K6" i="1"/>
  <c r="R5" i="1"/>
  <c r="N5" i="1"/>
  <c r="J5" i="1"/>
  <c r="Q4" i="1"/>
  <c r="M4" i="1"/>
  <c r="T6" i="1"/>
  <c r="L6" i="1"/>
  <c r="O5" i="1"/>
  <c r="R4" i="1"/>
  <c r="J4" i="1"/>
  <c r="Q6" i="1"/>
  <c r="M6" i="1"/>
  <c r="T5" i="1"/>
  <c r="P5" i="1"/>
  <c r="L5" i="1"/>
  <c r="S4" i="1"/>
  <c r="O4" i="1"/>
  <c r="K4" i="1"/>
  <c r="P6" i="1"/>
  <c r="S5" i="1"/>
  <c r="K5" i="1"/>
  <c r="N4" i="1"/>
  <c r="R6" i="1"/>
  <c r="N6" i="1"/>
  <c r="J6" i="1"/>
  <c r="Q5" i="1"/>
  <c r="M5" i="1"/>
  <c r="T4" i="1"/>
  <c r="P4" i="1"/>
  <c r="D57" i="6" l="1"/>
  <c r="D54" i="6"/>
  <c r="D51" i="6"/>
  <c r="D48" i="6"/>
  <c r="D49" i="6"/>
  <c r="D46" i="6"/>
  <c r="D62" i="6"/>
  <c r="D59" i="6"/>
  <c r="D56" i="6"/>
  <c r="D53" i="6"/>
  <c r="D50" i="6"/>
  <c r="D47" i="6"/>
  <c r="D45" i="6"/>
  <c r="D60" i="6"/>
  <c r="D61" i="6"/>
  <c r="D58" i="6"/>
  <c r="D55" i="6"/>
  <c r="D52" i="6"/>
  <c r="P48" i="6"/>
  <c r="R48" i="6"/>
  <c r="Q48" i="6"/>
  <c r="P60" i="6"/>
  <c r="Q60" i="6"/>
  <c r="R60" i="6"/>
  <c r="P53" i="6"/>
  <c r="Q53" i="6"/>
  <c r="R53" i="6"/>
  <c r="P64" i="6"/>
  <c r="Q64" i="6"/>
  <c r="R64" i="6"/>
  <c r="P61" i="6"/>
  <c r="Q61" i="6"/>
  <c r="R61" i="6"/>
  <c r="P54" i="6"/>
  <c r="R54" i="6"/>
  <c r="Q54" i="6"/>
  <c r="P62" i="6"/>
  <c r="R62" i="6"/>
  <c r="Q62" i="6"/>
  <c r="P52" i="6"/>
  <c r="Q52" i="6"/>
  <c r="R52" i="6"/>
  <c r="P57" i="6"/>
  <c r="Q57" i="6"/>
  <c r="R57" i="6"/>
  <c r="P49" i="6"/>
  <c r="Q49" i="6"/>
  <c r="R49" i="6"/>
  <c r="P63" i="6"/>
  <c r="R63" i="6"/>
  <c r="Q63" i="6"/>
  <c r="P55" i="6"/>
  <c r="R55" i="6"/>
  <c r="Q55" i="6"/>
  <c r="M23" i="2"/>
  <c r="P50" i="6"/>
  <c r="R50" i="6"/>
  <c r="Q50" i="6"/>
  <c r="P59" i="6"/>
  <c r="R59" i="6"/>
  <c r="Q59" i="6"/>
  <c r="P51" i="6"/>
  <c r="R51" i="6"/>
  <c r="Q51" i="6"/>
  <c r="P58" i="6"/>
  <c r="R58" i="6"/>
  <c r="Q58" i="6"/>
  <c r="P56" i="6"/>
  <c r="Q56" i="6"/>
  <c r="R56" i="6"/>
  <c r="O23" i="2"/>
  <c r="J11" i="1" a="1"/>
  <c r="N23" i="2"/>
  <c r="H10" i="2" a="1"/>
  <c r="Q65" i="6" l="1"/>
  <c r="R65" i="6"/>
  <c r="P65" i="6"/>
  <c r="L11" i="1"/>
  <c r="L13" i="1"/>
  <c r="K11" i="1"/>
  <c r="K12" i="1"/>
  <c r="J13" i="1"/>
  <c r="K13" i="1"/>
  <c r="L12" i="1"/>
  <c r="J12" i="1"/>
  <c r="J11" i="1"/>
  <c r="J10" i="2"/>
  <c r="H11" i="2"/>
  <c r="H12" i="2"/>
  <c r="H10" i="2"/>
  <c r="I12" i="2"/>
  <c r="I11" i="2"/>
  <c r="I10" i="2"/>
  <c r="J12" i="2"/>
  <c r="J11" i="2"/>
  <c r="P67" i="6" l="1"/>
  <c r="P68" i="6"/>
  <c r="N11" i="1" a="1"/>
  <c r="L10" i="2" a="1"/>
  <c r="P11" i="1" l="1"/>
  <c r="P13" i="1"/>
  <c r="O11" i="1"/>
  <c r="O12" i="1"/>
  <c r="N13" i="1"/>
  <c r="N12" i="1"/>
  <c r="P12" i="1"/>
  <c r="O13" i="1"/>
  <c r="N11" i="1"/>
  <c r="N10" i="2"/>
  <c r="L10" i="2"/>
  <c r="L12" i="2"/>
  <c r="N12" i="2"/>
  <c r="M11" i="2"/>
  <c r="L11" i="2"/>
  <c r="M10" i="2"/>
  <c r="M12" i="2"/>
  <c r="N11" i="2"/>
  <c r="J17" i="1" l="1" a="1"/>
  <c r="H16" i="2" a="1"/>
  <c r="L17" i="1" l="1"/>
  <c r="N17" i="1"/>
  <c r="J18" i="1"/>
  <c r="Q19" i="1"/>
  <c r="L18" i="1"/>
  <c r="S19" i="1"/>
  <c r="T19" i="1"/>
  <c r="N19" i="1"/>
  <c r="T17" i="1"/>
  <c r="J17" i="1"/>
  <c r="M17" i="1"/>
  <c r="M19" i="1"/>
  <c r="S17" i="1"/>
  <c r="K19" i="1"/>
  <c r="S18" i="1"/>
  <c r="J19" i="1"/>
  <c r="P17" i="1"/>
  <c r="R17" i="1"/>
  <c r="R18" i="1"/>
  <c r="O18" i="1"/>
  <c r="P18" i="1"/>
  <c r="K17" i="1"/>
  <c r="Q17" i="1"/>
  <c r="R19" i="1"/>
  <c r="M18" i="1"/>
  <c r="P19" i="1"/>
  <c r="O19" i="1"/>
  <c r="L19" i="1"/>
  <c r="T18" i="1"/>
  <c r="O17" i="1"/>
  <c r="N18" i="1"/>
  <c r="K18" i="1"/>
  <c r="Q18" i="1"/>
  <c r="J16" i="2"/>
  <c r="J18" i="2"/>
  <c r="L16" i="2"/>
  <c r="P17" i="2"/>
  <c r="I16" i="2"/>
  <c r="J17" i="2"/>
  <c r="L18" i="2"/>
  <c r="N16" i="2"/>
  <c r="N18" i="2"/>
  <c r="P16" i="2"/>
  <c r="K18" i="2"/>
  <c r="M16" i="2"/>
  <c r="N17" i="2"/>
  <c r="P18" i="2"/>
  <c r="I17" i="2"/>
  <c r="K17" i="2"/>
  <c r="O18" i="2"/>
  <c r="H17" i="2"/>
  <c r="I18" i="2"/>
  <c r="K16" i="2"/>
  <c r="M17" i="2"/>
  <c r="O17" i="2"/>
  <c r="H16" i="2"/>
  <c r="L17" i="2"/>
  <c r="M18" i="2"/>
  <c r="O16" i="2"/>
  <c r="H18" i="2"/>
  <c r="J22" i="1" l="1" a="1"/>
  <c r="E19" i="2" a="1"/>
  <c r="J24" i="1" l="1"/>
  <c r="J22" i="1"/>
  <c r="J23" i="1"/>
  <c r="E21" i="2"/>
  <c r="C27" i="2" s="1"/>
  <c r="E20" i="2"/>
  <c r="B27" i="2" s="1"/>
  <c r="E19" i="2"/>
  <c r="A27" i="2" s="1"/>
  <c r="E30" i="2" l="1"/>
  <c r="E34" i="2"/>
  <c r="E33" i="2"/>
  <c r="E28" i="2"/>
  <c r="E29" i="2"/>
  <c r="E35" i="2"/>
  <c r="E27" i="2"/>
  <c r="E31" i="2"/>
  <c r="E32" i="2"/>
  <c r="E43" i="2" l="1"/>
  <c r="F31" i="2"/>
  <c r="G31" i="2" s="1"/>
  <c r="G43" i="2"/>
  <c r="E40" i="2"/>
  <c r="F28" i="2"/>
  <c r="G40" i="2"/>
  <c r="E39" i="2"/>
  <c r="F27" i="2"/>
  <c r="G39" i="2"/>
  <c r="E45" i="2"/>
  <c r="F33" i="2"/>
  <c r="G33" i="2" s="1"/>
  <c r="G45" i="2"/>
  <c r="E47" i="2"/>
  <c r="F35" i="2"/>
  <c r="G47" i="2"/>
  <c r="E46" i="2"/>
  <c r="F34" i="2"/>
  <c r="G34" i="2" s="1"/>
  <c r="G46" i="2"/>
  <c r="E44" i="2"/>
  <c r="F32" i="2"/>
  <c r="G32" i="2" s="1"/>
  <c r="G44" i="2"/>
  <c r="E41" i="2"/>
  <c r="F29" i="2"/>
  <c r="G29" i="2" s="1"/>
  <c r="G41" i="2"/>
  <c r="E42" i="2"/>
  <c r="F30" i="2"/>
  <c r="G30" i="2" s="1"/>
  <c r="G42" i="2"/>
  <c r="G27" i="2"/>
  <c r="G28" i="2"/>
  <c r="G35" i="2"/>
  <c r="G48" i="2" l="1"/>
  <c r="F48" i="2"/>
  <c r="E48" i="2"/>
  <c r="J50" i="2" l="1"/>
  <c r="B31" i="2"/>
  <c r="B43" i="2" l="1"/>
  <c r="J53" i="2"/>
</calcChain>
</file>

<file path=xl/comments1.xml><?xml version="1.0" encoding="utf-8"?>
<comments xmlns="http://schemas.openxmlformats.org/spreadsheetml/2006/main">
  <authors>
    <author>Pieckong</author>
    <author>StudentKMnT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závislá veličina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nezávislá veličina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nezávislá veličina</t>
        </r>
      </text>
    </comment>
    <comment ref="H23" authorId="1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Koeficient determinácie
Porovnáva odhadované a skutočné hodnoty y a dosahuje hodnoty v rozsahu od 0 do 1. Ak má hodnotu 1, ide o dokonalú koreláciu a medzi odhadovanými a skutočnými hodnotami y nie je žiadny rozdiel. 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  <charset val="238"/>
          </rPr>
          <t>Pieckong</t>
        </r>
        <r>
          <rPr>
            <sz val="9"/>
            <color indexed="81"/>
            <rFont val="Tahoma"/>
            <family val="2"/>
            <charset val="238"/>
          </rPr>
          <t xml:space="preserve">
F statistika - hodnota
F-štatistika sa používa na určenie, či možno vzťah medzi závislými a nezávislými premennými považovať za náhodný.</t>
        </r>
      </text>
    </comment>
    <comment ref="I24" authorId="1" shapeId="0">
      <text>
        <r>
          <rPr>
            <b/>
            <sz val="9"/>
            <color indexed="81"/>
            <rFont val="Tahoma"/>
            <family val="2"/>
            <charset val="238"/>
          </rPr>
          <t>Pieckong</t>
        </r>
        <r>
          <rPr>
            <sz val="9"/>
            <color indexed="81"/>
            <rFont val="Tahoma"/>
            <family val="2"/>
            <charset val="238"/>
          </rPr>
          <t xml:space="preserve">
počet stupnov voľnosti   
DoF =n-k-1   =&gt;
 n=dof+k+1 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  <charset val="238"/>
          </rPr>
          <t>Pieckong</t>
        </r>
        <r>
          <rPr>
            <sz val="9"/>
            <color indexed="81"/>
            <rFont val="Tahoma"/>
            <family val="2"/>
            <charset val="238"/>
          </rPr>
          <t xml:space="preserve">
suma štvorcov regresná - vysvetlená variabilita - V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  <charset val="238"/>
          </rPr>
          <t>Pieckong</t>
        </r>
        <r>
          <rPr>
            <sz val="9"/>
            <color indexed="81"/>
            <rFont val="Tahoma"/>
            <family val="2"/>
            <charset val="238"/>
          </rPr>
          <t xml:space="preserve">
suma štvorcov reziduálna - nevysvetlená variabilita - N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počet pozorovaní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počet nezávyslých veličín</t>
        </r>
      </text>
    </comment>
  </commentList>
</comments>
</file>

<file path=xl/comments2.xml><?xml version="1.0" encoding="utf-8"?>
<comments xmlns="http://schemas.openxmlformats.org/spreadsheetml/2006/main">
  <authors>
    <author>Pieckong</author>
  </authors>
  <commentList>
    <comment ref="F5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počet nezávislých veličín (vysvetľujúcich) , 2 preto, lebo vektory b1, b2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Vysvetlena / Celkova , pričom C je sučet V + Nevysvetlena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počet stupňov voľnosti , počítam ako DoF=n-k-1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suma štvorcov regresná - vysvetlená variabilita - V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suma štvorcov reziduálna - nevysvetlená variabilita - N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b2 - nie je významný, pretože odchylka parametra s2 je väčšia ako samotný parameter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Ktorý model by sme vybrali ako lepší ? Najlepšie použiť korigovaný koeficient determinácie, pričom vyššia hodnota je lepšia</t>
        </r>
      </text>
    </comment>
  </commentList>
</comments>
</file>

<file path=xl/comments3.xml><?xml version="1.0" encoding="utf-8"?>
<comments xmlns="http://schemas.openxmlformats.org/spreadsheetml/2006/main">
  <authors>
    <author>Pieckong</author>
  </authors>
  <commentList>
    <comment ref="G8" authorId="0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suma štvorcov reziduálna - nevysvetlená variabilita - N
resp: suma odchylok reziduálna</t>
        </r>
      </text>
    </comment>
  </commentList>
</comments>
</file>

<file path=xl/comments4.xml><?xml version="1.0" encoding="utf-8"?>
<comments xmlns="http://schemas.openxmlformats.org/spreadsheetml/2006/main">
  <authors>
    <author>StudentKMnT</author>
    <author>Pieckong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  <charset val="238"/>
          </rPr>
          <t>StudentKMnT:</t>
        </r>
        <r>
          <rPr>
            <sz val="9"/>
            <color indexed="81"/>
            <rFont val="Tahoma"/>
            <family val="2"/>
            <charset val="238"/>
          </rPr>
          <t xml:space="preserve">
Ftest
</t>
        </r>
      </text>
    </comment>
    <comment ref="P41" authorId="1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potrebujeme na spätnú transformáciu dát po odstraneni autokorelacie</t>
        </r>
      </text>
    </comment>
    <comment ref="K46" authorId="1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Po transformacii cez ZMNS
</t>
        </r>
      </text>
    </comment>
    <comment ref="I49" authorId="1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Hodnoty funkcie LINEST po transformacii dat povodneho modelu</t>
        </r>
      </text>
    </comment>
    <comment ref="F59" authorId="1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Po transformacii cez ZMNS
</t>
        </r>
      </text>
    </comment>
    <comment ref="F61" authorId="1" shapeId="0">
      <text>
        <r>
          <rPr>
            <b/>
            <sz val="9"/>
            <color indexed="81"/>
            <rFont val="Tahoma"/>
            <family val="2"/>
            <charset val="238"/>
          </rPr>
          <t>Pieckong:</t>
        </r>
        <r>
          <rPr>
            <sz val="9"/>
            <color indexed="81"/>
            <rFont val="Tahoma"/>
            <family val="2"/>
            <charset val="238"/>
          </rPr>
          <t xml:space="preserve">
Po transformacii cez ZMNS
</t>
        </r>
      </text>
    </comment>
  </commentList>
</comments>
</file>

<file path=xl/comments5.xml><?xml version="1.0" encoding="utf-8"?>
<comments xmlns="http://schemas.openxmlformats.org/spreadsheetml/2006/main">
  <authors>
    <author>SPU</author>
  </authors>
  <commentList>
    <comment ref="K41" authorId="0" shapeId="0">
      <text>
        <r>
          <rPr>
            <b/>
            <sz val="9"/>
            <color indexed="81"/>
            <rFont val="Tahoma"/>
            <family val="2"/>
            <charset val="238"/>
          </rPr>
          <t>Počet predeterminovaných, ktoré sa v rovnici NEnachádzajú</t>
        </r>
      </text>
    </comment>
    <comment ref="L41" authorId="0" shapeId="0">
      <text>
        <r>
          <rPr>
            <b/>
            <sz val="9"/>
            <color indexed="81"/>
            <rFont val="Tahoma"/>
            <family val="2"/>
            <charset val="238"/>
          </rPr>
          <t>Počet endogénnych, ktoré sa v rovnici nachádzajú</t>
        </r>
      </text>
    </comment>
  </commentList>
</comments>
</file>

<file path=xl/sharedStrings.xml><?xml version="1.0" encoding="utf-8"?>
<sst xmlns="http://schemas.openxmlformats.org/spreadsheetml/2006/main" count="555" uniqueCount="380">
  <si>
    <t>rok</t>
  </si>
  <si>
    <t>spotreba</t>
  </si>
  <si>
    <t>spotreba mlieka</t>
  </si>
  <si>
    <t>cena(xt2)</t>
  </si>
  <si>
    <t>mzda(xt1)</t>
  </si>
  <si>
    <t>Transponovaná matica</t>
  </si>
  <si>
    <t>Inverzná matica</t>
  </si>
  <si>
    <t>Násobené matice (Transp X pôvodná)</t>
  </si>
  <si>
    <t>X'X</t>
  </si>
  <si>
    <t>Výsledok</t>
  </si>
  <si>
    <t>b0</t>
  </si>
  <si>
    <t>b1</t>
  </si>
  <si>
    <t>b2</t>
  </si>
  <si>
    <t>Yt</t>
  </si>
  <si>
    <t>X'</t>
  </si>
  <si>
    <t>X' * X</t>
  </si>
  <si>
    <t>(X' )-1</t>
  </si>
  <si>
    <t>Inverzná * transponovaná</t>
  </si>
  <si>
    <t>(((X' )-1)*X' ) * Yt</t>
  </si>
  <si>
    <t>OBRAT</t>
  </si>
  <si>
    <t>Príjem</t>
  </si>
  <si>
    <t>Cenový index</t>
  </si>
  <si>
    <t>t</t>
  </si>
  <si>
    <t>Tstat</t>
  </si>
  <si>
    <t>tj</t>
  </si>
  <si>
    <t>t0</t>
  </si>
  <si>
    <t>t1</t>
  </si>
  <si>
    <t>t2</t>
  </si>
  <si>
    <t>tj=bj/sbj</t>
  </si>
  <si>
    <t>(X' * X )-1</t>
  </si>
  <si>
    <t>((X' * X )-1)*X'</t>
  </si>
  <si>
    <t>LINEST</t>
  </si>
  <si>
    <t>b0+b1X1+b2X2</t>
  </si>
  <si>
    <t>Pt  (X1)</t>
  </si>
  <si>
    <t>Xt (X2)</t>
  </si>
  <si>
    <t>n</t>
  </si>
  <si>
    <t>k</t>
  </si>
  <si>
    <t>bj/sj</t>
  </si>
  <si>
    <t>ODHAD bj</t>
  </si>
  <si>
    <t>ODCHYLKY sj</t>
  </si>
  <si>
    <t>T test pocitane</t>
  </si>
  <si>
    <t>n-(k+1)</t>
  </si>
  <si>
    <t>T tab 0,05 ; 6</t>
  </si>
  <si>
    <t>Odhadnute Yt^</t>
  </si>
  <si>
    <t>R2=V/C</t>
  </si>
  <si>
    <t>V</t>
  </si>
  <si>
    <t>C</t>
  </si>
  <si>
    <t>et2</t>
  </si>
  <si>
    <t>R2 adj = 1 - [ (n-1)/ n-k-1  ] *  ( 1 - R2)</t>
  </si>
  <si>
    <t xml:space="preserve"> y e</t>
  </si>
  <si>
    <t>N</t>
  </si>
  <si>
    <t>C - celková</t>
  </si>
  <si>
    <t>V - vysvetlena veličina</t>
  </si>
  <si>
    <t>Výstup z linestu</t>
  </si>
  <si>
    <t>yt^=12,05+0,39xt1-0,12xt2</t>
  </si>
  <si>
    <t>Fr = (Rna 2 / k) / ((1-Rna 2) / (n-k-1))</t>
  </si>
  <si>
    <t>R2 korig</t>
  </si>
  <si>
    <t>Fr</t>
  </si>
  <si>
    <t>vyšla správne</t>
  </si>
  <si>
    <r>
      <rPr>
        <b/>
        <sz val="11"/>
        <color theme="1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charset val="238"/>
        <scheme val="minor"/>
      </rPr>
      <t>(s čiarou) priemer</t>
    </r>
  </si>
  <si>
    <t>V = sum(y^-y priemerna)2</t>
  </si>
  <si>
    <t>C = sum(y -y priemerna)2</t>
  </si>
  <si>
    <t>N = sum(y -y^)2</t>
  </si>
  <si>
    <t>1.spôsob</t>
  </si>
  <si>
    <t>2.spôsob</t>
  </si>
  <si>
    <t>b2 významný</t>
  </si>
  <si>
    <t>lebo t2 vyp &gt; t2 tab</t>
  </si>
  <si>
    <t>e - odchylka</t>
  </si>
  <si>
    <t>Regresná rovnica</t>
  </si>
  <si>
    <t>Je b2 štatisticky významný?</t>
  </si>
  <si>
    <t>Aký je počet pozorovaní ?</t>
  </si>
  <si>
    <t>Určite koeficient determinácie ?</t>
  </si>
  <si>
    <t>Je výnamný model ako celok ?</t>
  </si>
  <si>
    <t>1.</t>
  </si>
  <si>
    <t>2.</t>
  </si>
  <si>
    <t>3.</t>
  </si>
  <si>
    <t>4.</t>
  </si>
  <si>
    <t>Riešenie:</t>
  </si>
  <si>
    <t>n =počet stupňov voľnosti + k + 1</t>
  </si>
  <si>
    <t>k =</t>
  </si>
  <si>
    <t>tb2=b2^/sb2</t>
  </si>
  <si>
    <t>odhady</t>
  </si>
  <si>
    <t>odchylky</t>
  </si>
  <si>
    <t>NIE JE Významný</t>
  </si>
  <si>
    <t>Cez Ftest</t>
  </si>
  <si>
    <t>Ftab(0,05;2;5)</t>
  </si>
  <si>
    <t>Fr vyp</t>
  </si>
  <si>
    <t xml:space="preserve">Fr vyp &lt; Ftab </t>
  </si>
  <si>
    <t xml:space="preserve">H0 prijímam </t>
  </si>
  <si>
    <t>Model nie je významný</t>
  </si>
  <si>
    <t>Fr1</t>
  </si>
  <si>
    <t>Fr2</t>
  </si>
  <si>
    <t>R2adj1</t>
  </si>
  <si>
    <t>R2adj2</t>
  </si>
  <si>
    <t>PR5</t>
  </si>
  <si>
    <t>model1</t>
  </si>
  <si>
    <t>model2</t>
  </si>
  <si>
    <t>n1=n2=20</t>
  </si>
  <si>
    <t xml:space="preserve">k1=2  </t>
  </si>
  <si>
    <t>k2=5</t>
  </si>
  <si>
    <t>R21=0,76</t>
  </si>
  <si>
    <t>R22=0,80</t>
  </si>
  <si>
    <t>Vybrali by sme model č1</t>
  </si>
  <si>
    <t>R2adj1 &gt; R2adj2</t>
  </si>
  <si>
    <t>Ftab = 2,95</t>
  </si>
  <si>
    <t>F tab =3,59</t>
  </si>
  <si>
    <t>Transponovaná</t>
  </si>
  <si>
    <t>Transponovaná * pôvodná</t>
  </si>
  <si>
    <t>Inverzná</t>
  </si>
  <si>
    <t>Ftab(0,05;2;6)</t>
  </si>
  <si>
    <t>Model je významný</t>
  </si>
  <si>
    <t>H0 zamietam</t>
  </si>
  <si>
    <t>Fr &gt; Ftab</t>
  </si>
  <si>
    <t>Je model významný ?</t>
  </si>
  <si>
    <t>Vypočítajte koeficient determinácie ?</t>
  </si>
  <si>
    <t>N - nevysvetlená</t>
  </si>
  <si>
    <t>PR4</t>
  </si>
  <si>
    <t>Vypočítajte korigovaný koeficient determinácie ?</t>
  </si>
  <si>
    <t xml:space="preserve"> vyšiel dobre</t>
  </si>
  <si>
    <t>DoF =</t>
  </si>
  <si>
    <t>Rok</t>
  </si>
  <si>
    <t xml:space="preserve">Spotreba </t>
  </si>
  <si>
    <t xml:space="preserve"> Mzda</t>
  </si>
  <si>
    <t>Xt</t>
  </si>
  <si>
    <t>Reg. Rovnica</t>
  </si>
  <si>
    <t>Yt=229,48 + 0,012663Xt</t>
  </si>
  <si>
    <t>Yt^</t>
  </si>
  <si>
    <t>Fstat</t>
  </si>
  <si>
    <t>n=15</t>
  </si>
  <si>
    <t>k=1</t>
  </si>
  <si>
    <t>dof=13</t>
  </si>
  <si>
    <t>Ftab(0,05;1;13)</t>
  </si>
  <si>
    <t xml:space="preserve">Fvyp&gt;Ftab </t>
  </si>
  <si>
    <t>pre +</t>
  </si>
  <si>
    <t>pre -</t>
  </si>
  <si>
    <t>INT. Spolahlivosti</t>
  </si>
  <si>
    <t>tj1</t>
  </si>
  <si>
    <t>Ttab(0,05;13)</t>
  </si>
  <si>
    <t>Ttab(0,025;13)</t>
  </si>
  <si>
    <t>B1 je významný</t>
  </si>
  <si>
    <t>Odchylky</t>
  </si>
  <si>
    <t>et (Yt-Yt^)</t>
  </si>
  <si>
    <t>Sum et2</t>
  </si>
  <si>
    <t>D koef</t>
  </si>
  <si>
    <t>Sum (et-et1) na 2</t>
  </si>
  <si>
    <t>dl</t>
  </si>
  <si>
    <t>du</t>
  </si>
  <si>
    <t>4-du</t>
  </si>
  <si>
    <t>4-dl</t>
  </si>
  <si>
    <t xml:space="preserve"> je tam pozitívna autokorelácia</t>
  </si>
  <si>
    <t>D=0,566825</t>
  </si>
  <si>
    <t>preto model nemôžem použiť</t>
  </si>
  <si>
    <t>D koef je štatisticky odlišný od 0, model nemôžme prijať</t>
  </si>
  <si>
    <t>et-(et-1)</t>
  </si>
  <si>
    <t>(et-(et-1) )2</t>
  </si>
  <si>
    <t>et*(et-1)</t>
  </si>
  <si>
    <t>D test interval</t>
  </si>
  <si>
    <r>
      <rPr>
        <b/>
        <sz val="14"/>
        <color theme="1"/>
        <rFont val="Calibri"/>
        <family val="2"/>
        <charset val="238"/>
      </rPr>
      <t>ρ</t>
    </r>
    <r>
      <rPr>
        <b/>
        <sz val="11"/>
        <color theme="1"/>
        <rFont val="Calibri"/>
        <family val="2"/>
        <charset val="238"/>
      </rPr>
      <t xml:space="preserve"> koef</t>
    </r>
  </si>
  <si>
    <t>DoF</t>
  </si>
  <si>
    <t>r2</t>
  </si>
  <si>
    <t>Ftab</t>
  </si>
  <si>
    <t>1990-2008</t>
  </si>
  <si>
    <t>d</t>
  </si>
  <si>
    <t>19 období</t>
  </si>
  <si>
    <t>nevieme rozh</t>
  </si>
  <si>
    <t>príklad</t>
  </si>
  <si>
    <t>ponuka</t>
  </si>
  <si>
    <t>nXt</t>
  </si>
  <si>
    <t>priemer</t>
  </si>
  <si>
    <t>smer odch</t>
  </si>
  <si>
    <t>Príklad 2 - zadané Xt , zistite normované</t>
  </si>
  <si>
    <t>yt</t>
  </si>
  <si>
    <t>xt1</t>
  </si>
  <si>
    <t>xt2</t>
  </si>
  <si>
    <t>Yt odhadnute</t>
  </si>
  <si>
    <t>d=</t>
  </si>
  <si>
    <t>Fvyp=</t>
  </si>
  <si>
    <t>Dof</t>
  </si>
  <si>
    <t>model je vyznamny</t>
  </si>
  <si>
    <t>parametre</t>
  </si>
  <si>
    <t>vyznamne</t>
  </si>
  <si>
    <t>zistite či Xt2 sposobuje heteroskedasticitu ?</t>
  </si>
  <si>
    <t>et</t>
  </si>
  <si>
    <t>Xt2</t>
  </si>
  <si>
    <t>s1</t>
  </si>
  <si>
    <t>s2</t>
  </si>
  <si>
    <t>F2,1</t>
  </si>
  <si>
    <t>v</t>
  </si>
  <si>
    <t>F2,1 &lt; Ftab</t>
  </si>
  <si>
    <t>Pre Xt2 prijímam H0 - platí predpoklad o homoskedasticite modelu</t>
  </si>
  <si>
    <t xml:space="preserve">                          Cvičenie 8 </t>
  </si>
  <si>
    <t>Príklad 1:</t>
  </si>
  <si>
    <t xml:space="preserve">Na základe uvádzaného ekonometrickho modelu predpokladáme lineárnu závislosť veľkosti </t>
  </si>
  <si>
    <t>obratu danej firmy od celkového obratu odvetvia.</t>
  </si>
  <si>
    <t>Úlohy:</t>
  </si>
  <si>
    <t>1. Posúďte reálnosť tohto tvrdenia (frekvencia sledovania, mena, teda jednotky, ekonomické posúdenie).</t>
  </si>
  <si>
    <t>2. Kvantifikujte tento model, štatisticky verifikujte.</t>
  </si>
  <si>
    <t>3. Otestujte prítomnosť autokorelácie na základe Durbin - Watsonovho testu.</t>
  </si>
  <si>
    <t xml:space="preserve">4. V prípade prítomnosti autokorelácie aplikujte ZMNŠ (bez doplnenia prvých hodnôt). </t>
  </si>
  <si>
    <t>5. Posúďte mieru odstránenia autokorelácie.</t>
  </si>
  <si>
    <t>6. Dopočítajte chýbajúce hodnoty premenných, vytvorte spätnú transformáciu, vyhodnoťte.</t>
  </si>
  <si>
    <t>yt = obrat firmy</t>
  </si>
  <si>
    <t>xt = obrat odvetvia</t>
  </si>
  <si>
    <t>čas</t>
  </si>
  <si>
    <t>obrat</t>
  </si>
  <si>
    <t>obrat odvetvia</t>
  </si>
  <si>
    <t>xt</t>
  </si>
  <si>
    <t>Príklad 2:</t>
  </si>
  <si>
    <t>Daný je model: yt=b0+b1xt1+b2xt2+b3xt3+ut.</t>
  </si>
  <si>
    <t>Úlohy: 1) Na základe kvantifikovaného modelu dosaďte za premenné reálne ekonomické veličiny.</t>
  </si>
  <si>
    <t xml:space="preserve">          2) Overte správnosť alebo nesprávnosť môjho predpokladu o prítomnosti multikolinearity.</t>
  </si>
  <si>
    <t xml:space="preserve">          3) Ak ste potvrdili prítomnosť multikolinearity, pokúste sa ju odstrániť vhodnou metódou.</t>
  </si>
  <si>
    <t>xt3</t>
  </si>
  <si>
    <t>R2</t>
  </si>
  <si>
    <t>n=</t>
  </si>
  <si>
    <t>k=</t>
  </si>
  <si>
    <t>yt^</t>
  </si>
  <si>
    <t xml:space="preserve">Ftab </t>
  </si>
  <si>
    <t xml:space="preserve">Fr&gt;Ftab </t>
  </si>
  <si>
    <t>model je významný</t>
  </si>
  <si>
    <t>Suma</t>
  </si>
  <si>
    <t>et*et-1</t>
  </si>
  <si>
    <t>(et- et-1 )^2</t>
  </si>
  <si>
    <t xml:space="preserve"> D je medzi - neviem rozhodnuť</t>
  </si>
  <si>
    <t>ro^</t>
  </si>
  <si>
    <t>ro^ nove</t>
  </si>
  <si>
    <t>d nove</t>
  </si>
  <si>
    <t xml:space="preserve">D nove </t>
  </si>
  <si>
    <t>du &lt;</t>
  </si>
  <si>
    <t>&lt;  4-du</t>
  </si>
  <si>
    <t>tabelovane</t>
  </si>
  <si>
    <t>DORIESIT A POSLAT DO PIATKAVECER</t>
  </si>
  <si>
    <t>F test</t>
  </si>
  <si>
    <t>ODSTRANENIE AUTOKORELACIE</t>
  </si>
  <si>
    <t>AUTOKOLERÁCIA BOLA ODSTRANENA CEZ ZMNŠ</t>
  </si>
  <si>
    <t>ZMNŠ</t>
  </si>
  <si>
    <t>1-ro^</t>
  </si>
  <si>
    <r>
      <rPr>
        <b/>
        <vertAlign val="sub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b1</t>
    </r>
  </si>
  <si>
    <t>HODNOTY REZIDUI PO TRANFORMACII</t>
  </si>
  <si>
    <t xml:space="preserve">HODNOTY REZIDUI </t>
  </si>
  <si>
    <r>
      <rPr>
        <b/>
        <vertAlign val="sub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b0</t>
    </r>
  </si>
  <si>
    <r>
      <rPr>
        <b/>
        <vertAlign val="subscript"/>
        <sz val="11"/>
        <color theme="1"/>
        <rFont val="Calibri"/>
        <family val="2"/>
        <charset val="238"/>
      </rPr>
      <t>T</t>
    </r>
    <r>
      <rPr>
        <b/>
        <sz val="11"/>
        <color theme="1"/>
        <rFont val="Calibri"/>
        <family val="2"/>
        <charset val="238"/>
      </rPr>
      <t>Yz</t>
    </r>
  </si>
  <si>
    <r>
      <rPr>
        <b/>
        <vertAlign val="subscript"/>
        <sz val="12"/>
        <color theme="1"/>
        <rFont val="Calibri"/>
        <family val="2"/>
        <charset val="238"/>
        <scheme val="minor"/>
      </rPr>
      <t>T</t>
    </r>
    <r>
      <rPr>
        <b/>
        <sz val="12"/>
        <color theme="1"/>
        <rFont val="Calibri"/>
        <family val="2"/>
        <charset val="238"/>
        <scheme val="minor"/>
      </rPr>
      <t xml:space="preserve">Yz^= 43,38 + 0,18 </t>
    </r>
    <r>
      <rPr>
        <b/>
        <vertAlign val="subscript"/>
        <sz val="12"/>
        <color theme="1"/>
        <rFont val="Calibri"/>
        <family val="2"/>
        <charset val="238"/>
        <scheme val="minor"/>
      </rPr>
      <t>T</t>
    </r>
    <r>
      <rPr>
        <b/>
        <sz val="12"/>
        <color theme="1"/>
        <rFont val="Calibri"/>
        <family val="2"/>
        <charset val="238"/>
        <scheme val="minor"/>
      </rPr>
      <t>Xz</t>
    </r>
  </si>
  <si>
    <r>
      <rPr>
        <b/>
        <vertAlign val="subscript"/>
        <sz val="11"/>
        <color theme="1"/>
        <rFont val="Calibri"/>
        <family val="2"/>
        <charset val="238"/>
      </rPr>
      <t>T</t>
    </r>
    <r>
      <rPr>
        <b/>
        <sz val="11"/>
        <color theme="1"/>
        <rFont val="Calibri"/>
        <family val="2"/>
        <charset val="238"/>
      </rPr>
      <t>Xz</t>
    </r>
  </si>
  <si>
    <r>
      <rPr>
        <b/>
        <vertAlign val="sub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Yz^</t>
    </r>
  </si>
  <si>
    <r>
      <rPr>
        <b/>
        <vertAlign val="subscript"/>
        <sz val="11"/>
        <color theme="1"/>
        <rFont val="Calibri"/>
        <family val="2"/>
        <charset val="238"/>
      </rPr>
      <t>T</t>
    </r>
    <r>
      <rPr>
        <b/>
        <sz val="11"/>
        <color theme="1"/>
        <rFont val="Calibri"/>
        <family val="2"/>
        <charset val="238"/>
      </rPr>
      <t>Yz = -ro^* Y1 + Y2</t>
    </r>
  </si>
  <si>
    <r>
      <rPr>
        <b/>
        <vertAlign val="subscript"/>
        <sz val="11"/>
        <color theme="1"/>
        <rFont val="Calibri"/>
        <family val="2"/>
        <charset val="238"/>
      </rPr>
      <t>T</t>
    </r>
    <r>
      <rPr>
        <b/>
        <sz val="11"/>
        <color theme="1"/>
        <rFont val="Calibri"/>
        <family val="2"/>
        <charset val="238"/>
      </rPr>
      <t>Xz = -ro^*X1 + X2</t>
    </r>
  </si>
  <si>
    <r>
      <rPr>
        <b/>
        <vertAlign val="subscript"/>
        <sz val="11"/>
        <color theme="1"/>
        <rFont val="Calibri"/>
        <family val="2"/>
        <charset val="238"/>
      </rPr>
      <t>T</t>
    </r>
    <r>
      <rPr>
        <b/>
        <sz val="11"/>
        <color theme="1"/>
        <rFont val="Calibri"/>
        <family val="2"/>
        <charset val="238"/>
      </rPr>
      <t xml:space="preserve">Yz = </t>
    </r>
    <r>
      <rPr>
        <b/>
        <vertAlign val="subscript"/>
        <sz val="11"/>
        <color theme="1"/>
        <rFont val="Calibri"/>
        <family val="2"/>
        <charset val="238"/>
      </rPr>
      <t>T</t>
    </r>
    <r>
      <rPr>
        <b/>
        <sz val="11"/>
        <color theme="1"/>
        <rFont val="Calibri"/>
        <family val="2"/>
        <charset val="238"/>
      </rPr>
      <t xml:space="preserve">b0+ </t>
    </r>
    <r>
      <rPr>
        <b/>
        <vertAlign val="subscript"/>
        <sz val="11"/>
        <color theme="1"/>
        <rFont val="Calibri"/>
        <family val="2"/>
        <charset val="238"/>
      </rPr>
      <t>T</t>
    </r>
    <r>
      <rPr>
        <b/>
        <sz val="11"/>
        <color theme="1"/>
        <rFont val="Calibri"/>
        <family val="2"/>
        <charset val="238"/>
      </rPr>
      <t xml:space="preserve">b1 </t>
    </r>
    <r>
      <rPr>
        <b/>
        <vertAlign val="subscript"/>
        <sz val="11"/>
        <color theme="1"/>
        <rFont val="Calibri"/>
        <family val="2"/>
        <charset val="238"/>
      </rPr>
      <t>T</t>
    </r>
    <r>
      <rPr>
        <b/>
        <sz val="11"/>
        <color theme="1"/>
        <rFont val="Calibri"/>
        <family val="2"/>
        <charset val="238"/>
      </rPr>
      <t>Xz</t>
    </r>
  </si>
  <si>
    <t>Aby sme dostali pôvodny model, musime parametre modelu podeliť hodnotou 1 - ro^</t>
  </si>
  <si>
    <t>!!!!</t>
  </si>
  <si>
    <t>Trans</t>
  </si>
  <si>
    <t>Spätna trans</t>
  </si>
  <si>
    <t>Yt^= 51,63 + 0,21 Xt</t>
  </si>
  <si>
    <t>&gt;&gt;&gt;&gt;</t>
  </si>
  <si>
    <r>
      <t xml:space="preserve">Výsledný model </t>
    </r>
    <r>
      <rPr>
        <b/>
        <vertAlign val="subscript"/>
        <sz val="11"/>
        <color theme="1"/>
        <rFont val="Calibri"/>
        <family val="2"/>
        <charset val="238"/>
        <scheme val="minor"/>
      </rPr>
      <t>(asi)</t>
    </r>
  </si>
  <si>
    <t>hotovo v R-ku (c &amp; p )</t>
  </si>
  <si>
    <r>
      <rPr>
        <b/>
        <sz val="11"/>
        <color theme="1"/>
        <rFont val="Calibri"/>
        <family val="2"/>
        <charset val="238"/>
        <scheme val="minor"/>
      </rPr>
      <t>parametre významne</t>
    </r>
    <r>
      <rPr>
        <sz val="11"/>
        <color theme="1"/>
        <rFont val="Calibri"/>
        <family val="2"/>
        <charset val="238"/>
        <scheme val="minor"/>
      </rPr>
      <t xml:space="preserve"> - odchylky sú v porovnani s hodnotami param, veľmi malé</t>
    </r>
  </si>
  <si>
    <t>ro^ 2</t>
  </si>
  <si>
    <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t1</t>
    </r>
  </si>
  <si>
    <r>
      <rPr>
        <b/>
        <vertAlign val="sub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y</t>
    </r>
    <r>
      <rPr>
        <b/>
        <vertAlign val="subscript"/>
        <sz val="11"/>
        <color theme="1"/>
        <rFont val="Calibri"/>
        <family val="2"/>
        <charset val="238"/>
        <scheme val="minor"/>
      </rPr>
      <t>t1</t>
    </r>
    <r>
      <rPr>
        <b/>
        <sz val="11"/>
        <color theme="1"/>
        <rFont val="Calibri"/>
        <family val="2"/>
        <charset val="238"/>
        <scheme val="minor"/>
      </rPr>
      <t>*</t>
    </r>
  </si>
  <si>
    <r>
      <rPr>
        <b/>
        <vertAlign val="sub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x</t>
    </r>
    <r>
      <rPr>
        <b/>
        <vertAlign val="subscript"/>
        <sz val="11"/>
        <color theme="1"/>
        <rFont val="Calibri"/>
        <family val="2"/>
        <charset val="238"/>
        <scheme val="minor"/>
      </rPr>
      <t>t1</t>
    </r>
    <r>
      <rPr>
        <b/>
        <sz val="11"/>
        <color theme="1"/>
        <rFont val="Calibri"/>
        <family val="2"/>
        <charset val="238"/>
        <scheme val="minor"/>
      </rPr>
      <t>*</t>
    </r>
  </si>
  <si>
    <t xml:space="preserve"> vzorec na dopocitanie</t>
  </si>
  <si>
    <r>
      <t>x</t>
    </r>
    <r>
      <rPr>
        <b/>
        <vertAlign val="subscript"/>
        <sz val="11"/>
        <color theme="1"/>
        <rFont val="Calibri"/>
        <family val="2"/>
        <charset val="238"/>
        <scheme val="minor"/>
      </rPr>
      <t>t1</t>
    </r>
  </si>
  <si>
    <t>yt tra</t>
  </si>
  <si>
    <t xml:space="preserve">                             Cvičenie z Ekonometrie 9</t>
  </si>
  <si>
    <t xml:space="preserve">               Metóda najmenších štvorcov s vedľajšími podmienkami</t>
  </si>
  <si>
    <t xml:space="preserve">Je daný model: yt=b0+b1xt1+b2xt2+b3xt3+ut </t>
  </si>
  <si>
    <t xml:space="preserve">Úlohy: </t>
  </si>
  <si>
    <t xml:space="preserve">     1) Odhadnite parametre modelu JMNŠ s vedľajšími podmienkami, kde:      b1+b3=1</t>
  </si>
  <si>
    <t xml:space="preserve">                                                                                                                 b2/b1=3</t>
  </si>
  <si>
    <t xml:space="preserve">     a to priamou i nepriamou metódou.</t>
  </si>
  <si>
    <t xml:space="preserve">     2) Vyjadrite sa k štatistickej významnosti parametrov modelu.</t>
  </si>
  <si>
    <t xml:space="preserve">  </t>
  </si>
  <si>
    <t xml:space="preserve">Dáta: </t>
  </si>
  <si>
    <t>b3</t>
  </si>
  <si>
    <t>X</t>
  </si>
  <si>
    <r>
      <t xml:space="preserve">(X' * X) 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</si>
  <si>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t>G</t>
  </si>
  <si>
    <t>G'</t>
  </si>
  <si>
    <t>b^</t>
  </si>
  <si>
    <r>
      <t xml:space="preserve">G * (X' * X) 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</si>
  <si>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r>
      <t xml:space="preserve">G * (X' * X) 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-1  * </t>
    </r>
    <r>
      <rPr>
        <b/>
        <sz val="11"/>
        <color theme="1"/>
        <rFont val="Calibri"/>
        <family val="2"/>
        <charset val="238"/>
        <scheme val="minor"/>
      </rPr>
      <t>G'</t>
    </r>
  </si>
  <si>
    <r>
      <t xml:space="preserve">(G * (X' * X) 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-1  * </t>
    </r>
    <r>
      <rPr>
        <b/>
        <sz val="11"/>
        <color theme="1"/>
        <rFont val="Calibri"/>
        <family val="2"/>
        <charset val="238"/>
        <scheme val="minor"/>
      </rPr>
      <t xml:space="preserve">G' ) 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</si>
  <si>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t>g</t>
  </si>
  <si>
    <t>G*b^</t>
  </si>
  <si>
    <t>g-G*b^</t>
  </si>
  <si>
    <r>
      <t xml:space="preserve">(X' * X) 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-1 </t>
    </r>
    <r>
      <rPr>
        <b/>
        <sz val="11"/>
        <color theme="1"/>
        <rFont val="Calibri"/>
        <family val="2"/>
        <charset val="238"/>
        <scheme val="minor"/>
      </rPr>
      <t>*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G'</t>
    </r>
  </si>
  <si>
    <r>
      <t xml:space="preserve">(G * (X' * X) 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-1  * </t>
    </r>
    <r>
      <rPr>
        <b/>
        <sz val="11"/>
        <color theme="1"/>
        <rFont val="Calibri"/>
        <family val="2"/>
        <charset val="238"/>
        <scheme val="minor"/>
      </rPr>
      <t xml:space="preserve">G' ) 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-1  </t>
    </r>
    <r>
      <rPr>
        <b/>
        <sz val="11"/>
        <color theme="1"/>
        <rFont val="Calibri"/>
        <family val="2"/>
        <charset val="238"/>
        <scheme val="minor"/>
      </rPr>
      <t>*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  </t>
    </r>
    <r>
      <rPr>
        <b/>
        <sz val="11"/>
        <color theme="1"/>
        <rFont val="Calibri"/>
        <family val="2"/>
        <charset val="238"/>
        <scheme val="minor"/>
      </rPr>
      <t>g-G*b^</t>
    </r>
  </si>
  <si>
    <r>
      <t xml:space="preserve">(X' * X) -1 * G' * (G * (X' * X) 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-1  * </t>
    </r>
    <r>
      <rPr>
        <b/>
        <sz val="11"/>
        <color theme="1"/>
        <rFont val="Calibri"/>
        <family val="2"/>
        <charset val="238"/>
        <scheme val="minor"/>
      </rPr>
      <t xml:space="preserve">G' ) 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-1  </t>
    </r>
    <r>
      <rPr>
        <b/>
        <sz val="11"/>
        <color theme="1"/>
        <rFont val="Calibri"/>
        <family val="2"/>
        <charset val="238"/>
        <scheme val="minor"/>
      </rPr>
      <t>*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  </t>
    </r>
    <r>
      <rPr>
        <b/>
        <sz val="11"/>
        <color theme="1"/>
        <rFont val="Calibri"/>
        <family val="2"/>
        <charset val="238"/>
        <scheme val="minor"/>
      </rPr>
      <t>g-G*b^</t>
    </r>
  </si>
  <si>
    <t>FINAL</t>
  </si>
  <si>
    <t>bG^</t>
  </si>
  <si>
    <t>DORATANE</t>
  </si>
  <si>
    <t xml:space="preserve">                         Cvičenie 11 - Simultánny model</t>
  </si>
  <si>
    <t>rekurzívny / indepedentný model??</t>
  </si>
  <si>
    <t>Všetky premenné sú makroekonomickými veličinami, ročné dáta, obdobie sledovania je rok 2002 - 2009.</t>
  </si>
  <si>
    <t>skúška</t>
  </si>
  <si>
    <t>Máme daný simultánny ekonometrický model:</t>
  </si>
  <si>
    <t>streda o 9.00</t>
  </si>
  <si>
    <t>10.1.</t>
  </si>
  <si>
    <t>Postup pre 8. bod</t>
  </si>
  <si>
    <t>najprv si odhadnem parameter Yt3 (odhadnem tretiu rovnicu)</t>
  </si>
  <si>
    <t>potom si vyrátam prvú rovnicu</t>
  </si>
  <si>
    <t>1) Rozhodnite, ktoré premenné sú endogénne, ktoré predeterminované.</t>
  </si>
  <si>
    <t>2) Napíšte model v interpretačnom tvare.</t>
  </si>
  <si>
    <t>3) Zakreslite diagram vzťahov premenných.</t>
  </si>
  <si>
    <t>4) Je daný model rekurzívny alebo interdependentný?</t>
  </si>
  <si>
    <t>5) Napíšte maticu A, B, maticu redukovaných parametrov P (v tomto bode všeobecne, po kvantifikácii doplniť odhadnuté parametre).</t>
  </si>
  <si>
    <t>6) Identifikujte model.</t>
  </si>
  <si>
    <t>7) Kvantifikujte model na základe Vami zvolenej odhadovej metódy.</t>
  </si>
  <si>
    <t>Matica P</t>
  </si>
  <si>
    <r>
      <t xml:space="preserve">P = -B * A </t>
    </r>
    <r>
      <rPr>
        <vertAlign val="superscript"/>
        <sz val="10"/>
        <rFont val="Arial"/>
        <family val="2"/>
        <charset val="238"/>
      </rPr>
      <t>-1</t>
    </r>
  </si>
  <si>
    <t>8) Zmeňte v prvej rovnici Y(t-1),3 na Yt,3, následne kvantifikujte (prvú rovnicu, napísať ďalší postup). -#interdependentný model</t>
  </si>
  <si>
    <t>ut1</t>
  </si>
  <si>
    <t>9) Urobte záver.</t>
  </si>
  <si>
    <t>ut2</t>
  </si>
  <si>
    <t>ut3</t>
  </si>
  <si>
    <t>Dáta:</t>
  </si>
  <si>
    <t>matica A</t>
  </si>
  <si>
    <t>obdobie</t>
  </si>
  <si>
    <t>Yt1</t>
  </si>
  <si>
    <t>Yt2</t>
  </si>
  <si>
    <t>Yt3</t>
  </si>
  <si>
    <t>Xt1</t>
  </si>
  <si>
    <r>
      <t>Xt</t>
    </r>
    <r>
      <rPr>
        <vertAlign val="superscript"/>
        <sz val="10"/>
        <rFont val="Arial"/>
        <family val="2"/>
        <charset val="238"/>
      </rPr>
      <t>3</t>
    </r>
  </si>
  <si>
    <t xml:space="preserve"> b3</t>
  </si>
  <si>
    <t xml:space="preserve"> -c2</t>
  </si>
  <si>
    <t>Matica B</t>
  </si>
  <si>
    <t xml:space="preserve"> -a1</t>
  </si>
  <si>
    <t xml:space="preserve"> -b1</t>
  </si>
  <si>
    <t xml:space="preserve"> -b2</t>
  </si>
  <si>
    <t>Xt3</t>
  </si>
  <si>
    <t xml:space="preserve"> -c1</t>
  </si>
  <si>
    <t>Yt-1,3</t>
  </si>
  <si>
    <t xml:space="preserve"> -a2</t>
  </si>
  <si>
    <t xml:space="preserve"> -a0</t>
  </si>
  <si>
    <t xml:space="preserve"> -b0</t>
  </si>
  <si>
    <t xml:space="preserve"> -c0</t>
  </si>
  <si>
    <t>6)</t>
  </si>
  <si>
    <r>
      <t>K</t>
    </r>
    <r>
      <rPr>
        <sz val="9"/>
        <rFont val="Arial"/>
        <family val="2"/>
        <charset val="238"/>
      </rPr>
      <t>kk</t>
    </r>
    <r>
      <rPr>
        <sz val="10"/>
        <rFont val="Arial"/>
        <family val="2"/>
        <charset val="238"/>
      </rPr>
      <t xml:space="preserve"> = G</t>
    </r>
    <r>
      <rPr>
        <sz val="9"/>
        <rFont val="Arial"/>
        <family val="2"/>
        <charset val="238"/>
      </rPr>
      <t>g</t>
    </r>
    <r>
      <rPr>
        <sz val="10"/>
        <rFont val="Arial"/>
        <family val="2"/>
        <charset val="238"/>
      </rPr>
      <t xml:space="preserve"> - 1</t>
    </r>
  </si>
  <si>
    <t>Kkk</t>
  </si>
  <si>
    <t>Gg</t>
  </si>
  <si>
    <t>zaver</t>
  </si>
  <si>
    <t xml:space="preserve"> 2 &gt; 1 - 1</t>
  </si>
  <si>
    <t xml:space="preserve"> 2 &gt; 2 - 1</t>
  </si>
  <si>
    <t xml:space="preserve"> 3 &gt; 2 - 1</t>
  </si>
  <si>
    <t>odhad</t>
  </si>
  <si>
    <t>prva rovnica</t>
  </si>
  <si>
    <t>druha rovnica</t>
  </si>
  <si>
    <t>a1</t>
  </si>
  <si>
    <t>a2</t>
  </si>
  <si>
    <t>a0</t>
  </si>
  <si>
    <t xml:space="preserve"> -b3</t>
  </si>
  <si>
    <t>tretia rovnica</t>
  </si>
  <si>
    <t>c2</t>
  </si>
  <si>
    <t>c1</t>
  </si>
  <si>
    <t>c0</t>
  </si>
  <si>
    <t>Matica A</t>
  </si>
  <si>
    <t>Matica inverzná A</t>
  </si>
  <si>
    <t>Matica -B</t>
  </si>
  <si>
    <t>1) Endogénne - Yt1, Yt2, Yt3</t>
  </si>
  <si>
    <t>predeterminované - Xt1, Xt2, Xt3, Y(t-1),3</t>
  </si>
  <si>
    <t>2) (Yt1,Yt2,Yt3) * A + (Xt1, Xt2, Xt3, Y(t-1),3 = Ut1 + Ut2 + Ut3</t>
  </si>
  <si>
    <t>3)</t>
  </si>
  <si>
    <t xml:space="preserve">4) model je rekurzívny, lebo matica A je trojuholnikova. Inak by to bol Interdepedentný model </t>
  </si>
  <si>
    <t>Preidentifikovaný</t>
  </si>
  <si>
    <t>Preidentifikovaný model</t>
  </si>
  <si>
    <t>(každá rovnica je preidentifikovaná alebo presne identifikovaná</t>
  </si>
  <si>
    <t>7) Kvanitifikácia modelu</t>
  </si>
  <si>
    <t>postup dvojstupňová MNŠ</t>
  </si>
  <si>
    <t>Yt1 závisí od Yt3, a opačne</t>
  </si>
  <si>
    <t>vytvorím pomocnú rovnicu na vyjadrenie Yt3</t>
  </si>
  <si>
    <t>Linest</t>
  </si>
  <si>
    <t>d3</t>
  </si>
  <si>
    <t>d2</t>
  </si>
  <si>
    <t>d1</t>
  </si>
  <si>
    <t>d0</t>
  </si>
  <si>
    <t>výsledok prvej rovnice:</t>
  </si>
  <si>
    <t>Yt1 = -4,27 + 0,78 Xt1 + 0,13 Yt3</t>
  </si>
  <si>
    <t>ďalší postup: Mám hodnoty parametrov prvej rovnice, následne si vyrátam pomocou linestu parametre ďalších rovníc</t>
  </si>
  <si>
    <t>5) skús pozrieť o 2 riadky nižšie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</si>
</sst>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  <font>
      <sz val="11"/>
      <color theme="0" tint="-4.9989318521683403E-2"/>
      <name val="Calibri"/>
      <family val="2"/>
      <charset val="238"/>
      <scheme val="minor"/>
    </font>
    <font>
      <sz val="12"/>
      <name val="Times New Roman"/>
      <family val="1"/>
      <charset val="238"/>
    </font>
    <font>
      <sz val="12"/>
      <name val="Arial"/>
      <family val="2"/>
      <charset val="238"/>
    </font>
    <font>
      <sz val="10"/>
      <name val="Times New Roman"/>
      <family val="1"/>
      <charset val="238"/>
    </font>
    <font>
      <b/>
      <sz val="10"/>
      <name val="Times New Roman"/>
      <family val="1"/>
      <charset val="238"/>
    </font>
    <font>
      <sz val="10"/>
      <name val="Arial CE"/>
      <charset val="238"/>
    </font>
    <font>
      <sz val="11"/>
      <color rgb="FF000000"/>
      <name val="Times New Roman"/>
      <family val="1"/>
      <charset val="238"/>
    </font>
    <font>
      <b/>
      <sz val="10"/>
      <name val="Arial"/>
      <family val="2"/>
      <charset val="238"/>
    </font>
    <font>
      <b/>
      <sz val="10"/>
      <color rgb="FF000000"/>
      <name val="Times New Roman"/>
      <family val="1"/>
      <charset val="238"/>
    </font>
    <font>
      <b/>
      <sz val="1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vertAlign val="subscript"/>
      <sz val="12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0"/>
      <name val="Arial CE"/>
      <charset val="238"/>
    </font>
    <font>
      <b/>
      <vertAlign val="superscript"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sz val="9"/>
      <name val="Arial"/>
      <family val="2"/>
      <charset val="238"/>
    </font>
  </fonts>
  <fills count="2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7" borderId="0" applyNumberFormat="0" applyBorder="0" applyAlignment="0" applyProtection="0"/>
    <xf numFmtId="0" fontId="4" fillId="0" borderId="0"/>
  </cellStyleXfs>
  <cellXfs count="29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Fill="1" applyBorder="1"/>
    <xf numFmtId="0" fontId="0" fillId="0" borderId="13" xfId="0" applyBorder="1"/>
    <xf numFmtId="0" fontId="0" fillId="0" borderId="14" xfId="0" applyBorder="1"/>
    <xf numFmtId="0" fontId="1" fillId="0" borderId="7" xfId="0" applyFont="1" applyBorder="1"/>
    <xf numFmtId="0" fontId="0" fillId="0" borderId="0" xfId="0" applyFill="1" applyBorder="1"/>
    <xf numFmtId="0" fontId="0" fillId="0" borderId="6" xfId="0" applyFill="1" applyBorder="1"/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/>
    <xf numFmtId="0" fontId="1" fillId="0" borderId="15" xfId="0" applyFont="1" applyBorder="1"/>
    <xf numFmtId="0" fontId="4" fillId="0" borderId="0" xfId="0" applyFont="1"/>
    <xf numFmtId="17" fontId="0" fillId="0" borderId="0" xfId="0" applyNumberFormat="1"/>
    <xf numFmtId="0" fontId="5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18" xfId="0" applyFont="1" applyBorder="1"/>
    <xf numFmtId="0" fontId="1" fillId="0" borderId="17" xfId="0" applyFont="1" applyBorder="1"/>
    <xf numFmtId="0" fontId="0" fillId="0" borderId="0" xfId="0" applyFont="1"/>
    <xf numFmtId="0" fontId="1" fillId="0" borderId="0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/>
    <xf numFmtId="0" fontId="1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0" fontId="0" fillId="0" borderId="16" xfId="0" applyBorder="1"/>
    <xf numFmtId="0" fontId="0" fillId="0" borderId="18" xfId="0" applyBorder="1"/>
    <xf numFmtId="0" fontId="1" fillId="6" borderId="20" xfId="0" applyFont="1" applyFill="1" applyBorder="1"/>
    <xf numFmtId="0" fontId="0" fillId="6" borderId="20" xfId="0" applyFill="1" applyBorder="1"/>
    <xf numFmtId="0" fontId="0" fillId="6" borderId="21" xfId="0" applyFill="1" applyBorder="1"/>
    <xf numFmtId="0" fontId="1" fillId="0" borderId="0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9" fillId="3" borderId="19" xfId="2" applyFont="1" applyBorder="1"/>
    <xf numFmtId="0" fontId="9" fillId="3" borderId="0" xfId="2" applyFont="1"/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/>
    <xf numFmtId="0" fontId="0" fillId="6" borderId="2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9" xfId="0" applyFill="1" applyBorder="1"/>
    <xf numFmtId="0" fontId="6" fillId="2" borderId="0" xfId="1"/>
    <xf numFmtId="0" fontId="8" fillId="2" borderId="0" xfId="1" applyFont="1"/>
    <xf numFmtId="0" fontId="1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1" fillId="0" borderId="25" xfId="0" applyFont="1" applyBorder="1"/>
    <xf numFmtId="0" fontId="0" fillId="0" borderId="26" xfId="0" applyBorder="1"/>
    <xf numFmtId="0" fontId="10" fillId="0" borderId="0" xfId="0" applyFont="1"/>
    <xf numFmtId="2" fontId="1" fillId="0" borderId="11" xfId="0" applyNumberFormat="1" applyFont="1" applyBorder="1"/>
    <xf numFmtId="2" fontId="1" fillId="0" borderId="12" xfId="0" applyNumberFormat="1" applyFont="1" applyBorder="1"/>
    <xf numFmtId="0" fontId="0" fillId="8" borderId="0" xfId="0" applyFill="1"/>
    <xf numFmtId="0" fontId="12" fillId="9" borderId="0" xfId="3" applyFont="1" applyFill="1"/>
    <xf numFmtId="0" fontId="1" fillId="0" borderId="5" xfId="0" applyFont="1" applyBorder="1"/>
    <xf numFmtId="0" fontId="15" fillId="0" borderId="0" xfId="0" applyFont="1" applyFill="1" applyBorder="1"/>
    <xf numFmtId="0" fontId="15" fillId="0" borderId="27" xfId="0" applyFont="1" applyFill="1" applyBorder="1" applyAlignment="1">
      <alignment horizontal="center"/>
    </xf>
    <xf numFmtId="0" fontId="15" fillId="0" borderId="28" xfId="0" applyFont="1" applyFill="1" applyBorder="1" applyAlignment="1">
      <alignment horizontal="center"/>
    </xf>
    <xf numFmtId="0" fontId="15" fillId="0" borderId="29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30" xfId="0" applyFont="1" applyFill="1" applyBorder="1" applyAlignment="1">
      <alignment horizontal="center"/>
    </xf>
    <xf numFmtId="0" fontId="16" fillId="0" borderId="31" xfId="0" applyFont="1" applyFill="1" applyBorder="1" applyAlignment="1">
      <alignment horizontal="center"/>
    </xf>
    <xf numFmtId="0" fontId="16" fillId="0" borderId="32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7" fillId="0" borderId="0" xfId="0" applyFont="1" applyBorder="1"/>
    <xf numFmtId="0" fontId="4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18" fillId="0" borderId="0" xfId="0" applyFont="1" applyBorder="1"/>
    <xf numFmtId="0" fontId="4" fillId="0" borderId="0" xfId="0" applyFont="1" applyFill="1" applyBorder="1" applyAlignment="1">
      <alignment horizontal="center"/>
    </xf>
    <xf numFmtId="0" fontId="4" fillId="0" borderId="34" xfId="0" applyFont="1" applyBorder="1" applyAlignment="1">
      <alignment horizontal="right"/>
    </xf>
    <xf numFmtId="0" fontId="4" fillId="0" borderId="34" xfId="0" applyFont="1" applyBorder="1"/>
    <xf numFmtId="0" fontId="19" fillId="0" borderId="0" xfId="0" applyFont="1" applyBorder="1"/>
    <xf numFmtId="0" fontId="16" fillId="0" borderId="0" xfId="0" applyFont="1" applyBorder="1"/>
    <xf numFmtId="0" fontId="20" fillId="0" borderId="0" xfId="0" applyFont="1" applyBorder="1"/>
    <xf numFmtId="0" fontId="21" fillId="11" borderId="0" xfId="0" applyFont="1" applyFill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19" fillId="0" borderId="7" xfId="0" applyFont="1" applyBorder="1"/>
    <xf numFmtId="0" fontId="19" fillId="0" borderId="9" xfId="0" applyFont="1" applyBorder="1"/>
    <xf numFmtId="0" fontId="0" fillId="10" borderId="4" xfId="0" applyFill="1" applyBorder="1"/>
    <xf numFmtId="0" fontId="1" fillId="10" borderId="2" xfId="0" applyFont="1" applyFill="1" applyBorder="1"/>
    <xf numFmtId="0" fontId="0" fillId="10" borderId="3" xfId="0" applyFill="1" applyBorder="1"/>
    <xf numFmtId="0" fontId="0" fillId="0" borderId="5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8" xfId="0" applyFont="1" applyBorder="1"/>
    <xf numFmtId="0" fontId="10" fillId="0" borderId="10" xfId="0" applyFont="1" applyBorder="1"/>
    <xf numFmtId="0" fontId="10" fillId="0" borderId="11" xfId="0" applyFont="1" applyBorder="1"/>
    <xf numFmtId="0" fontId="1" fillId="0" borderId="12" xfId="0" applyFont="1" applyBorder="1"/>
    <xf numFmtId="0" fontId="1" fillId="12" borderId="0" xfId="0" applyFont="1" applyFill="1"/>
    <xf numFmtId="0" fontId="1" fillId="10" borderId="2" xfId="0" applyFont="1" applyFill="1" applyBorder="1" applyAlignment="1">
      <alignment horizontal="left"/>
    </xf>
    <xf numFmtId="0" fontId="4" fillId="0" borderId="35" xfId="0" applyFont="1" applyBorder="1"/>
    <xf numFmtId="0" fontId="4" fillId="0" borderId="36" xfId="0" applyFont="1" applyBorder="1"/>
    <xf numFmtId="0" fontId="4" fillId="0" borderId="37" xfId="0" applyFont="1" applyBorder="1"/>
    <xf numFmtId="0" fontId="19" fillId="0" borderId="1" xfId="0" applyFont="1" applyBorder="1"/>
    <xf numFmtId="0" fontId="10" fillId="12" borderId="7" xfId="0" applyFont="1" applyFill="1" applyBorder="1"/>
    <xf numFmtId="0" fontId="0" fillId="12" borderId="8" xfId="0" applyFill="1" applyBorder="1"/>
    <xf numFmtId="0" fontId="0" fillId="12" borderId="9" xfId="0" applyFill="1" applyBorder="1"/>
    <xf numFmtId="0" fontId="10" fillId="12" borderId="10" xfId="0" applyFont="1" applyFill="1" applyBorder="1"/>
    <xf numFmtId="0" fontId="0" fillId="12" borderId="11" xfId="0" applyFill="1" applyBorder="1"/>
    <xf numFmtId="0" fontId="0" fillId="12" borderId="12" xfId="0" applyFill="1" applyBorder="1"/>
    <xf numFmtId="0" fontId="1" fillId="13" borderId="0" xfId="0" applyFont="1" applyFill="1"/>
    <xf numFmtId="0" fontId="1" fillId="0" borderId="33" xfId="0" applyFont="1" applyBorder="1"/>
    <xf numFmtId="0" fontId="1" fillId="14" borderId="10" xfId="0" applyFont="1" applyFill="1" applyBorder="1"/>
    <xf numFmtId="0" fontId="0" fillId="14" borderId="11" xfId="0" applyFill="1" applyBorder="1"/>
    <xf numFmtId="0" fontId="0" fillId="14" borderId="12" xfId="0" applyFill="1" applyBorder="1"/>
    <xf numFmtId="0" fontId="1" fillId="0" borderId="38" xfId="0" applyFont="1" applyBorder="1"/>
    <xf numFmtId="0" fontId="1" fillId="0" borderId="39" xfId="0" applyFont="1" applyBorder="1"/>
    <xf numFmtId="0" fontId="0" fillId="0" borderId="40" xfId="0" applyBorder="1"/>
    <xf numFmtId="0" fontId="1" fillId="10" borderId="41" xfId="0" applyFont="1" applyFill="1" applyBorder="1"/>
    <xf numFmtId="0" fontId="1" fillId="0" borderId="42" xfId="0" applyFont="1" applyBorder="1"/>
    <xf numFmtId="0" fontId="1" fillId="0" borderId="43" xfId="0" applyFont="1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1" fillId="10" borderId="30" xfId="0" applyFont="1" applyFill="1" applyBorder="1"/>
    <xf numFmtId="0" fontId="10" fillId="0" borderId="0" xfId="0" applyFont="1" applyBorder="1"/>
    <xf numFmtId="0" fontId="24" fillId="13" borderId="0" xfId="0" applyFont="1" applyFill="1" applyBorder="1"/>
    <xf numFmtId="0" fontId="24" fillId="13" borderId="0" xfId="0" applyFont="1" applyFill="1" applyBorder="1" applyAlignment="1">
      <alignment horizontal="left"/>
    </xf>
    <xf numFmtId="0" fontId="26" fillId="13" borderId="0" xfId="0" applyFont="1" applyFill="1" applyBorder="1"/>
    <xf numFmtId="0" fontId="1" fillId="0" borderId="0" xfId="0" applyFont="1" applyAlignment="1">
      <alignment horizontal="center"/>
    </xf>
    <xf numFmtId="0" fontId="0" fillId="0" borderId="32" xfId="0" applyBorder="1"/>
    <xf numFmtId="0" fontId="0" fillId="0" borderId="44" xfId="0" applyBorder="1"/>
    <xf numFmtId="0" fontId="1" fillId="0" borderId="45" xfId="0" applyFont="1" applyBorder="1"/>
    <xf numFmtId="0" fontId="1" fillId="0" borderId="36" xfId="0" applyFont="1" applyBorder="1"/>
    <xf numFmtId="0" fontId="1" fillId="0" borderId="46" xfId="0" applyFont="1" applyBorder="1"/>
    <xf numFmtId="0" fontId="1" fillId="0" borderId="47" xfId="0" applyFont="1" applyBorder="1"/>
    <xf numFmtId="0" fontId="27" fillId="15" borderId="7" xfId="0" applyFont="1" applyFill="1" applyBorder="1"/>
    <xf numFmtId="0" fontId="27" fillId="15" borderId="9" xfId="0" applyFont="1" applyFill="1" applyBorder="1"/>
    <xf numFmtId="0" fontId="1" fillId="0" borderId="2" xfId="0" applyFont="1" applyBorder="1"/>
    <xf numFmtId="0" fontId="28" fillId="0" borderId="0" xfId="0" applyFont="1"/>
    <xf numFmtId="0" fontId="0" fillId="0" borderId="34" xfId="0" applyBorder="1" applyAlignment="1">
      <alignment horizontal="center"/>
    </xf>
    <xf numFmtId="0" fontId="0" fillId="0" borderId="34" xfId="0" applyBorder="1"/>
    <xf numFmtId="0" fontId="0" fillId="0" borderId="28" xfId="0" applyBorder="1"/>
    <xf numFmtId="0" fontId="0" fillId="0" borderId="29" xfId="0" applyBorder="1"/>
    <xf numFmtId="0" fontId="0" fillId="0" borderId="48" xfId="0" applyBorder="1"/>
    <xf numFmtId="0" fontId="0" fillId="0" borderId="31" xfId="0" applyBorder="1"/>
    <xf numFmtId="0" fontId="0" fillId="0" borderId="49" xfId="0" applyBorder="1"/>
    <xf numFmtId="0" fontId="30" fillId="0" borderId="50" xfId="0" applyFont="1" applyBorder="1"/>
    <xf numFmtId="0" fontId="30" fillId="0" borderId="51" xfId="0" applyFont="1" applyBorder="1"/>
    <xf numFmtId="0" fontId="30" fillId="0" borderId="33" xfId="0" applyFont="1" applyBorder="1"/>
    <xf numFmtId="0" fontId="1" fillId="0" borderId="49" xfId="0" applyFont="1" applyBorder="1"/>
    <xf numFmtId="0" fontId="30" fillId="0" borderId="0" xfId="0" applyFont="1"/>
    <xf numFmtId="0" fontId="30" fillId="0" borderId="13" xfId="0" applyFont="1" applyBorder="1"/>
    <xf numFmtId="0" fontId="30" fillId="0" borderId="14" xfId="0" applyFont="1" applyBorder="1"/>
    <xf numFmtId="0" fontId="0" fillId="0" borderId="0" xfId="0" applyBorder="1" applyAlignment="1">
      <alignment horizontal="center"/>
    </xf>
    <xf numFmtId="0" fontId="31" fillId="16" borderId="0" xfId="0" applyFont="1" applyFill="1" applyBorder="1"/>
    <xf numFmtId="0" fontId="31" fillId="16" borderId="6" xfId="0" applyFont="1" applyFill="1" applyBorder="1"/>
    <xf numFmtId="0" fontId="19" fillId="0" borderId="0" xfId="4" applyFont="1"/>
    <xf numFmtId="0" fontId="32" fillId="0" borderId="0" xfId="4" applyFont="1"/>
    <xf numFmtId="0" fontId="4" fillId="0" borderId="0" xfId="4"/>
    <xf numFmtId="0" fontId="4" fillId="0" borderId="0" xfId="4" applyFont="1"/>
    <xf numFmtId="0" fontId="4" fillId="0" borderId="0" xfId="4" applyFont="1" applyFill="1" applyBorder="1" applyAlignment="1">
      <alignment horizontal="center" vertical="center"/>
    </xf>
    <xf numFmtId="0" fontId="4" fillId="0" borderId="0" xfId="4" applyFont="1" applyAlignment="1">
      <alignment horizontal="center"/>
    </xf>
    <xf numFmtId="0" fontId="4" fillId="0" borderId="34" xfId="4" applyBorder="1" applyAlignment="1">
      <alignment horizontal="center"/>
    </xf>
    <xf numFmtId="0" fontId="4" fillId="0" borderId="0" xfId="4" applyFont="1" applyAlignment="1">
      <alignment horizontal="center" vertical="center"/>
    </xf>
    <xf numFmtId="0" fontId="4" fillId="0" borderId="0" xfId="4" applyAlignment="1">
      <alignment horizontal="center" vertical="center"/>
    </xf>
    <xf numFmtId="0" fontId="4" fillId="0" borderId="34" xfId="4" applyFont="1" applyBorder="1" applyAlignment="1">
      <alignment horizontal="center"/>
    </xf>
    <xf numFmtId="0" fontId="4" fillId="0" borderId="19" xfId="4" applyBorder="1" applyAlignment="1">
      <alignment horizontal="center" vertical="center"/>
    </xf>
    <xf numFmtId="0" fontId="4" fillId="0" borderId="20" xfId="4" applyFont="1" applyBorder="1" applyAlignment="1">
      <alignment horizontal="center" vertical="center"/>
    </xf>
    <xf numFmtId="0" fontId="4" fillId="0" borderId="21" xfId="4" applyFont="1" applyBorder="1" applyAlignment="1">
      <alignment horizontal="center" vertical="center"/>
    </xf>
    <xf numFmtId="0" fontId="4" fillId="0" borderId="34" xfId="4" applyBorder="1"/>
    <xf numFmtId="0" fontId="4" fillId="0" borderId="22" xfId="4" applyBorder="1" applyAlignment="1">
      <alignment horizontal="center" vertical="center"/>
    </xf>
    <xf numFmtId="0" fontId="4" fillId="0" borderId="0" xfId="4" applyBorder="1" applyAlignment="1">
      <alignment horizontal="center" vertical="center"/>
    </xf>
    <xf numFmtId="0" fontId="4" fillId="0" borderId="17" xfId="4" applyBorder="1" applyAlignment="1">
      <alignment horizontal="center" vertical="center"/>
    </xf>
    <xf numFmtId="0" fontId="4" fillId="0" borderId="23" xfId="4" applyFont="1" applyBorder="1" applyAlignment="1">
      <alignment horizontal="center" vertical="center"/>
    </xf>
    <xf numFmtId="0" fontId="4" fillId="0" borderId="16" xfId="4" applyBorder="1" applyAlignment="1">
      <alignment horizontal="center" vertical="center"/>
    </xf>
    <xf numFmtId="0" fontId="4" fillId="0" borderId="18" xfId="4" applyBorder="1" applyAlignment="1">
      <alignment horizontal="center" vertical="center"/>
    </xf>
    <xf numFmtId="0" fontId="4" fillId="0" borderId="19" xfId="4" applyFont="1" applyBorder="1" applyAlignment="1">
      <alignment horizontal="center" vertical="center"/>
    </xf>
    <xf numFmtId="0" fontId="4" fillId="0" borderId="21" xfId="4" applyBorder="1" applyAlignment="1">
      <alignment horizontal="center" vertical="center"/>
    </xf>
    <xf numFmtId="0" fontId="4" fillId="0" borderId="0" xfId="4" applyFont="1" applyBorder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4" fillId="0" borderId="22" xfId="4" applyFont="1" applyBorder="1" applyAlignment="1">
      <alignment horizontal="center" vertical="center"/>
    </xf>
    <xf numFmtId="0" fontId="4" fillId="0" borderId="16" xfId="4" applyFont="1" applyBorder="1" applyAlignment="1">
      <alignment horizontal="center" vertical="center"/>
    </xf>
    <xf numFmtId="0" fontId="4" fillId="0" borderId="18" xfId="4" applyFont="1" applyBorder="1" applyAlignment="1">
      <alignment horizontal="center" vertical="center"/>
    </xf>
    <xf numFmtId="0" fontId="4" fillId="0" borderId="0" xfId="4" applyFont="1" applyFill="1" applyBorder="1"/>
    <xf numFmtId="0" fontId="4" fillId="0" borderId="0" xfId="4" applyFont="1" applyFill="1" applyBorder="1" applyAlignment="1">
      <alignment horizontal="center"/>
    </xf>
    <xf numFmtId="0" fontId="4" fillId="0" borderId="0" xfId="4" applyFont="1" applyAlignment="1">
      <alignment horizontal="right"/>
    </xf>
    <xf numFmtId="0" fontId="4" fillId="0" borderId="0" xfId="4" applyAlignment="1">
      <alignment horizontal="center"/>
    </xf>
    <xf numFmtId="0" fontId="4" fillId="17" borderId="34" xfId="4" applyFill="1" applyBorder="1" applyAlignment="1">
      <alignment horizontal="center"/>
    </xf>
    <xf numFmtId="0" fontId="4" fillId="17" borderId="34" xfId="4" applyFill="1" applyBorder="1"/>
    <xf numFmtId="0" fontId="4" fillId="18" borderId="0" xfId="4" applyFont="1" applyFill="1"/>
    <xf numFmtId="0" fontId="4" fillId="0" borderId="50" xfId="4" applyBorder="1" applyAlignment="1">
      <alignment horizontal="center"/>
    </xf>
    <xf numFmtId="0" fontId="4" fillId="0" borderId="50" xfId="4" applyFont="1" applyBorder="1"/>
    <xf numFmtId="0" fontId="4" fillId="0" borderId="51" xfId="4" applyFont="1" applyFill="1" applyBorder="1" applyAlignment="1">
      <alignment horizontal="center"/>
    </xf>
    <xf numFmtId="0" fontId="4" fillId="0" borderId="50" xfId="4" applyFont="1" applyBorder="1" applyAlignment="1">
      <alignment horizontal="center"/>
    </xf>
    <xf numFmtId="0" fontId="4" fillId="0" borderId="52" xfId="4" applyBorder="1"/>
    <xf numFmtId="0" fontId="4" fillId="0" borderId="53" xfId="4" applyBorder="1"/>
    <xf numFmtId="0" fontId="4" fillId="0" borderId="54" xfId="4" applyBorder="1"/>
    <xf numFmtId="0" fontId="4" fillId="0" borderId="55" xfId="4" applyBorder="1"/>
    <xf numFmtId="0" fontId="4" fillId="0" borderId="56" xfId="4" applyBorder="1"/>
    <xf numFmtId="2" fontId="4" fillId="0" borderId="56" xfId="4" applyNumberFormat="1" applyBorder="1"/>
    <xf numFmtId="0" fontId="4" fillId="0" borderId="57" xfId="4" applyBorder="1"/>
    <xf numFmtId="0" fontId="4" fillId="0" borderId="58" xfId="4" applyBorder="1"/>
    <xf numFmtId="0" fontId="4" fillId="0" borderId="59" xfId="4" applyBorder="1"/>
    <xf numFmtId="0" fontId="4" fillId="0" borderId="60" xfId="4" applyBorder="1"/>
    <xf numFmtId="0" fontId="4" fillId="0" borderId="22" xfId="4" applyFont="1" applyFill="1" applyBorder="1" applyAlignment="1">
      <alignment horizontal="center"/>
    </xf>
    <xf numFmtId="0" fontId="4" fillId="0" borderId="19" xfId="4" applyBorder="1"/>
    <xf numFmtId="164" fontId="4" fillId="0" borderId="20" xfId="4" applyNumberFormat="1" applyBorder="1"/>
    <xf numFmtId="164" fontId="4" fillId="0" borderId="21" xfId="4" applyNumberFormat="1" applyBorder="1"/>
    <xf numFmtId="0" fontId="4" fillId="0" borderId="22" xfId="4" applyBorder="1"/>
    <xf numFmtId="0" fontId="4" fillId="0" borderId="0" xfId="4" applyBorder="1"/>
    <xf numFmtId="0" fontId="4" fillId="0" borderId="17" xfId="4" applyBorder="1"/>
    <xf numFmtId="0" fontId="4" fillId="0" borderId="23" xfId="4" applyBorder="1"/>
    <xf numFmtId="0" fontId="4" fillId="0" borderId="16" xfId="4" applyBorder="1"/>
    <xf numFmtId="0" fontId="4" fillId="0" borderId="18" xfId="4" applyBorder="1"/>
    <xf numFmtId="164" fontId="4" fillId="0" borderId="19" xfId="4" applyNumberFormat="1" applyFont="1" applyBorder="1" applyAlignment="1">
      <alignment horizontal="center" vertical="center"/>
    </xf>
    <xf numFmtId="164" fontId="4" fillId="0" borderId="20" xfId="4" applyNumberFormat="1" applyFont="1" applyBorder="1" applyAlignment="1">
      <alignment horizontal="center" vertical="center"/>
    </xf>
    <xf numFmtId="164" fontId="4" fillId="0" borderId="19" xfId="4" applyNumberFormat="1" applyBorder="1"/>
    <xf numFmtId="0" fontId="4" fillId="0" borderId="21" xfId="4" applyBorder="1"/>
    <xf numFmtId="164" fontId="4" fillId="0" borderId="0" xfId="4" applyNumberFormat="1" applyFont="1" applyBorder="1" applyAlignment="1">
      <alignment horizontal="center" vertical="center"/>
    </xf>
    <xf numFmtId="164" fontId="4" fillId="0" borderId="0" xfId="4" applyNumberFormat="1" applyBorder="1"/>
    <xf numFmtId="164" fontId="4" fillId="0" borderId="17" xfId="4" applyNumberFormat="1" applyFont="1" applyBorder="1" applyAlignment="1">
      <alignment horizontal="center" vertical="center"/>
    </xf>
    <xf numFmtId="164" fontId="4" fillId="0" borderId="17" xfId="4" applyNumberFormat="1" applyBorder="1"/>
    <xf numFmtId="164" fontId="4" fillId="0" borderId="22" xfId="4" applyNumberFormat="1" applyFont="1" applyBorder="1" applyAlignment="1">
      <alignment horizontal="center" vertical="center"/>
    </xf>
    <xf numFmtId="164" fontId="4" fillId="0" borderId="22" xfId="4" applyNumberFormat="1" applyBorder="1"/>
    <xf numFmtId="164" fontId="4" fillId="0" borderId="23" xfId="4" applyNumberFormat="1" applyFont="1" applyBorder="1" applyAlignment="1">
      <alignment horizontal="center" vertical="center"/>
    </xf>
    <xf numFmtId="164" fontId="4" fillId="0" borderId="16" xfId="4" applyNumberFormat="1" applyFont="1" applyBorder="1" applyAlignment="1">
      <alignment horizontal="center" vertical="center"/>
    </xf>
    <xf numFmtId="164" fontId="4" fillId="0" borderId="18" xfId="4" applyNumberFormat="1" applyFont="1" applyBorder="1" applyAlignment="1">
      <alignment horizontal="center" vertical="center"/>
    </xf>
    <xf numFmtId="164" fontId="4" fillId="0" borderId="23" xfId="4" applyNumberFormat="1" applyBorder="1"/>
    <xf numFmtId="164" fontId="4" fillId="0" borderId="16" xfId="4" applyNumberFormat="1" applyBorder="1"/>
    <xf numFmtId="164" fontId="4" fillId="0" borderId="18" xfId="4" applyNumberFormat="1" applyBorder="1"/>
    <xf numFmtId="0" fontId="4" fillId="17" borderId="34" xfId="0" applyFont="1" applyFill="1" applyBorder="1" applyAlignment="1">
      <alignment horizontal="center"/>
    </xf>
    <xf numFmtId="0" fontId="0" fillId="17" borderId="34" xfId="0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4" fillId="19" borderId="34" xfId="0" applyFont="1" applyFill="1" applyBorder="1"/>
    <xf numFmtId="0" fontId="0" fillId="0" borderId="34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left"/>
    </xf>
    <xf numFmtId="0" fontId="4" fillId="0" borderId="61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62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6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62" xfId="0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63" xfId="0" applyFont="1" applyBorder="1" applyAlignment="1">
      <alignment horizontal="left"/>
    </xf>
  </cellXfs>
  <cellStyles count="5">
    <cellStyle name="Neutrálna" xfId="2" builtinId="28"/>
    <cellStyle name="Normálne" xfId="0" builtinId="0"/>
    <cellStyle name="normálne 2" xfId="4"/>
    <cellStyle name="Zlá" xfId="1" builtinId="27"/>
    <cellStyle name="Zvýraznenie1" xfId="3" builtinId="29"/>
  </cellStyles>
  <dxfs count="1">
    <dxf>
      <font>
        <b val="0"/>
        <i val="0"/>
        <color theme="0" tint="-0.2499465926084170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ODHADNUTE</c:v>
          </c:tx>
          <c:val>
            <c:numRef>
              <c:f>'cviko 2 a 3'!$E$27:$E$35</c:f>
              <c:numCache>
                <c:formatCode>General</c:formatCode>
                <c:ptCount val="9"/>
                <c:pt idx="0">
                  <c:v>6.6099927509301253</c:v>
                </c:pt>
                <c:pt idx="1">
                  <c:v>7.127442007435711</c:v>
                </c:pt>
                <c:pt idx="2">
                  <c:v>8.9204713754654552</c:v>
                </c:pt>
                <c:pt idx="3">
                  <c:v>10.224606133829868</c:v>
                </c:pt>
                <c:pt idx="4">
                  <c:v>10.239668959108593</c:v>
                </c:pt>
                <c:pt idx="5">
                  <c:v>11.420482713755428</c:v>
                </c:pt>
                <c:pt idx="6">
                  <c:v>12.040229739777699</c:v>
                </c:pt>
                <c:pt idx="7">
                  <c:v>12.652445353160607</c:v>
                </c:pt>
                <c:pt idx="8">
                  <c:v>13.264660966543516</c:v>
                </c:pt>
              </c:numCache>
            </c:numRef>
          </c:val>
          <c:smooth val="0"/>
        </c:ser>
        <c:ser>
          <c:idx val="1"/>
          <c:order val="1"/>
          <c:tx>
            <c:v>SKUTOČNÉ</c:v>
          </c:tx>
          <c:val>
            <c:numRef>
              <c:f>'cviko 2 a 3'!$B$4:$B$12</c:f>
              <c:numCache>
                <c:formatCode>General</c:formatCode>
                <c:ptCount val="9"/>
                <c:pt idx="0">
                  <c:v>6.1</c:v>
                </c:pt>
                <c:pt idx="1">
                  <c:v>7.3</c:v>
                </c:pt>
                <c:pt idx="2">
                  <c:v>9.6</c:v>
                </c:pt>
                <c:pt idx="3">
                  <c:v>10.199999999999999</c:v>
                </c:pt>
                <c:pt idx="4">
                  <c:v>10.1</c:v>
                </c:pt>
                <c:pt idx="5">
                  <c:v>11.3</c:v>
                </c:pt>
                <c:pt idx="6">
                  <c:v>12.2</c:v>
                </c:pt>
                <c:pt idx="7">
                  <c:v>12.5</c:v>
                </c:pt>
                <c:pt idx="8">
                  <c:v>13.2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887616"/>
        <c:axId val="241883136"/>
      </c:lineChart>
      <c:catAx>
        <c:axId val="241887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41883136"/>
        <c:crosses val="autoZero"/>
        <c:auto val="1"/>
        <c:lblAlgn val="ctr"/>
        <c:lblOffset val="100"/>
        <c:noMultiLvlLbl val="0"/>
      </c:catAx>
      <c:valAx>
        <c:axId val="241883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887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Povodne</c:v>
          </c:tx>
          <c:val>
            <c:numRef>
              <c:f>'cviko 5'!$B$3:$B$17</c:f>
              <c:numCache>
                <c:formatCode>General</c:formatCode>
                <c:ptCount val="15"/>
                <c:pt idx="0">
                  <c:v>292.5</c:v>
                </c:pt>
                <c:pt idx="1">
                  <c:v>308.7</c:v>
                </c:pt>
                <c:pt idx="2">
                  <c:v>333</c:v>
                </c:pt>
                <c:pt idx="3">
                  <c:v>351.5</c:v>
                </c:pt>
                <c:pt idx="4">
                  <c:v>371.9</c:v>
                </c:pt>
                <c:pt idx="5">
                  <c:v>381.7</c:v>
                </c:pt>
                <c:pt idx="6">
                  <c:v>378.5</c:v>
                </c:pt>
                <c:pt idx="7">
                  <c:v>396.4</c:v>
                </c:pt>
                <c:pt idx="8">
                  <c:v>417.6</c:v>
                </c:pt>
                <c:pt idx="9">
                  <c:v>414.4</c:v>
                </c:pt>
                <c:pt idx="10">
                  <c:v>428.4</c:v>
                </c:pt>
                <c:pt idx="11">
                  <c:v>420.2</c:v>
                </c:pt>
                <c:pt idx="12">
                  <c:v>436.2</c:v>
                </c:pt>
                <c:pt idx="13">
                  <c:v>451.3</c:v>
                </c:pt>
                <c:pt idx="14">
                  <c:v>476</c:v>
                </c:pt>
              </c:numCache>
            </c:numRef>
          </c:val>
          <c:smooth val="0"/>
        </c:ser>
        <c:ser>
          <c:idx val="1"/>
          <c:order val="1"/>
          <c:tx>
            <c:v>Odhadnute Yt^</c:v>
          </c:tx>
          <c:val>
            <c:numRef>
              <c:f>'cviko 5'!$I$3:$I$17</c:f>
              <c:numCache>
                <c:formatCode>General</c:formatCode>
                <c:ptCount val="15"/>
                <c:pt idx="0">
                  <c:v>310.50982345231853</c:v>
                </c:pt>
                <c:pt idx="1">
                  <c:v>321.91892337049774</c:v>
                </c:pt>
                <c:pt idx="2">
                  <c:v>334.0624603533322</c:v>
                </c:pt>
                <c:pt idx="3">
                  <c:v>347.63688334144331</c:v>
                </c:pt>
                <c:pt idx="4">
                  <c:v>357.47580746622157</c:v>
                </c:pt>
                <c:pt idx="5">
                  <c:v>366.65627077441241</c:v>
                </c:pt>
                <c:pt idx="6">
                  <c:v>375.54549179834333</c:v>
                </c:pt>
                <c:pt idx="7">
                  <c:v>387.38512378890664</c:v>
                </c:pt>
                <c:pt idx="8">
                  <c:v>401.89658716985377</c:v>
                </c:pt>
                <c:pt idx="9">
                  <c:v>412.71053981150203</c:v>
                </c:pt>
                <c:pt idx="10">
                  <c:v>431.19809350799659</c:v>
                </c:pt>
                <c:pt idx="11">
                  <c:v>431.85655432458407</c:v>
                </c:pt>
                <c:pt idx="12">
                  <c:v>447.53298684257061</c:v>
                </c:pt>
                <c:pt idx="13">
                  <c:v>455.51049288968812</c:v>
                </c:pt>
                <c:pt idx="14">
                  <c:v>476.40396110832927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884816"/>
        <c:axId val="241885376"/>
      </c:lineChart>
      <c:catAx>
        <c:axId val="241884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41885376"/>
        <c:crosses val="autoZero"/>
        <c:auto val="1"/>
        <c:lblAlgn val="ctr"/>
        <c:lblOffset val="100"/>
        <c:noMultiLvlLbl val="0"/>
      </c:catAx>
      <c:valAx>
        <c:axId val="24188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88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'cviko 6'!$K$20:$K$34</c:f>
              <c:numCache>
                <c:formatCode>General</c:formatCode>
                <c:ptCount val="15"/>
                <c:pt idx="0">
                  <c:v>209</c:v>
                </c:pt>
                <c:pt idx="1">
                  <c:v>212</c:v>
                </c:pt>
                <c:pt idx="2">
                  <c:v>214</c:v>
                </c:pt>
                <c:pt idx="3">
                  <c:v>212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220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226</c:v>
                </c:pt>
                <c:pt idx="13">
                  <c:v>225</c:v>
                </c:pt>
                <c:pt idx="14">
                  <c:v>228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'cviko 6'!$L$20:$L$34</c:f>
              <c:numCache>
                <c:formatCode>General</c:formatCode>
                <c:ptCount val="15"/>
                <c:pt idx="0">
                  <c:v>210.23868110163642</c:v>
                </c:pt>
                <c:pt idx="1">
                  <c:v>211.17473971457454</c:v>
                </c:pt>
                <c:pt idx="2">
                  <c:v>214.16733935921053</c:v>
                </c:pt>
                <c:pt idx="3">
                  <c:v>212.25876620995584</c:v>
                </c:pt>
                <c:pt idx="4">
                  <c:v>215.70063233003361</c:v>
                </c:pt>
                <c:pt idx="5">
                  <c:v>216.94871048061779</c:v>
                </c:pt>
                <c:pt idx="6">
                  <c:v>217.38939784455306</c:v>
                </c:pt>
                <c:pt idx="7">
                  <c:v>219.15214730029408</c:v>
                </c:pt>
                <c:pt idx="8">
                  <c:v>220.18041781614301</c:v>
                </c:pt>
                <c:pt idx="9">
                  <c:v>219.13177514967538</c:v>
                </c:pt>
                <c:pt idx="10">
                  <c:v>221.92279512126535</c:v>
                </c:pt>
                <c:pt idx="11">
                  <c:v>222.36348248520059</c:v>
                </c:pt>
                <c:pt idx="12">
                  <c:v>226.96764741974022</c:v>
                </c:pt>
                <c:pt idx="13">
                  <c:v>223.62978859747398</c:v>
                </c:pt>
                <c:pt idx="14">
                  <c:v>229.77367906962513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751984"/>
        <c:axId val="285754224"/>
      </c:lineChart>
      <c:catAx>
        <c:axId val="285751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85754224"/>
        <c:crosses val="autoZero"/>
        <c:auto val="1"/>
        <c:lblAlgn val="ctr"/>
        <c:lblOffset val="100"/>
        <c:noMultiLvlLbl val="0"/>
      </c:catAx>
      <c:valAx>
        <c:axId val="28575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5751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'cviko 7 a'!$B$19:$B$36</c:f>
              <c:numCache>
                <c:formatCode>General</c:formatCode>
                <c:ptCount val="18"/>
                <c:pt idx="0">
                  <c:v>311</c:v>
                </c:pt>
                <c:pt idx="1">
                  <c:v>315</c:v>
                </c:pt>
                <c:pt idx="2">
                  <c:v>325</c:v>
                </c:pt>
                <c:pt idx="3">
                  <c:v>330</c:v>
                </c:pt>
                <c:pt idx="4">
                  <c:v>336</c:v>
                </c:pt>
                <c:pt idx="5">
                  <c:v>340</c:v>
                </c:pt>
                <c:pt idx="6">
                  <c:v>345</c:v>
                </c:pt>
                <c:pt idx="7">
                  <c:v>343</c:v>
                </c:pt>
                <c:pt idx="8">
                  <c:v>351</c:v>
                </c:pt>
                <c:pt idx="9">
                  <c:v>346</c:v>
                </c:pt>
                <c:pt idx="10">
                  <c:v>349</c:v>
                </c:pt>
                <c:pt idx="11">
                  <c:v>360</c:v>
                </c:pt>
                <c:pt idx="12">
                  <c:v>365</c:v>
                </c:pt>
                <c:pt idx="13">
                  <c:v>372</c:v>
                </c:pt>
                <c:pt idx="14">
                  <c:v>379</c:v>
                </c:pt>
                <c:pt idx="15">
                  <c:v>379</c:v>
                </c:pt>
                <c:pt idx="16">
                  <c:v>383</c:v>
                </c:pt>
                <c:pt idx="17">
                  <c:v>390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'cviko 7 a'!$E$19:$E$36</c:f>
              <c:numCache>
                <c:formatCode>General</c:formatCode>
                <c:ptCount val="18"/>
                <c:pt idx="0">
                  <c:v>317.28229042329269</c:v>
                </c:pt>
                <c:pt idx="1">
                  <c:v>316.18694128386795</c:v>
                </c:pt>
                <c:pt idx="2">
                  <c:v>323.48926888003285</c:v>
                </c:pt>
                <c:pt idx="3">
                  <c:v>328.2357818175401</c:v>
                </c:pt>
                <c:pt idx="4">
                  <c:v>335.72066760360917</c:v>
                </c:pt>
                <c:pt idx="5">
                  <c:v>338.09392407236277</c:v>
                </c:pt>
                <c:pt idx="6">
                  <c:v>343.57066976948647</c:v>
                </c:pt>
                <c:pt idx="7">
                  <c:v>342.65787881996584</c:v>
                </c:pt>
                <c:pt idx="8">
                  <c:v>348.86485727670606</c:v>
                </c:pt>
                <c:pt idx="9">
                  <c:v>345.39625166852773</c:v>
                </c:pt>
                <c:pt idx="10">
                  <c:v>350.87299736565143</c:v>
                </c:pt>
                <c:pt idx="11">
                  <c:v>357.26253401229576</c:v>
                </c:pt>
                <c:pt idx="12">
                  <c:v>365.47765255798134</c:v>
                </c:pt>
                <c:pt idx="13">
                  <c:v>370.95439825510505</c:v>
                </c:pt>
                <c:pt idx="14">
                  <c:v>377.34393490174938</c:v>
                </c:pt>
                <c:pt idx="15">
                  <c:v>380.08230775031126</c:v>
                </c:pt>
                <c:pt idx="16">
                  <c:v>386.47184439695559</c:v>
                </c:pt>
                <c:pt idx="17">
                  <c:v>391.03579914455867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441088"/>
        <c:axId val="287441648"/>
      </c:lineChart>
      <c:catAx>
        <c:axId val="28744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87441648"/>
        <c:crosses val="autoZero"/>
        <c:auto val="1"/>
        <c:lblAlgn val="ctr"/>
        <c:lblOffset val="100"/>
        <c:noMultiLvlLbl val="0"/>
      </c:catAx>
      <c:valAx>
        <c:axId val="28744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744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849518810148687E-2"/>
          <c:y val="4.6770924467774859E-2"/>
          <c:w val="0.72292825896762902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'cviko 7 a'!$D$44</c:f>
              <c:strCache>
                <c:ptCount val="1"/>
                <c:pt idx="0">
                  <c:v>yt tra</c:v>
                </c:pt>
              </c:strCache>
            </c:strRef>
          </c:tx>
          <c:val>
            <c:numRef>
              <c:f>'cviko 7 a'!$D$45:$D$62</c:f>
              <c:numCache>
                <c:formatCode>General</c:formatCode>
                <c:ptCount val="18"/>
                <c:pt idx="0">
                  <c:v>369.79232324901591</c:v>
                </c:pt>
                <c:pt idx="1">
                  <c:v>368.53356358697476</c:v>
                </c:pt>
                <c:pt idx="2">
                  <c:v>376.92529466724903</c:v>
                </c:pt>
                <c:pt idx="3">
                  <c:v>382.37991986942734</c:v>
                </c:pt>
                <c:pt idx="4">
                  <c:v>390.9814442267085</c:v>
                </c:pt>
                <c:pt idx="5">
                  <c:v>393.70875682779769</c:v>
                </c:pt>
                <c:pt idx="6">
                  <c:v>400.0025551380034</c:v>
                </c:pt>
                <c:pt idx="7">
                  <c:v>398.9535887529691</c:v>
                </c:pt>
                <c:pt idx="8">
                  <c:v>406.08656017120228</c:v>
                </c:pt>
                <c:pt idx="9">
                  <c:v>402.10048790807195</c:v>
                </c:pt>
                <c:pt idx="10">
                  <c:v>408.39428621827767</c:v>
                </c:pt>
                <c:pt idx="11">
                  <c:v>415.73705091351769</c:v>
                </c:pt>
                <c:pt idx="12">
                  <c:v>425.17774837882627</c:v>
                </c:pt>
                <c:pt idx="13">
                  <c:v>431.47154668903198</c:v>
                </c:pt>
                <c:pt idx="14">
                  <c:v>438.814311384272</c:v>
                </c:pt>
                <c:pt idx="15">
                  <c:v>441.96121053937486</c:v>
                </c:pt>
                <c:pt idx="16">
                  <c:v>449.30397523461488</c:v>
                </c:pt>
                <c:pt idx="17">
                  <c:v>454.54880715978635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'cviko 7 a'!$E$18</c:f>
              <c:strCache>
                <c:ptCount val="1"/>
                <c:pt idx="0">
                  <c:v>yt^</c:v>
                </c:pt>
              </c:strCache>
            </c:strRef>
          </c:tx>
          <c:val>
            <c:numRef>
              <c:f>'cviko 7 a'!$E$19:$E$36</c:f>
              <c:numCache>
                <c:formatCode>General</c:formatCode>
                <c:ptCount val="18"/>
                <c:pt idx="0">
                  <c:v>317.28229042329269</c:v>
                </c:pt>
                <c:pt idx="1">
                  <c:v>316.18694128386795</c:v>
                </c:pt>
                <c:pt idx="2">
                  <c:v>323.48926888003285</c:v>
                </c:pt>
                <c:pt idx="3">
                  <c:v>328.2357818175401</c:v>
                </c:pt>
                <c:pt idx="4">
                  <c:v>335.72066760360917</c:v>
                </c:pt>
                <c:pt idx="5">
                  <c:v>338.09392407236277</c:v>
                </c:pt>
                <c:pt idx="6">
                  <c:v>343.57066976948647</c:v>
                </c:pt>
                <c:pt idx="7">
                  <c:v>342.65787881996584</c:v>
                </c:pt>
                <c:pt idx="8">
                  <c:v>348.86485727670606</c:v>
                </c:pt>
                <c:pt idx="9">
                  <c:v>345.39625166852773</c:v>
                </c:pt>
                <c:pt idx="10">
                  <c:v>350.87299736565143</c:v>
                </c:pt>
                <c:pt idx="11">
                  <c:v>357.26253401229576</c:v>
                </c:pt>
                <c:pt idx="12">
                  <c:v>365.47765255798134</c:v>
                </c:pt>
                <c:pt idx="13">
                  <c:v>370.95439825510505</c:v>
                </c:pt>
                <c:pt idx="14">
                  <c:v>377.34393490174938</c:v>
                </c:pt>
                <c:pt idx="15">
                  <c:v>380.08230775031126</c:v>
                </c:pt>
                <c:pt idx="16">
                  <c:v>386.47184439695559</c:v>
                </c:pt>
                <c:pt idx="17">
                  <c:v>391.03579914455867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444448"/>
        <c:axId val="241048784"/>
      </c:lineChart>
      <c:catAx>
        <c:axId val="287444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41048784"/>
        <c:crosses val="autoZero"/>
        <c:auto val="1"/>
        <c:lblAlgn val="ctr"/>
        <c:lblOffset val="100"/>
        <c:noMultiLvlLbl val="0"/>
      </c:catAx>
      <c:valAx>
        <c:axId val="24104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7444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866775</xdr:colOff>
      <xdr:row>30</xdr:row>
      <xdr:rowOff>171450</xdr:rowOff>
    </xdr:from>
    <xdr:to>
      <xdr:col>17</xdr:col>
      <xdr:colOff>504825</xdr:colOff>
      <xdr:row>45</xdr:row>
      <xdr:rowOff>57150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76200</xdr:colOff>
      <xdr:row>32</xdr:row>
      <xdr:rowOff>119062</xdr:rowOff>
    </xdr:from>
    <xdr:ext cx="914400" cy="264560"/>
    <xdr:sp macro="" textlink="">
      <xdr:nvSpPr>
        <xdr:cNvPr id="2" name="BlokTextu 1"/>
        <xdr:cNvSpPr txBox="1"/>
      </xdr:nvSpPr>
      <xdr:spPr>
        <a:xfrm>
          <a:off x="5953125" y="612933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7</xdr:col>
      <xdr:colOff>409575</xdr:colOff>
      <xdr:row>27</xdr:row>
      <xdr:rowOff>66676</xdr:rowOff>
    </xdr:from>
    <xdr:ext cx="1647825" cy="4189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5048250" y="5124451"/>
              <a:ext cx="1647825" cy="418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sk-SK" sz="2000" b="1"/>
                <a:t>V=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sk-SK" sz="2000" b="1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sk-SK" sz="2000" b="1" i="1">
                          <a:latin typeface="Cambria Math"/>
                        </a:rPr>
                        <m:t>𝟏</m:t>
                      </m:r>
                    </m:sub>
                    <m:sup>
                      <m:r>
                        <a:rPr lang="sk-SK" sz="2000" b="1" i="1">
                          <a:latin typeface="Cambria Math"/>
                        </a:rPr>
                        <m:t>𝒏</m:t>
                      </m:r>
                    </m:sup>
                    <m:e>
                      <m:sSup>
                        <m:sSupPr>
                          <m:ctrlPr>
                            <a:rPr lang="sk-SK" sz="20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nor/>
                            </m:rPr>
                            <a:rPr lang="sk-SK" sz="2000" b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(</m:t>
                          </m:r>
                          <m:acc>
                            <m:accPr>
                              <m:chr m:val="̂"/>
                              <m:ctrlPr>
                                <a:rPr lang="sk-SK" sz="2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accPr>
                            <m:e>
                              <m:r>
                                <a:rPr lang="sk-SK" sz="2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𝒚𝒕</m:t>
                              </m:r>
                            </m:e>
                          </m:acc>
                          <m:r>
                            <m:rPr>
                              <m:nor/>
                            </m:rPr>
                            <a:rPr lang="sk-SK" sz="2000" b="1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</m:t>
                          </m:r>
                          <m:acc>
                            <m:accPr>
                              <m:chr m:val="̅"/>
                              <m:ctrlPr>
                                <a:rPr lang="sk-SK" sz="2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accPr>
                            <m:e>
                              <m:r>
                                <a:rPr lang="sk-SK" sz="2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𝒚</m:t>
                              </m:r>
                            </m:e>
                          </m:acc>
                          <m:r>
                            <m:rPr>
                              <m:nor/>
                            </m:rPr>
                            <a:rPr lang="sk-SK" sz="2000" b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sk-SK" sz="2000" b="1" i="1">
                              <a:latin typeface="Cambria Math"/>
                            </a:rPr>
                            <m:t>𝟐</m:t>
                          </m:r>
                        </m:sup>
                      </m:sSup>
                    </m:e>
                  </m:nary>
                </m:oMath>
              </a14:m>
              <a:endParaRPr lang="sk-SK" sz="1100" b="1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5048250" y="5124451"/>
              <a:ext cx="1647825" cy="418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sk-SK" sz="2000" b="1"/>
                <a:t>V=</a:t>
              </a:r>
              <a:r>
                <a:rPr lang="sk-SK" sz="2000" b="1" i="0">
                  <a:latin typeface="Cambria Math"/>
                </a:rPr>
                <a:t>∑24_𝟏^𝒏▒〖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"(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(𝒚𝒕) ̂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"−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𝒚 ̅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")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〗^</a:t>
              </a:r>
              <a:r>
                <a:rPr lang="sk-SK" sz="2000" b="1" i="0">
                  <a:latin typeface="Cambria Math"/>
                </a:rPr>
                <a:t>𝟐 </a:t>
              </a:r>
              <a:endParaRPr lang="sk-SK" sz="1100" b="1"/>
            </a:p>
          </xdr:txBody>
        </xdr:sp>
      </mc:Fallback>
    </mc:AlternateContent>
    <xdr:clientData/>
  </xdr:oneCellAnchor>
  <xdr:oneCellAnchor>
    <xdr:from>
      <xdr:col>7</xdr:col>
      <xdr:colOff>428625</xdr:colOff>
      <xdr:row>30</xdr:row>
      <xdr:rowOff>0</xdr:rowOff>
    </xdr:from>
    <xdr:ext cx="1514475" cy="44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BlokTextu 7"/>
            <xdr:cNvSpPr txBox="1"/>
          </xdr:nvSpPr>
          <xdr:spPr>
            <a:xfrm>
              <a:off x="5067300" y="5629275"/>
              <a:ext cx="1514475" cy="44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sk-SK" sz="2000" b="1"/>
                <a:t>C=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sk-SK" sz="2000" b="1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sk-SK" sz="2000" b="1" i="1">
                          <a:latin typeface="Cambria Math"/>
                        </a:rPr>
                        <m:t>𝟏</m:t>
                      </m:r>
                    </m:sub>
                    <m:sup>
                      <m:r>
                        <a:rPr lang="sk-SK" sz="2000" b="1" i="1">
                          <a:latin typeface="Cambria Math"/>
                        </a:rPr>
                        <m:t>𝒏</m:t>
                      </m:r>
                    </m:sup>
                    <m:e>
                      <m:sSup>
                        <m:sSupPr>
                          <m:ctrlPr>
                            <a:rPr lang="sk-SK" sz="20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nor/>
                            </m:rPr>
                            <a:rPr lang="sk-SK" sz="2000" b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m:rPr>
                              <m:nor/>
                            </m:rPr>
                            <a:rPr lang="sk-SK" sz="2000" b="1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yt</m:t>
                          </m:r>
                          <m:r>
                            <m:rPr>
                              <m:nor/>
                            </m:rPr>
                            <a:rPr lang="sk-SK" sz="2000" b="1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</m:t>
                          </m:r>
                          <m:acc>
                            <m:accPr>
                              <m:chr m:val="̅"/>
                              <m:ctrlPr>
                                <a:rPr lang="sk-SK" sz="2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accPr>
                            <m:e>
                              <m:r>
                                <a:rPr lang="sk-SK" sz="2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𝒚</m:t>
                              </m:r>
                            </m:e>
                          </m:acc>
                          <m:r>
                            <m:rPr>
                              <m:nor/>
                            </m:rPr>
                            <a:rPr lang="sk-SK" sz="2000" b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sk-SK" sz="2000" b="1" i="1">
                              <a:latin typeface="Cambria Math"/>
                            </a:rPr>
                            <m:t>𝟐</m:t>
                          </m:r>
                        </m:sup>
                      </m:sSup>
                    </m:e>
                  </m:nary>
                </m:oMath>
              </a14:m>
              <a:endParaRPr lang="sk-SK" sz="1100" b="1"/>
            </a:p>
          </xdr:txBody>
        </xdr:sp>
      </mc:Choice>
      <mc:Fallback xmlns="">
        <xdr:sp macro="" textlink="">
          <xdr:nvSpPr>
            <xdr:cNvPr id="8" name="BlokTextu 7"/>
            <xdr:cNvSpPr txBox="1"/>
          </xdr:nvSpPr>
          <xdr:spPr>
            <a:xfrm>
              <a:off x="5067300" y="5629275"/>
              <a:ext cx="1514475" cy="44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sk-SK" sz="2000" b="1"/>
                <a:t>C=</a:t>
              </a:r>
              <a:r>
                <a:rPr lang="sk-SK" sz="2000" b="1" i="0">
                  <a:latin typeface="Cambria Math"/>
                </a:rPr>
                <a:t>∑24_𝟏^𝒏▒〖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"(yt−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𝒚 ̅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")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〗^</a:t>
              </a:r>
              <a:r>
                <a:rPr lang="sk-SK" sz="2000" b="1" i="0">
                  <a:latin typeface="Cambria Math"/>
                </a:rPr>
                <a:t>𝟐 </a:t>
              </a:r>
              <a:endParaRPr lang="sk-SK" sz="1100" b="1"/>
            </a:p>
          </xdr:txBody>
        </xdr:sp>
      </mc:Fallback>
    </mc:AlternateContent>
    <xdr:clientData/>
  </xdr:oneCellAnchor>
  <xdr:oneCellAnchor>
    <xdr:from>
      <xdr:col>7</xdr:col>
      <xdr:colOff>400050</xdr:colOff>
      <xdr:row>32</xdr:row>
      <xdr:rowOff>133350</xdr:rowOff>
    </xdr:from>
    <xdr:ext cx="2152650" cy="4189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BlokTextu 8"/>
            <xdr:cNvSpPr txBox="1"/>
          </xdr:nvSpPr>
          <xdr:spPr>
            <a:xfrm>
              <a:off x="5038725" y="6143625"/>
              <a:ext cx="2152650" cy="418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sk-SK" sz="2000" b="1"/>
                <a:t>N=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sk-SK" sz="2000" b="1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sk-SK" sz="2000" b="1" i="1">
                          <a:latin typeface="Cambria Math"/>
                        </a:rPr>
                        <m:t>𝟏</m:t>
                      </m:r>
                    </m:sub>
                    <m:sup>
                      <m:r>
                        <a:rPr lang="sk-SK" sz="2000" b="1" i="1">
                          <a:latin typeface="Cambria Math"/>
                        </a:rPr>
                        <m:t>𝒏</m:t>
                      </m:r>
                    </m:sup>
                    <m:e>
                      <m:sSup>
                        <m:sSupPr>
                          <m:ctrlPr>
                            <a:rPr lang="sk-SK" sz="20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nor/>
                            </m:rPr>
                            <a:rPr lang="sk-SK" sz="2000" b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m:rPr>
                              <m:nor/>
                            </m:rPr>
                            <a:rPr lang="sk-SK" sz="2000" b="1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yt</m:t>
                          </m:r>
                          <m:r>
                            <m:rPr>
                              <m:nor/>
                            </m:rPr>
                            <a:rPr lang="sk-SK" sz="2000" b="1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</m:t>
                          </m:r>
                          <m:acc>
                            <m:accPr>
                              <m:chr m:val="̂"/>
                              <m:ctrlPr>
                                <a:rPr lang="sk-SK" sz="2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accPr>
                            <m:e>
                              <m:r>
                                <a:rPr lang="sk-SK" sz="2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𝒚𝒕</m:t>
                              </m:r>
                            </m:e>
                          </m:acc>
                          <m:r>
                            <m:rPr>
                              <m:nor/>
                            </m:rPr>
                            <a:rPr lang="sk-SK" sz="2000" b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sk-SK" sz="2000" b="1" i="1">
                              <a:latin typeface="Cambria Math"/>
                            </a:rPr>
                            <m:t>𝟐</m:t>
                          </m:r>
                        </m:sup>
                      </m:sSup>
                    </m:e>
                  </m:nary>
                </m:oMath>
              </a14:m>
              <a:endParaRPr lang="sk-SK" sz="1100" b="1"/>
            </a:p>
          </xdr:txBody>
        </xdr:sp>
      </mc:Choice>
      <mc:Fallback xmlns="">
        <xdr:sp macro="" textlink="">
          <xdr:nvSpPr>
            <xdr:cNvPr id="9" name="BlokTextu 8"/>
            <xdr:cNvSpPr txBox="1"/>
          </xdr:nvSpPr>
          <xdr:spPr>
            <a:xfrm>
              <a:off x="5038725" y="6143625"/>
              <a:ext cx="2152650" cy="418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sk-SK" sz="2000" b="1"/>
                <a:t>N=</a:t>
              </a:r>
              <a:r>
                <a:rPr lang="sk-SK" sz="2000" b="1" i="0">
                  <a:latin typeface="Cambria Math"/>
                </a:rPr>
                <a:t>∑_𝟏^𝒏▒〖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"(yt−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(𝒚𝒕) ̂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")</a:t>
              </a:r>
              <a:r>
                <a:rPr lang="sk-SK" sz="20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〗^</a:t>
              </a:r>
              <a:r>
                <a:rPr lang="sk-SK" sz="2000" b="1" i="0">
                  <a:latin typeface="Cambria Math"/>
                </a:rPr>
                <a:t>𝟐 </a:t>
              </a:r>
              <a:endParaRPr lang="sk-SK" sz="11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2</xdr:row>
      <xdr:rowOff>76200</xdr:rowOff>
    </xdr:from>
    <xdr:to>
      <xdr:col>17</xdr:col>
      <xdr:colOff>142875</xdr:colOff>
      <xdr:row>16</xdr:row>
      <xdr:rowOff>152400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366712</xdr:colOff>
      <xdr:row>19</xdr:row>
      <xdr:rowOff>28575</xdr:rowOff>
    </xdr:from>
    <xdr:ext cx="914400" cy="264560"/>
    <xdr:sp macro="" textlink="">
      <xdr:nvSpPr>
        <xdr:cNvPr id="3" name="BlokTextu 2"/>
        <xdr:cNvSpPr txBox="1"/>
      </xdr:nvSpPr>
      <xdr:spPr>
        <a:xfrm>
          <a:off x="9796462" y="36480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14</xdr:col>
      <xdr:colOff>428625</xdr:colOff>
      <xdr:row>18</xdr:row>
      <xdr:rowOff>161925</xdr:rowOff>
    </xdr:from>
    <xdr:ext cx="306101" cy="267703"/>
    <xdr:sp macro="" textlink="">
      <xdr:nvSpPr>
        <xdr:cNvPr id="4" name="BlokTextu 3"/>
        <xdr:cNvSpPr txBox="1"/>
      </xdr:nvSpPr>
      <xdr:spPr>
        <a:xfrm flipH="1">
          <a:off x="9858375" y="3590925"/>
          <a:ext cx="306101" cy="267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sk-SK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21</xdr:row>
      <xdr:rowOff>142875</xdr:rowOff>
    </xdr:from>
    <xdr:to>
      <xdr:col>18</xdr:col>
      <xdr:colOff>457200</xdr:colOff>
      <xdr:row>36</xdr:row>
      <xdr:rowOff>28575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22</xdr:row>
      <xdr:rowOff>161925</xdr:rowOff>
    </xdr:from>
    <xdr:to>
      <xdr:col>13</xdr:col>
      <xdr:colOff>600075</xdr:colOff>
      <xdr:row>37</xdr:row>
      <xdr:rowOff>47625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590550</xdr:colOff>
      <xdr:row>76</xdr:row>
      <xdr:rowOff>161925</xdr:rowOff>
    </xdr:from>
    <xdr:to>
      <xdr:col>8</xdr:col>
      <xdr:colOff>66207</xdr:colOff>
      <xdr:row>78</xdr:row>
      <xdr:rowOff>133296</xdr:rowOff>
    </xdr:to>
    <xdr:pic>
      <xdr:nvPicPr>
        <xdr:cNvPr id="3" name="Obrázok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00150" y="15259050"/>
          <a:ext cx="3742857" cy="428571"/>
        </a:xfrm>
        <a:prstGeom prst="rect">
          <a:avLst/>
        </a:prstGeom>
      </xdr:spPr>
    </xdr:pic>
    <xdr:clientData/>
  </xdr:twoCellAnchor>
  <xdr:twoCellAnchor>
    <xdr:from>
      <xdr:col>12</xdr:col>
      <xdr:colOff>533400</xdr:colOff>
      <xdr:row>76</xdr:row>
      <xdr:rowOff>95250</xdr:rowOff>
    </xdr:from>
    <xdr:to>
      <xdr:col>20</xdr:col>
      <xdr:colOff>228600</xdr:colOff>
      <xdr:row>90</xdr:row>
      <xdr:rowOff>47625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39</xdr:row>
      <xdr:rowOff>76200</xdr:rowOff>
    </xdr:from>
    <xdr:to>
      <xdr:col>3</xdr:col>
      <xdr:colOff>114300</xdr:colOff>
      <xdr:row>42</xdr:row>
      <xdr:rowOff>28575</xdr:rowOff>
    </xdr:to>
    <xdr:sp macro="" textlink="">
      <xdr:nvSpPr>
        <xdr:cNvPr id="2" name="Obdĺžnik 1"/>
        <xdr:cNvSpPr/>
      </xdr:nvSpPr>
      <xdr:spPr>
        <a:xfrm>
          <a:off x="1447800" y="5657850"/>
          <a:ext cx="4953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sk-SK" sz="1100"/>
            <a:t>Yt1</a:t>
          </a:r>
        </a:p>
      </xdr:txBody>
    </xdr:sp>
    <xdr:clientData/>
  </xdr:twoCellAnchor>
  <xdr:twoCellAnchor>
    <xdr:from>
      <xdr:col>3</xdr:col>
      <xdr:colOff>514350</xdr:colOff>
      <xdr:row>39</xdr:row>
      <xdr:rowOff>66675</xdr:rowOff>
    </xdr:from>
    <xdr:to>
      <xdr:col>4</xdr:col>
      <xdr:colOff>400050</xdr:colOff>
      <xdr:row>42</xdr:row>
      <xdr:rowOff>19050</xdr:rowOff>
    </xdr:to>
    <xdr:sp macro="" textlink="">
      <xdr:nvSpPr>
        <xdr:cNvPr id="3" name="Obdĺžnik 2"/>
        <xdr:cNvSpPr/>
      </xdr:nvSpPr>
      <xdr:spPr>
        <a:xfrm>
          <a:off x="2343150" y="5648325"/>
          <a:ext cx="4953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sk-SK" sz="1100"/>
            <a:t>Yt2</a:t>
          </a:r>
        </a:p>
      </xdr:txBody>
    </xdr:sp>
    <xdr:clientData/>
  </xdr:twoCellAnchor>
  <xdr:twoCellAnchor>
    <xdr:from>
      <xdr:col>1</xdr:col>
      <xdr:colOff>304800</xdr:colOff>
      <xdr:row>46</xdr:row>
      <xdr:rowOff>9525</xdr:rowOff>
    </xdr:from>
    <xdr:to>
      <xdr:col>2</xdr:col>
      <xdr:colOff>190500</xdr:colOff>
      <xdr:row>48</xdr:row>
      <xdr:rowOff>123825</xdr:rowOff>
    </xdr:to>
    <xdr:sp macro="" textlink="">
      <xdr:nvSpPr>
        <xdr:cNvPr id="4" name="Obdĺžnik 3"/>
        <xdr:cNvSpPr/>
      </xdr:nvSpPr>
      <xdr:spPr>
        <a:xfrm>
          <a:off x="914400" y="6724650"/>
          <a:ext cx="4953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sk-SK" sz="1100"/>
            <a:t>Xt1</a:t>
          </a:r>
        </a:p>
      </xdr:txBody>
    </xdr:sp>
    <xdr:clientData/>
  </xdr:twoCellAnchor>
  <xdr:twoCellAnchor>
    <xdr:from>
      <xdr:col>5</xdr:col>
      <xdr:colOff>523875</xdr:colOff>
      <xdr:row>39</xdr:row>
      <xdr:rowOff>76200</xdr:rowOff>
    </xdr:from>
    <xdr:to>
      <xdr:col>6</xdr:col>
      <xdr:colOff>409575</xdr:colOff>
      <xdr:row>42</xdr:row>
      <xdr:rowOff>28575</xdr:rowOff>
    </xdr:to>
    <xdr:sp macro="" textlink="">
      <xdr:nvSpPr>
        <xdr:cNvPr id="5" name="Obdĺžnik 4"/>
        <xdr:cNvSpPr/>
      </xdr:nvSpPr>
      <xdr:spPr>
        <a:xfrm>
          <a:off x="3571875" y="5657850"/>
          <a:ext cx="5048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sk-SK" sz="1100"/>
            <a:t>Yt3</a:t>
          </a:r>
        </a:p>
      </xdr:txBody>
    </xdr:sp>
    <xdr:clientData/>
  </xdr:twoCellAnchor>
  <xdr:twoCellAnchor>
    <xdr:from>
      <xdr:col>3</xdr:col>
      <xdr:colOff>504825</xdr:colOff>
      <xdr:row>46</xdr:row>
      <xdr:rowOff>38100</xdr:rowOff>
    </xdr:from>
    <xdr:to>
      <xdr:col>4</xdr:col>
      <xdr:colOff>390525</xdr:colOff>
      <xdr:row>48</xdr:row>
      <xdr:rowOff>152400</xdr:rowOff>
    </xdr:to>
    <xdr:sp macro="" textlink="">
      <xdr:nvSpPr>
        <xdr:cNvPr id="6" name="Obdĺžnik 5"/>
        <xdr:cNvSpPr/>
      </xdr:nvSpPr>
      <xdr:spPr>
        <a:xfrm>
          <a:off x="2333625" y="6753225"/>
          <a:ext cx="4953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sk-SK" sz="1100"/>
            <a:t>Xt2</a:t>
          </a:r>
        </a:p>
      </xdr:txBody>
    </xdr:sp>
    <xdr:clientData/>
  </xdr:twoCellAnchor>
  <xdr:twoCellAnchor>
    <xdr:from>
      <xdr:col>7</xdr:col>
      <xdr:colOff>495301</xdr:colOff>
      <xdr:row>46</xdr:row>
      <xdr:rowOff>57150</xdr:rowOff>
    </xdr:from>
    <xdr:to>
      <xdr:col>8</xdr:col>
      <xdr:colOff>257176</xdr:colOff>
      <xdr:row>50</xdr:row>
      <xdr:rowOff>9525</xdr:rowOff>
    </xdr:to>
    <xdr:sp macro="" textlink="">
      <xdr:nvSpPr>
        <xdr:cNvPr id="7" name="Obdĺžnik 6"/>
        <xdr:cNvSpPr/>
      </xdr:nvSpPr>
      <xdr:spPr>
        <a:xfrm>
          <a:off x="4800601" y="6772275"/>
          <a:ext cx="5143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sk-SK" sz="1100"/>
            <a:t>Y</a:t>
          </a:r>
          <a:r>
            <a:rPr lang="sk-SK" sz="1100" baseline="-25000"/>
            <a:t>t-1,3</a:t>
          </a:r>
        </a:p>
      </xdr:txBody>
    </xdr:sp>
    <xdr:clientData/>
  </xdr:twoCellAnchor>
  <xdr:twoCellAnchor>
    <xdr:from>
      <xdr:col>5</xdr:col>
      <xdr:colOff>542925</xdr:colOff>
      <xdr:row>46</xdr:row>
      <xdr:rowOff>28575</xdr:rowOff>
    </xdr:from>
    <xdr:to>
      <xdr:col>6</xdr:col>
      <xdr:colOff>428625</xdr:colOff>
      <xdr:row>48</xdr:row>
      <xdr:rowOff>142875</xdr:rowOff>
    </xdr:to>
    <xdr:sp macro="" textlink="">
      <xdr:nvSpPr>
        <xdr:cNvPr id="8" name="Obdĺžnik 7"/>
        <xdr:cNvSpPr/>
      </xdr:nvSpPr>
      <xdr:spPr>
        <a:xfrm>
          <a:off x="3590925" y="6743700"/>
          <a:ext cx="5048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sk-SK" sz="1100"/>
            <a:t>Xt3</a:t>
          </a:r>
        </a:p>
      </xdr:txBody>
    </xdr:sp>
    <xdr:clientData/>
  </xdr:twoCellAnchor>
  <xdr:twoCellAnchor>
    <xdr:from>
      <xdr:col>1</xdr:col>
      <xdr:colOff>552450</xdr:colOff>
      <xdr:row>42</xdr:row>
      <xdr:rowOff>28575</xdr:rowOff>
    </xdr:from>
    <xdr:to>
      <xdr:col>2</xdr:col>
      <xdr:colOff>476250</xdr:colOff>
      <xdr:row>46</xdr:row>
      <xdr:rowOff>9525</xdr:rowOff>
    </xdr:to>
    <xdr:cxnSp macro="">
      <xdr:nvCxnSpPr>
        <xdr:cNvPr id="9" name="Rovná spojovacia šípka 8"/>
        <xdr:cNvCxnSpPr>
          <a:stCxn id="4" idx="0"/>
          <a:endCxn id="2" idx="2"/>
        </xdr:cNvCxnSpPr>
      </xdr:nvCxnSpPr>
      <xdr:spPr>
        <a:xfrm flipV="1">
          <a:off x="1162050" y="6096000"/>
          <a:ext cx="533400" cy="6286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466724</xdr:colOff>
      <xdr:row>36</xdr:row>
      <xdr:rowOff>9526</xdr:rowOff>
    </xdr:from>
    <xdr:to>
      <xdr:col>8</xdr:col>
      <xdr:colOff>1</xdr:colOff>
      <xdr:row>46</xdr:row>
      <xdr:rowOff>57150</xdr:rowOff>
    </xdr:to>
    <xdr:cxnSp macro="">
      <xdr:nvCxnSpPr>
        <xdr:cNvPr id="10" name="Tvar 9"/>
        <xdr:cNvCxnSpPr>
          <a:stCxn id="7" idx="0"/>
        </xdr:cNvCxnSpPr>
      </xdr:nvCxnSpPr>
      <xdr:spPr>
        <a:xfrm rot="16200000" flipV="1">
          <a:off x="2538413" y="4252912"/>
          <a:ext cx="1666874" cy="3371852"/>
        </a:xfrm>
        <a:prstGeom prst="bentConnector2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44</xdr:row>
      <xdr:rowOff>0</xdr:rowOff>
    </xdr:from>
    <xdr:to>
      <xdr:col>2</xdr:col>
      <xdr:colOff>571500</xdr:colOff>
      <xdr:row>47</xdr:row>
      <xdr:rowOff>66675</xdr:rowOff>
    </xdr:to>
    <xdr:cxnSp macro="">
      <xdr:nvCxnSpPr>
        <xdr:cNvPr id="11" name="Tvar 10"/>
        <xdr:cNvCxnSpPr>
          <a:stCxn id="4" idx="3"/>
        </xdr:cNvCxnSpPr>
      </xdr:nvCxnSpPr>
      <xdr:spPr>
        <a:xfrm flipV="1">
          <a:off x="1409700" y="6391275"/>
          <a:ext cx="381000" cy="552450"/>
        </a:xfrm>
        <a:prstGeom prst="bentConnector2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42</xdr:row>
      <xdr:rowOff>28575</xdr:rowOff>
    </xdr:from>
    <xdr:to>
      <xdr:col>4</xdr:col>
      <xdr:colOff>57150</xdr:colOff>
      <xdr:row>46</xdr:row>
      <xdr:rowOff>28575</xdr:rowOff>
    </xdr:to>
    <xdr:cxnSp macro="">
      <xdr:nvCxnSpPr>
        <xdr:cNvPr id="12" name="Rovná spojovacia šípka 11"/>
        <xdr:cNvCxnSpPr/>
      </xdr:nvCxnSpPr>
      <xdr:spPr>
        <a:xfrm flipV="1">
          <a:off x="2495550" y="6096000"/>
          <a:ext cx="0" cy="6477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41</xdr:row>
      <xdr:rowOff>76200</xdr:rowOff>
    </xdr:from>
    <xdr:to>
      <xdr:col>3</xdr:col>
      <xdr:colOff>514350</xdr:colOff>
      <xdr:row>44</xdr:row>
      <xdr:rowOff>1</xdr:rowOff>
    </xdr:to>
    <xdr:cxnSp macro="">
      <xdr:nvCxnSpPr>
        <xdr:cNvPr id="13" name="Zalomená spojnica 12"/>
        <xdr:cNvCxnSpPr/>
      </xdr:nvCxnSpPr>
      <xdr:spPr>
        <a:xfrm flipV="1">
          <a:off x="1790700" y="5981700"/>
          <a:ext cx="552450" cy="409576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40</xdr:row>
      <xdr:rowOff>123825</xdr:rowOff>
    </xdr:from>
    <xdr:to>
      <xdr:col>3</xdr:col>
      <xdr:colOff>514350</xdr:colOff>
      <xdr:row>40</xdr:row>
      <xdr:rowOff>133350</xdr:rowOff>
    </xdr:to>
    <xdr:cxnSp macro="">
      <xdr:nvCxnSpPr>
        <xdr:cNvPr id="14" name="Rovná spojovacia šípka 13"/>
        <xdr:cNvCxnSpPr>
          <a:stCxn id="2" idx="3"/>
          <a:endCxn id="3" idx="1"/>
        </xdr:cNvCxnSpPr>
      </xdr:nvCxnSpPr>
      <xdr:spPr>
        <a:xfrm flipV="1">
          <a:off x="1943100" y="5867400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42</xdr:row>
      <xdr:rowOff>28575</xdr:rowOff>
    </xdr:from>
    <xdr:to>
      <xdr:col>6</xdr:col>
      <xdr:colOff>180975</xdr:colOff>
      <xdr:row>46</xdr:row>
      <xdr:rowOff>28575</xdr:rowOff>
    </xdr:to>
    <xdr:cxnSp macro="">
      <xdr:nvCxnSpPr>
        <xdr:cNvPr id="15" name="Rovná spojovacia šípka 14"/>
        <xdr:cNvCxnSpPr>
          <a:stCxn id="8" idx="0"/>
          <a:endCxn id="5" idx="2"/>
        </xdr:cNvCxnSpPr>
      </xdr:nvCxnSpPr>
      <xdr:spPr>
        <a:xfrm flipH="1" flipV="1">
          <a:off x="3829050" y="6096000"/>
          <a:ext cx="19050" cy="6477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38</xdr:row>
      <xdr:rowOff>19050</xdr:rowOff>
    </xdr:from>
    <xdr:to>
      <xdr:col>3</xdr:col>
      <xdr:colOff>19050</xdr:colOff>
      <xdr:row>39</xdr:row>
      <xdr:rowOff>47625</xdr:rowOff>
    </xdr:to>
    <xdr:cxnSp macro="">
      <xdr:nvCxnSpPr>
        <xdr:cNvPr id="16" name="Rovná spojnica 15"/>
        <xdr:cNvCxnSpPr/>
      </xdr:nvCxnSpPr>
      <xdr:spPr>
        <a:xfrm flipV="1">
          <a:off x="1847850" y="5438775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38</xdr:row>
      <xdr:rowOff>9525</xdr:rowOff>
    </xdr:from>
    <xdr:to>
      <xdr:col>6</xdr:col>
      <xdr:colOff>161925</xdr:colOff>
      <xdr:row>39</xdr:row>
      <xdr:rowOff>76200</xdr:rowOff>
    </xdr:to>
    <xdr:cxnSp macro="">
      <xdr:nvCxnSpPr>
        <xdr:cNvPr id="17" name="Tvar 16"/>
        <xdr:cNvCxnSpPr>
          <a:endCxn id="5" idx="0"/>
        </xdr:cNvCxnSpPr>
      </xdr:nvCxnSpPr>
      <xdr:spPr>
        <a:xfrm>
          <a:off x="1857375" y="5429250"/>
          <a:ext cx="1971675" cy="2286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36</xdr:row>
      <xdr:rowOff>19050</xdr:rowOff>
    </xdr:from>
    <xdr:to>
      <xdr:col>2</xdr:col>
      <xdr:colOff>476250</xdr:colOff>
      <xdr:row>39</xdr:row>
      <xdr:rowOff>76200</xdr:rowOff>
    </xdr:to>
    <xdr:cxnSp macro="">
      <xdr:nvCxnSpPr>
        <xdr:cNvPr id="18" name="Rovná spojovacia šípka 17"/>
        <xdr:cNvCxnSpPr>
          <a:endCxn id="2" idx="0"/>
        </xdr:cNvCxnSpPr>
      </xdr:nvCxnSpPr>
      <xdr:spPr>
        <a:xfrm>
          <a:off x="1695450" y="5114925"/>
          <a:ext cx="0" cy="54292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600075</xdr:colOff>
          <xdr:row>4</xdr:row>
          <xdr:rowOff>152400</xdr:rowOff>
        </xdr:from>
        <xdr:to>
          <xdr:col>5</xdr:col>
          <xdr:colOff>209550</xdr:colOff>
          <xdr:row>9</xdr:row>
          <xdr:rowOff>152400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600075</xdr:colOff>
          <xdr:row>51</xdr:row>
          <xdr:rowOff>152400</xdr:rowOff>
        </xdr:from>
        <xdr:to>
          <xdr:col>15</xdr:col>
          <xdr:colOff>209550</xdr:colOff>
          <xdr:row>56</xdr:row>
          <xdr:rowOff>133350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581025</xdr:colOff>
          <xdr:row>87</xdr:row>
          <xdr:rowOff>76200</xdr:rowOff>
        </xdr:from>
        <xdr:to>
          <xdr:col>6</xdr:col>
          <xdr:colOff>180975</xdr:colOff>
          <xdr:row>92</xdr:row>
          <xdr:rowOff>76200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vmlDrawing" Target="../drawings/vmlDrawing5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Relationship Id="rId9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5"/>
  <sheetViews>
    <sheetView workbookViewId="0">
      <selection activeCell="N11" sqref="N11"/>
    </sheetView>
  </sheetViews>
  <sheetFormatPr defaultRowHeight="15" x14ac:dyDescent="0.25"/>
  <cols>
    <col min="10" max="11" width="12.140625" bestFit="1" customWidth="1"/>
    <col min="12" max="12" width="12.28515625" bestFit="1" customWidth="1"/>
    <col min="13" max="13" width="12.140625" bestFit="1" customWidth="1"/>
    <col min="14" max="14" width="14.140625" bestFit="1" customWidth="1"/>
    <col min="15" max="15" width="12.85546875" bestFit="1" customWidth="1"/>
    <col min="16" max="16" width="12.140625" bestFit="1" customWidth="1"/>
    <col min="17" max="20" width="12" bestFit="1" customWidth="1"/>
    <col min="21" max="23" width="14.140625" bestFit="1" customWidth="1"/>
  </cols>
  <sheetData>
    <row r="2" spans="3:20" x14ac:dyDescent="0.25">
      <c r="C2" t="s">
        <v>2</v>
      </c>
      <c r="J2" s="1" t="s">
        <v>5</v>
      </c>
    </row>
    <row r="3" spans="3:20" x14ac:dyDescent="0.25">
      <c r="C3" s="1" t="s">
        <v>0</v>
      </c>
      <c r="D3" s="1" t="s">
        <v>1</v>
      </c>
      <c r="F3" s="1"/>
      <c r="G3" s="1" t="s">
        <v>4</v>
      </c>
      <c r="H3" s="1" t="s">
        <v>3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</row>
    <row r="4" spans="3:20" x14ac:dyDescent="0.25">
      <c r="C4">
        <v>1991</v>
      </c>
      <c r="D4">
        <v>505</v>
      </c>
      <c r="F4">
        <v>1</v>
      </c>
      <c r="G4">
        <v>5100</v>
      </c>
      <c r="H4">
        <v>2.3199999999999998</v>
      </c>
      <c r="J4">
        <f t="array" ref="J4:T6">TRANSPOSE(F4:H14)</f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3:20" x14ac:dyDescent="0.25">
      <c r="C5">
        <v>1992</v>
      </c>
      <c r="D5">
        <v>478</v>
      </c>
      <c r="F5">
        <v>1</v>
      </c>
      <c r="G5">
        <v>5689</v>
      </c>
      <c r="H5">
        <v>3.2</v>
      </c>
      <c r="J5">
        <v>5100</v>
      </c>
      <c r="K5">
        <v>5689</v>
      </c>
      <c r="L5">
        <v>5956</v>
      </c>
      <c r="M5">
        <v>6399</v>
      </c>
      <c r="N5">
        <v>7300</v>
      </c>
      <c r="O5">
        <v>8259</v>
      </c>
      <c r="P5">
        <v>9331</v>
      </c>
      <c r="Q5">
        <v>101105</v>
      </c>
      <c r="R5">
        <v>10833</v>
      </c>
      <c r="S5">
        <v>11535</v>
      </c>
      <c r="T5">
        <v>12740</v>
      </c>
    </row>
    <row r="6" spans="3:20" x14ac:dyDescent="0.25">
      <c r="C6">
        <v>1993</v>
      </c>
      <c r="D6">
        <v>443</v>
      </c>
      <c r="F6">
        <v>1</v>
      </c>
      <c r="G6">
        <v>5956</v>
      </c>
      <c r="H6">
        <v>7</v>
      </c>
      <c r="J6">
        <v>2.3199999999999998</v>
      </c>
      <c r="K6">
        <v>3.2</v>
      </c>
      <c r="L6">
        <v>7</v>
      </c>
      <c r="M6">
        <v>12</v>
      </c>
      <c r="N6">
        <v>15</v>
      </c>
      <c r="O6">
        <v>20</v>
      </c>
      <c r="P6">
        <v>24.2</v>
      </c>
      <c r="Q6">
        <v>24</v>
      </c>
      <c r="R6">
        <v>25</v>
      </c>
      <c r="S6">
        <v>27.35</v>
      </c>
      <c r="T6">
        <v>29</v>
      </c>
    </row>
    <row r="7" spans="3:20" x14ac:dyDescent="0.25">
      <c r="C7">
        <v>1994</v>
      </c>
      <c r="D7">
        <v>426</v>
      </c>
      <c r="F7">
        <v>1</v>
      </c>
      <c r="G7">
        <v>6399</v>
      </c>
      <c r="H7">
        <v>12</v>
      </c>
    </row>
    <row r="8" spans="3:20" x14ac:dyDescent="0.25">
      <c r="C8">
        <v>1995</v>
      </c>
      <c r="D8">
        <v>395</v>
      </c>
      <c r="F8">
        <v>1</v>
      </c>
      <c r="G8">
        <v>7300</v>
      </c>
      <c r="H8">
        <v>15</v>
      </c>
    </row>
    <row r="9" spans="3:20" x14ac:dyDescent="0.25">
      <c r="C9">
        <v>1996</v>
      </c>
      <c r="D9">
        <v>385</v>
      </c>
      <c r="F9">
        <v>1</v>
      </c>
      <c r="G9">
        <v>8259</v>
      </c>
      <c r="H9">
        <v>20</v>
      </c>
      <c r="J9" s="1" t="s">
        <v>8</v>
      </c>
      <c r="N9" s="1" t="s">
        <v>16</v>
      </c>
    </row>
    <row r="10" spans="3:20" x14ac:dyDescent="0.25">
      <c r="C10">
        <v>1997</v>
      </c>
      <c r="D10">
        <v>380</v>
      </c>
      <c r="F10">
        <v>1</v>
      </c>
      <c r="G10">
        <v>9331</v>
      </c>
      <c r="H10">
        <v>24.2</v>
      </c>
      <c r="J10" s="1" t="s">
        <v>7</v>
      </c>
      <c r="N10" s="1" t="s">
        <v>6</v>
      </c>
    </row>
    <row r="11" spans="3:20" x14ac:dyDescent="0.25">
      <c r="C11">
        <v>1998</v>
      </c>
      <c r="D11">
        <v>406</v>
      </c>
      <c r="F11">
        <v>1</v>
      </c>
      <c r="G11">
        <v>101105</v>
      </c>
      <c r="H11">
        <v>24</v>
      </c>
      <c r="J11">
        <f t="array" ref="J11:L13">MMULT(J4:T6,F4:H14)</f>
        <v>11</v>
      </c>
      <c r="K11">
        <v>184247</v>
      </c>
      <c r="L11">
        <v>189.07</v>
      </c>
      <c r="N11">
        <f t="array" ref="N11:P13">MINVERSE(J11:L13)</f>
        <v>0.39903280028276622</v>
      </c>
      <c r="O11">
        <v>-1.7782726399457197E-7</v>
      </c>
      <c r="P11">
        <v>-1.7753195447195325E-2</v>
      </c>
    </row>
    <row r="12" spans="3:20" x14ac:dyDescent="0.25">
      <c r="C12">
        <v>1999</v>
      </c>
      <c r="D12">
        <v>410</v>
      </c>
      <c r="F12">
        <v>1</v>
      </c>
      <c r="G12">
        <v>10833</v>
      </c>
      <c r="H12">
        <v>25</v>
      </c>
      <c r="J12">
        <v>184247</v>
      </c>
      <c r="K12">
        <v>10978303239</v>
      </c>
      <c r="L12">
        <v>4031294.25</v>
      </c>
      <c r="N12">
        <v>-1.7782726399457248E-7</v>
      </c>
      <c r="O12">
        <v>1.4057854643452353E-10</v>
      </c>
      <c r="P12">
        <v>-1.2664661522706594E-7</v>
      </c>
    </row>
    <row r="13" spans="3:20" x14ac:dyDescent="0.25">
      <c r="C13">
        <v>2000</v>
      </c>
      <c r="D13">
        <v>714</v>
      </c>
      <c r="F13">
        <v>1</v>
      </c>
      <c r="G13">
        <v>11535</v>
      </c>
      <c r="H13">
        <v>27.35</v>
      </c>
      <c r="J13">
        <v>189.07</v>
      </c>
      <c r="K13">
        <v>4031294.25</v>
      </c>
      <c r="L13">
        <v>4209.2849000000006</v>
      </c>
      <c r="N13">
        <v>-1.7753195447195325E-2</v>
      </c>
      <c r="O13">
        <v>-1.2664661522706599E-7</v>
      </c>
      <c r="P13">
        <v>1.1562881939751934E-3</v>
      </c>
    </row>
    <row r="14" spans="3:20" x14ac:dyDescent="0.25">
      <c r="C14">
        <v>2001</v>
      </c>
      <c r="D14">
        <v>1065</v>
      </c>
      <c r="F14">
        <v>1</v>
      </c>
      <c r="G14">
        <v>12740</v>
      </c>
      <c r="H14">
        <v>29</v>
      </c>
    </row>
    <row r="16" spans="3:20" x14ac:dyDescent="0.25">
      <c r="J16" s="1" t="s">
        <v>17</v>
      </c>
    </row>
    <row r="17" spans="9:20" x14ac:dyDescent="0.25">
      <c r="J17">
        <f t="array" ref="J17:T19">MMULT(N11:P13,J4:T6)</f>
        <v>0.35693846779890076</v>
      </c>
      <c r="K17">
        <v>0.34121091554687605</v>
      </c>
      <c r="L17">
        <v>0.27370129296804724</v>
      </c>
      <c r="M17">
        <v>0.18485653825412102</v>
      </c>
      <c r="N17">
        <v>0.13143672954767599</v>
      </c>
      <c r="O17">
        <v>4.2500215965528554E-2</v>
      </c>
      <c r="P17">
        <v>-3.2253835739693981E-2</v>
      </c>
      <c r="Q17">
        <v>-4.502311597609282E-2</v>
      </c>
      <c r="R17">
        <v>-4.6723488647970102E-2</v>
      </c>
      <c r="S17">
        <v>-8.8568332688203355E-2</v>
      </c>
      <c r="T17">
        <v>-0.11807538702918902</v>
      </c>
    </row>
    <row r="18" spans="9:20" x14ac:dyDescent="0.25">
      <c r="J18">
        <v>2.4530317549470455E-7</v>
      </c>
      <c r="K18">
        <v>2.1665491794482091E-7</v>
      </c>
      <c r="L18">
        <v>-2.2706774802001191E-7</v>
      </c>
      <c r="M18">
        <v>-7.9802452808484778E-7</v>
      </c>
      <c r="N18">
        <v>-1.0513031034285397E-6</v>
      </c>
      <c r="O18">
        <v>-1.5497213535331613E-6</v>
      </c>
      <c r="P18">
        <v>-1.9309369357090291E-6</v>
      </c>
      <c r="Q18">
        <v>1.0995847907818345E-5</v>
      </c>
      <c r="R18">
        <v>-1.8211052511460275E-6</v>
      </c>
      <c r="S18">
        <v>-2.0200386573325969E-6</v>
      </c>
      <c r="T18">
        <v>-2.0596084240036547E-6</v>
      </c>
    </row>
    <row r="19" spans="9:20" x14ac:dyDescent="0.25">
      <c r="J19">
        <v>-1.5716504574830911E-2</v>
      </c>
      <c r="K19">
        <v>-1.4773565820501485E-2</v>
      </c>
      <c r="L19">
        <v>-1.0413485329661378E-2</v>
      </c>
      <c r="M19">
        <v>-4.6881488103309998E-3</v>
      </c>
      <c r="N19">
        <v>-1.3333928287250045E-3</v>
      </c>
      <c r="O19">
        <v>4.3265940371482077E-3</v>
      </c>
      <c r="P19">
        <v>9.0472392803206021E-3</v>
      </c>
      <c r="Q19">
        <v>-2.8068848243231921E-3</v>
      </c>
      <c r="R19">
        <v>9.7820466194297045E-3</v>
      </c>
      <c r="S19">
        <v>1.2410417951382011E-2</v>
      </c>
      <c r="T19">
        <v>1.4165684300092466E-2</v>
      </c>
    </row>
    <row r="21" spans="9:20" x14ac:dyDescent="0.25">
      <c r="J21" s="1" t="s">
        <v>9</v>
      </c>
      <c r="L21">
        <f t="array" ref="L21:N25">LINEST(D4:D14,G4:H14,1,1)</f>
        <v>9.7866108689233897</v>
      </c>
      <c r="M21">
        <v>-1.876903264763523E-3</v>
      </c>
      <c r="N21">
        <v>372.95084353050368</v>
      </c>
    </row>
    <row r="22" spans="9:20" x14ac:dyDescent="0.25">
      <c r="I22" s="1" t="s">
        <v>10</v>
      </c>
      <c r="J22">
        <f t="array" ref="J22:J24">MMULT(J17:T19,D4:D14)</f>
        <v>372.9508435305039</v>
      </c>
      <c r="L22">
        <v>7.0189504392299389</v>
      </c>
      <c r="M22">
        <v>2.4473644902339607E-3</v>
      </c>
      <c r="N22">
        <v>130.38974264261569</v>
      </c>
    </row>
    <row r="23" spans="9:20" x14ac:dyDescent="0.25">
      <c r="I23" s="1" t="s">
        <v>11</v>
      </c>
      <c r="J23">
        <v>-1.8769032647635219E-3</v>
      </c>
      <c r="L23">
        <v>0.20509855491696455</v>
      </c>
      <c r="M23">
        <v>206.41399061689748</v>
      </c>
      <c r="N23" t="e">
        <v>#N/A</v>
      </c>
    </row>
    <row r="24" spans="9:20" x14ac:dyDescent="0.25">
      <c r="I24" s="1" t="s">
        <v>12</v>
      </c>
      <c r="J24">
        <v>9.786610868923395</v>
      </c>
      <c r="L24">
        <v>1.0320703588382076</v>
      </c>
      <c r="M24">
        <v>8</v>
      </c>
      <c r="N24" t="e">
        <v>#N/A</v>
      </c>
    </row>
    <row r="25" spans="9:20" x14ac:dyDescent="0.25">
      <c r="L25">
        <v>87946.297639040742</v>
      </c>
      <c r="M25">
        <v>340853.88417914108</v>
      </c>
      <c r="N25" t="e"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4"/>
  <sheetViews>
    <sheetView topLeftCell="A28" zoomScaleNormal="100" workbookViewId="0">
      <selection activeCell="B35" sqref="B34:C35"/>
    </sheetView>
  </sheetViews>
  <sheetFormatPr defaultRowHeight="15" x14ac:dyDescent="0.25"/>
  <cols>
    <col min="5" max="5" width="14.7109375" customWidth="1"/>
    <col min="8" max="9" width="9.28515625" bestFit="1" customWidth="1"/>
    <col min="10" max="12" width="14.140625" bestFit="1" customWidth="1"/>
  </cols>
  <sheetData>
    <row r="1" spans="1:16" ht="15.75" thickBot="1" x14ac:dyDescent="0.3"/>
    <row r="2" spans="1:16" x14ac:dyDescent="0.25">
      <c r="A2" s="2"/>
      <c r="B2" s="60" t="s">
        <v>19</v>
      </c>
      <c r="C2" s="3"/>
      <c r="D2" s="3"/>
      <c r="E2" s="60" t="s">
        <v>21</v>
      </c>
      <c r="F2" s="61" t="s">
        <v>20</v>
      </c>
    </row>
    <row r="3" spans="1:16" ht="15.75" thickBot="1" x14ac:dyDescent="0.3">
      <c r="A3" s="17" t="s">
        <v>22</v>
      </c>
      <c r="B3" s="34" t="s">
        <v>13</v>
      </c>
      <c r="C3" s="9"/>
      <c r="D3" s="9"/>
      <c r="E3" s="34" t="s">
        <v>33</v>
      </c>
      <c r="F3" s="62" t="s">
        <v>34</v>
      </c>
    </row>
    <row r="4" spans="1:16" ht="15.75" thickBot="1" x14ac:dyDescent="0.3">
      <c r="A4" s="5">
        <v>1</v>
      </c>
      <c r="B4" s="6">
        <v>6.1</v>
      </c>
      <c r="C4" s="6"/>
      <c r="D4" s="6">
        <v>1</v>
      </c>
      <c r="E4" s="6">
        <v>103</v>
      </c>
      <c r="F4" s="7">
        <v>110</v>
      </c>
      <c r="H4" s="1" t="s">
        <v>14</v>
      </c>
      <c r="I4" s="1" t="s">
        <v>106</v>
      </c>
    </row>
    <row r="5" spans="1:16" x14ac:dyDescent="0.25">
      <c r="A5" s="5">
        <v>2</v>
      </c>
      <c r="B5" s="6">
        <v>7.3</v>
      </c>
      <c r="C5" s="6"/>
      <c r="D5" s="6">
        <v>1</v>
      </c>
      <c r="E5" s="6">
        <v>102</v>
      </c>
      <c r="F5" s="7">
        <v>114</v>
      </c>
      <c r="H5" s="2">
        <f t="array" ref="H5:P7">TRANSPOSE(D4:F12)</f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4">
        <v>1</v>
      </c>
    </row>
    <row r="6" spans="1:16" x14ac:dyDescent="0.25">
      <c r="A6" s="5">
        <v>3</v>
      </c>
      <c r="B6" s="6">
        <v>9.6</v>
      </c>
      <c r="C6" s="6"/>
      <c r="D6" s="6">
        <v>1</v>
      </c>
      <c r="E6" s="6">
        <v>100</v>
      </c>
      <c r="F6" s="7">
        <v>130</v>
      </c>
      <c r="H6" s="5">
        <v>103</v>
      </c>
      <c r="I6" s="6">
        <v>102</v>
      </c>
      <c r="J6" s="6">
        <v>100</v>
      </c>
      <c r="K6" s="6">
        <v>94</v>
      </c>
      <c r="L6" s="6">
        <v>98</v>
      </c>
      <c r="M6" s="6">
        <v>97</v>
      </c>
      <c r="N6" s="6">
        <v>98</v>
      </c>
      <c r="O6" s="6">
        <v>97</v>
      </c>
      <c r="P6" s="7">
        <v>96</v>
      </c>
    </row>
    <row r="7" spans="1:16" ht="15.75" thickBot="1" x14ac:dyDescent="0.3">
      <c r="A7" s="5">
        <v>4</v>
      </c>
      <c r="B7" s="6">
        <v>10.199999999999999</v>
      </c>
      <c r="C7" s="6"/>
      <c r="D7" s="6">
        <v>1</v>
      </c>
      <c r="E7" s="6">
        <v>94</v>
      </c>
      <c r="F7" s="7">
        <v>135</v>
      </c>
      <c r="H7" s="8">
        <v>110</v>
      </c>
      <c r="I7" s="9">
        <v>114</v>
      </c>
      <c r="J7" s="9">
        <v>130</v>
      </c>
      <c r="K7" s="9">
        <v>135</v>
      </c>
      <c r="L7" s="9">
        <v>141</v>
      </c>
      <c r="M7" s="9">
        <v>152</v>
      </c>
      <c r="N7" s="9">
        <v>160</v>
      </c>
      <c r="O7" s="9">
        <v>165</v>
      </c>
      <c r="P7" s="10">
        <v>170</v>
      </c>
    </row>
    <row r="8" spans="1:16" x14ac:dyDescent="0.25">
      <c r="A8" s="5">
        <v>5</v>
      </c>
      <c r="B8" s="6">
        <v>10.1</v>
      </c>
      <c r="C8" s="6"/>
      <c r="D8" s="6">
        <v>1</v>
      </c>
      <c r="E8" s="6">
        <v>98</v>
      </c>
      <c r="F8" s="7">
        <v>141</v>
      </c>
    </row>
    <row r="9" spans="1:16" ht="15.75" thickBot="1" x14ac:dyDescent="0.3">
      <c r="A9" s="5">
        <v>6</v>
      </c>
      <c r="B9" s="6">
        <v>11.3</v>
      </c>
      <c r="C9" s="6"/>
      <c r="D9" s="6">
        <v>1</v>
      </c>
      <c r="E9" s="6">
        <v>97</v>
      </c>
      <c r="F9" s="7">
        <v>152</v>
      </c>
      <c r="H9" s="1" t="s">
        <v>15</v>
      </c>
      <c r="I9" s="1" t="s">
        <v>107</v>
      </c>
      <c r="L9" s="1" t="s">
        <v>29</v>
      </c>
      <c r="M9" s="1" t="s">
        <v>108</v>
      </c>
    </row>
    <row r="10" spans="1:16" x14ac:dyDescent="0.25">
      <c r="A10" s="5">
        <v>7</v>
      </c>
      <c r="B10" s="6">
        <v>12.2</v>
      </c>
      <c r="C10" s="6"/>
      <c r="D10" s="6">
        <v>1</v>
      </c>
      <c r="E10" s="6">
        <v>98</v>
      </c>
      <c r="F10" s="7">
        <v>160</v>
      </c>
      <c r="H10" s="2">
        <f t="array" ref="H10:J12">MMULT(H5:P7,D4:F12)</f>
        <v>9</v>
      </c>
      <c r="I10" s="3">
        <v>885</v>
      </c>
      <c r="J10" s="4">
        <v>1277</v>
      </c>
      <c r="L10" s="2">
        <f t="array" ref="L10:N12">MINVERSE(H10:J12)</f>
        <v>396.86756133830676</v>
      </c>
      <c r="M10" s="3">
        <v>-3.4984944237919722</v>
      </c>
      <c r="N10" s="4">
        <v>-0.37168401486990227</v>
      </c>
    </row>
    <row r="11" spans="1:16" x14ac:dyDescent="0.25">
      <c r="A11" s="5">
        <v>8</v>
      </c>
      <c r="B11" s="6">
        <v>12.5</v>
      </c>
      <c r="C11" s="6"/>
      <c r="D11" s="6">
        <v>1</v>
      </c>
      <c r="E11" s="6">
        <v>97</v>
      </c>
      <c r="F11" s="7">
        <v>165</v>
      </c>
      <c r="H11" s="5">
        <v>885</v>
      </c>
      <c r="I11" s="6">
        <v>87091</v>
      </c>
      <c r="J11" s="7">
        <v>125215</v>
      </c>
      <c r="L11" s="5">
        <v>-3.4984944237919851</v>
      </c>
      <c r="M11" s="6">
        <v>3.1273234200744959E-2</v>
      </c>
      <c r="N11" s="7">
        <v>2.9832713754648203E-3</v>
      </c>
    </row>
    <row r="12" spans="1:16" ht="15.75" thickBot="1" x14ac:dyDescent="0.3">
      <c r="A12" s="8">
        <v>9</v>
      </c>
      <c r="B12" s="9">
        <v>13.2</v>
      </c>
      <c r="C12" s="9"/>
      <c r="D12" s="9">
        <v>1</v>
      </c>
      <c r="E12" s="9">
        <v>96</v>
      </c>
      <c r="F12" s="10">
        <v>170</v>
      </c>
      <c r="H12" s="8">
        <v>1277</v>
      </c>
      <c r="I12" s="9">
        <v>125215</v>
      </c>
      <c r="J12" s="10">
        <v>184931</v>
      </c>
      <c r="L12" s="8">
        <v>-0.3716840148698935</v>
      </c>
      <c r="M12" s="9">
        <v>2.9832713754647305E-3</v>
      </c>
      <c r="N12" s="10">
        <v>5.5204460966543057E-4</v>
      </c>
    </row>
    <row r="15" spans="1:16" ht="15.75" thickBot="1" x14ac:dyDescent="0.3">
      <c r="H15" s="1" t="s">
        <v>17</v>
      </c>
      <c r="K15" s="1" t="s">
        <v>30</v>
      </c>
    </row>
    <row r="16" spans="1:16" x14ac:dyDescent="0.25">
      <c r="H16" s="2">
        <f t="array" ref="H16:P18">MMULT(L10:N12,H5:P7)</f>
        <v>-4.3626059479556361</v>
      </c>
      <c r="I16" s="3">
        <v>-2.3508475836432368</v>
      </c>
      <c r="J16" s="3">
        <v>-1.3008029739777669</v>
      </c>
      <c r="K16" s="3">
        <v>17.831743494424558</v>
      </c>
      <c r="L16" s="3">
        <v>1.6076617100372701</v>
      </c>
      <c r="M16" s="3">
        <v>1.0176319702603038</v>
      </c>
      <c r="N16" s="3">
        <v>-5.4543345724908718</v>
      </c>
      <c r="O16" s="3">
        <v>-3.8142602230484286</v>
      </c>
      <c r="P16" s="4">
        <v>-2.1741858736059854</v>
      </c>
    </row>
    <row r="17" spans="1:17" x14ac:dyDescent="0.25">
      <c r="E17" s="1" t="s">
        <v>18</v>
      </c>
      <c r="H17" s="5">
        <v>5.0808550185875823E-2</v>
      </c>
      <c r="I17" s="6">
        <v>3.1468401486990427E-2</v>
      </c>
      <c r="J17" s="6">
        <v>1.6654275092937265E-2</v>
      </c>
      <c r="K17" s="6">
        <v>-0.15606877323420804</v>
      </c>
      <c r="L17" s="6">
        <v>-1.3076208178439519E-2</v>
      </c>
      <c r="M17" s="6">
        <v>-1.1533457249071177E-2</v>
      </c>
      <c r="N17" s="6">
        <v>4.3605947955392077E-2</v>
      </c>
      <c r="O17" s="6">
        <v>2.7249070631971517E-2</v>
      </c>
      <c r="P17" s="7">
        <v>1.0892193308550513E-2</v>
      </c>
    </row>
    <row r="18" spans="1:17" ht="15.75" thickBot="1" x14ac:dyDescent="0.3">
      <c r="H18" s="8">
        <v>-3.6821561338289052E-3</v>
      </c>
      <c r="I18" s="9">
        <v>-4.4572490706319134E-3</v>
      </c>
      <c r="J18" s="9">
        <v>-1.5910780669144697E-3</v>
      </c>
      <c r="K18" s="9">
        <v>-1.6730483271375718E-2</v>
      </c>
      <c r="L18" s="9">
        <v>-1.48513011152418E-3</v>
      </c>
      <c r="M18" s="9">
        <v>1.6040892193308343E-3</v>
      </c>
      <c r="N18" s="9">
        <v>9.003717472119005E-3</v>
      </c>
      <c r="O18" s="9">
        <v>8.7806691449814206E-3</v>
      </c>
      <c r="P18" s="10">
        <v>8.5576208178437946E-3</v>
      </c>
    </row>
    <row r="19" spans="1:17" x14ac:dyDescent="0.25">
      <c r="D19" s="1" t="s">
        <v>10</v>
      </c>
      <c r="E19">
        <f t="array" ref="E19:E21">MMULT(H16:P18,B4:B12)</f>
        <v>10.439227881043756</v>
      </c>
    </row>
    <row r="20" spans="1:17" ht="15.75" thickBot="1" x14ac:dyDescent="0.3">
      <c r="A20" t="s">
        <v>67</v>
      </c>
      <c r="D20" s="1" t="s">
        <v>11</v>
      </c>
      <c r="E20">
        <v>-0.13838382899630083</v>
      </c>
      <c r="H20" s="1" t="s">
        <v>12</v>
      </c>
      <c r="I20" s="1" t="s">
        <v>11</v>
      </c>
      <c r="J20" s="1" t="s">
        <v>10</v>
      </c>
    </row>
    <row r="21" spans="1:17" x14ac:dyDescent="0.25">
      <c r="D21" s="1" t="s">
        <v>12</v>
      </c>
      <c r="E21">
        <v>9.4766356877321406E-2</v>
      </c>
      <c r="H21" s="2">
        <f t="array" ref="H21:J25">LINEST(B4:B12,E4:F12,1,1)</f>
        <v>9.4766356877323432E-2</v>
      </c>
      <c r="I21" s="3">
        <v>-0.13838382899628252</v>
      </c>
      <c r="J21" s="4">
        <v>10.439227881040891</v>
      </c>
      <c r="K21" s="1" t="s">
        <v>38</v>
      </c>
      <c r="L21" s="1" t="s">
        <v>24</v>
      </c>
      <c r="M21" s="1" t="s">
        <v>40</v>
      </c>
      <c r="O21" s="14" t="s">
        <v>37</v>
      </c>
    </row>
    <row r="22" spans="1:17" ht="15.75" thickBot="1" x14ac:dyDescent="0.3">
      <c r="H22" s="5">
        <v>8.7870939891588843E-3</v>
      </c>
      <c r="I22" s="6">
        <v>6.6137014054459223E-2</v>
      </c>
      <c r="J22" s="7">
        <v>7.4504239530798753</v>
      </c>
      <c r="K22" s="1" t="s">
        <v>39</v>
      </c>
      <c r="M22" s="1" t="s">
        <v>27</v>
      </c>
      <c r="N22" s="1" t="s">
        <v>26</v>
      </c>
      <c r="O22" s="1" t="s">
        <v>25</v>
      </c>
    </row>
    <row r="23" spans="1:17" ht="15.75" thickBot="1" x14ac:dyDescent="0.3">
      <c r="F23" s="63" t="s">
        <v>59</v>
      </c>
      <c r="G23" s="64"/>
      <c r="H23" s="5">
        <v>0.98136574236447072</v>
      </c>
      <c r="I23" s="6">
        <v>0.37398844567299427</v>
      </c>
      <c r="J23" s="7" t="e">
        <v>#N/A</v>
      </c>
      <c r="K23" s="1"/>
      <c r="L23" s="1" t="s">
        <v>28</v>
      </c>
      <c r="M23" s="11">
        <f>H21/H22</f>
        <v>10.784720977633999</v>
      </c>
      <c r="N23" s="12">
        <f>I21/I22</f>
        <v>-2.0923809605666968</v>
      </c>
      <c r="O23" s="13">
        <f>J21/J22</f>
        <v>1.4011589067660366</v>
      </c>
    </row>
    <row r="24" spans="1:17" ht="15.75" thickBot="1" x14ac:dyDescent="0.3">
      <c r="F24" s="65">
        <f>AVERAGE(B4:B12)</f>
        <v>10.277777777777779</v>
      </c>
      <c r="G24" s="66"/>
      <c r="H24" s="5">
        <v>157.993802848363</v>
      </c>
      <c r="I24" s="6">
        <v>6</v>
      </c>
      <c r="J24" s="7" t="e">
        <v>#N/A</v>
      </c>
      <c r="K24" s="1" t="s">
        <v>23</v>
      </c>
    </row>
    <row r="25" spans="1:17" ht="15.75" thickBot="1" x14ac:dyDescent="0.3">
      <c r="E25" s="1" t="s">
        <v>32</v>
      </c>
      <c r="H25" s="8">
        <v>44.196351410574138</v>
      </c>
      <c r="I25" s="9">
        <v>0.83920414498141316</v>
      </c>
      <c r="J25" s="10" t="e">
        <v>#N/A</v>
      </c>
    </row>
    <row r="26" spans="1:17" ht="15.75" thickBot="1" x14ac:dyDescent="0.3">
      <c r="A26" t="s">
        <v>10</v>
      </c>
      <c r="B26" t="s">
        <v>11</v>
      </c>
      <c r="C26" t="s">
        <v>12</v>
      </c>
      <c r="E26" s="22" t="s">
        <v>43</v>
      </c>
      <c r="F26" s="22" t="s">
        <v>49</v>
      </c>
      <c r="G26" s="23" t="s">
        <v>47</v>
      </c>
      <c r="H26" s="17" t="s">
        <v>31</v>
      </c>
      <c r="I26" s="9"/>
      <c r="J26" s="10"/>
      <c r="N26" s="1" t="s">
        <v>35</v>
      </c>
      <c r="O26">
        <v>9</v>
      </c>
      <c r="Q26" s="1" t="s">
        <v>65</v>
      </c>
    </row>
    <row r="27" spans="1:17" x14ac:dyDescent="0.25">
      <c r="A27">
        <f>E19</f>
        <v>10.439227881043756</v>
      </c>
      <c r="B27">
        <f>E20</f>
        <v>-0.13838382899630083</v>
      </c>
      <c r="C27">
        <f>E21</f>
        <v>9.4766356877321406E-2</v>
      </c>
      <c r="E27">
        <f>$A$27+$B$27*E4+$C$27*F4</f>
        <v>6.6099927509301253</v>
      </c>
      <c r="F27">
        <f>B4-E27</f>
        <v>-0.50999275093012564</v>
      </c>
      <c r="G27">
        <f>POWER(F27,2)</f>
        <v>0.26009260600127715</v>
      </c>
      <c r="N27" s="1" t="s">
        <v>36</v>
      </c>
      <c r="O27">
        <v>2</v>
      </c>
      <c r="Q27" s="26" t="s">
        <v>66</v>
      </c>
    </row>
    <row r="28" spans="1:17" x14ac:dyDescent="0.25">
      <c r="E28">
        <f t="shared" ref="E28:E35" si="0">$A$27+$B$27*E5+$C$27*F5</f>
        <v>7.127442007435711</v>
      </c>
      <c r="F28">
        <f t="shared" ref="F28:F35" si="1">B5-E28</f>
        <v>0.17255799256428883</v>
      </c>
      <c r="G28">
        <f t="shared" ref="G28:G35" si="2">POWER(F28,2)</f>
        <v>2.9776260797817158E-2</v>
      </c>
    </row>
    <row r="29" spans="1:17" x14ac:dyDescent="0.25">
      <c r="E29">
        <f t="shared" si="0"/>
        <v>8.9204713754654552</v>
      </c>
      <c r="F29">
        <f t="shared" si="1"/>
        <v>0.67952862453454443</v>
      </c>
      <c r="G29">
        <f t="shared" si="2"/>
        <v>0.46175915156180986</v>
      </c>
      <c r="M29" t="s">
        <v>119</v>
      </c>
      <c r="N29" s="1" t="s">
        <v>41</v>
      </c>
      <c r="O29">
        <v>6</v>
      </c>
    </row>
    <row r="30" spans="1:17" x14ac:dyDescent="0.25">
      <c r="A30" s="67" t="s">
        <v>114</v>
      </c>
      <c r="B30" s="67"/>
      <c r="C30" s="67"/>
      <c r="D30" s="67"/>
      <c r="E30">
        <f t="shared" si="0"/>
        <v>10.224606133829868</v>
      </c>
      <c r="F30">
        <f t="shared" si="1"/>
        <v>-2.4606133829868426E-2</v>
      </c>
      <c r="G30">
        <f t="shared" si="2"/>
        <v>6.0546182205339547E-4</v>
      </c>
      <c r="M30" s="1" t="s">
        <v>42</v>
      </c>
      <c r="O30">
        <v>2.4500000000000002</v>
      </c>
    </row>
    <row r="31" spans="1:17" x14ac:dyDescent="0.25">
      <c r="A31" s="1" t="s">
        <v>44</v>
      </c>
      <c r="B31">
        <f>E48/F48</f>
        <v>0.98136574236446961</v>
      </c>
      <c r="E31">
        <f t="shared" si="0"/>
        <v>10.239668959108593</v>
      </c>
      <c r="F31">
        <f t="shared" si="1"/>
        <v>-0.13966895910859378</v>
      </c>
      <c r="G31">
        <f t="shared" si="2"/>
        <v>1.9507418138478044E-2</v>
      </c>
    </row>
    <row r="32" spans="1:17" x14ac:dyDescent="0.25">
      <c r="E32">
        <f t="shared" si="0"/>
        <v>11.420482713755428</v>
      </c>
      <c r="F32">
        <f t="shared" si="1"/>
        <v>-0.12048271375542718</v>
      </c>
      <c r="G32">
        <f t="shared" si="2"/>
        <v>1.4516084313872203E-2</v>
      </c>
    </row>
    <row r="33" spans="1:11" x14ac:dyDescent="0.25">
      <c r="E33">
        <f t="shared" si="0"/>
        <v>12.040229739777699</v>
      </c>
      <c r="F33">
        <f t="shared" si="1"/>
        <v>0.15977026022230056</v>
      </c>
      <c r="G33">
        <f t="shared" si="2"/>
        <v>2.5526536051501639E-2</v>
      </c>
    </row>
    <row r="34" spans="1:11" x14ac:dyDescent="0.25">
      <c r="A34" t="s">
        <v>60</v>
      </c>
      <c r="E34">
        <f t="shared" si="0"/>
        <v>12.652445353160607</v>
      </c>
      <c r="F34">
        <f t="shared" si="1"/>
        <v>-0.1524453531606067</v>
      </c>
      <c r="G34">
        <f t="shared" si="2"/>
        <v>2.3239585700262098E-2</v>
      </c>
    </row>
    <row r="35" spans="1:11" x14ac:dyDescent="0.25">
      <c r="E35">
        <f t="shared" si="0"/>
        <v>13.264660966543516</v>
      </c>
      <c r="F35">
        <f t="shared" si="1"/>
        <v>-6.4660966543517162E-2</v>
      </c>
      <c r="G35">
        <f t="shared" si="2"/>
        <v>4.1810405943418462E-3</v>
      </c>
    </row>
    <row r="36" spans="1:11" x14ac:dyDescent="0.25">
      <c r="A36" t="s">
        <v>61</v>
      </c>
    </row>
    <row r="37" spans="1:11" ht="15.75" thickBot="1" x14ac:dyDescent="0.3"/>
    <row r="38" spans="1:11" ht="15.75" thickBot="1" x14ac:dyDescent="0.3">
      <c r="A38" t="s">
        <v>62</v>
      </c>
      <c r="E38" s="20" t="s">
        <v>45</v>
      </c>
      <c r="F38" s="20" t="s">
        <v>46</v>
      </c>
      <c r="G38" s="21" t="s">
        <v>50</v>
      </c>
      <c r="I38" t="s">
        <v>52</v>
      </c>
    </row>
    <row r="39" spans="1:11" x14ac:dyDescent="0.25">
      <c r="E39" s="15">
        <f>POWER(E27-$F$24,2)</f>
        <v>13.45264700316784</v>
      </c>
      <c r="F39" s="15">
        <f>POWER(B4-$F$24,2)</f>
        <v>17.453827160493837</v>
      </c>
      <c r="G39" s="7">
        <f>POWER(B4-E27,2)</f>
        <v>0.26009260600127715</v>
      </c>
      <c r="I39" t="s">
        <v>51</v>
      </c>
    </row>
    <row r="40" spans="1:11" x14ac:dyDescent="0.25">
      <c r="A40" t="s">
        <v>48</v>
      </c>
      <c r="E40" s="15">
        <f t="shared" ref="E40:E47" si="3">POWER(E28-$F$24,2)</f>
        <v>9.924615465896748</v>
      </c>
      <c r="F40" s="15">
        <f t="shared" ref="F40:F47" si="4">POWER(B5-$F$24,2)</f>
        <v>8.867160493827166</v>
      </c>
      <c r="G40" s="7">
        <f t="shared" ref="G40:G47" si="5">POWER(B5-E28,2)</f>
        <v>2.9776260797817158E-2</v>
      </c>
      <c r="I40" t="s">
        <v>115</v>
      </c>
    </row>
    <row r="41" spans="1:11" x14ac:dyDescent="0.25">
      <c r="E41" s="15">
        <f t="shared" si="3"/>
        <v>1.8422806697580225</v>
      </c>
      <c r="F41" s="15">
        <f t="shared" si="4"/>
        <v>0.45938271604938424</v>
      </c>
      <c r="G41" s="7">
        <f t="shared" si="5"/>
        <v>0.46175915156180986</v>
      </c>
    </row>
    <row r="42" spans="1:11" x14ac:dyDescent="0.25">
      <c r="A42" s="67" t="s">
        <v>117</v>
      </c>
      <c r="B42" s="67"/>
      <c r="C42" s="67"/>
      <c r="D42" s="67"/>
      <c r="E42" s="15">
        <f t="shared" si="3"/>
        <v>2.8272237201234047E-3</v>
      </c>
      <c r="F42" s="15">
        <f t="shared" si="4"/>
        <v>6.0493827160496162E-3</v>
      </c>
      <c r="G42" s="7">
        <f t="shared" si="5"/>
        <v>6.0546182205339547E-4</v>
      </c>
    </row>
    <row r="43" spans="1:11" x14ac:dyDescent="0.25">
      <c r="A43" s="1" t="s">
        <v>56</v>
      </c>
      <c r="B43">
        <f>1-((9-1)/(9-2-1))*(1-B31)</f>
        <v>0.97515432315262618</v>
      </c>
      <c r="C43" t="s">
        <v>118</v>
      </c>
      <c r="E43" s="15">
        <f t="shared" si="3"/>
        <v>1.452282060360834E-3</v>
      </c>
      <c r="F43" s="15">
        <f t="shared" si="4"/>
        <v>3.1604938271605348E-2</v>
      </c>
      <c r="G43" s="7">
        <f t="shared" si="5"/>
        <v>1.9507418138478044E-2</v>
      </c>
    </row>
    <row r="44" spans="1:11" x14ac:dyDescent="0.25">
      <c r="E44" s="15">
        <f t="shared" si="3"/>
        <v>1.3057745707076835</v>
      </c>
      <c r="F44" s="15">
        <f t="shared" si="4"/>
        <v>1.044938271604938</v>
      </c>
      <c r="G44" s="7">
        <f t="shared" si="5"/>
        <v>1.4516084313872203E-2</v>
      </c>
    </row>
    <row r="45" spans="1:11" x14ac:dyDescent="0.25">
      <c r="E45" s="15">
        <f t="shared" si="3"/>
        <v>3.1062369183573679</v>
      </c>
      <c r="F45" s="15">
        <f t="shared" si="4"/>
        <v>3.6949382716049324</v>
      </c>
      <c r="G45" s="7">
        <f t="shared" si="5"/>
        <v>2.5526536051501639E-2</v>
      </c>
    </row>
    <row r="46" spans="1:11" x14ac:dyDescent="0.25">
      <c r="E46" s="15">
        <f t="shared" si="3"/>
        <v>5.6390460935745601</v>
      </c>
      <c r="F46" s="15">
        <f t="shared" si="4"/>
        <v>4.9382716049382678</v>
      </c>
      <c r="G46" s="7">
        <f t="shared" si="5"/>
        <v>2.3239585700262098E-2</v>
      </c>
    </row>
    <row r="47" spans="1:11" ht="15.75" thickBot="1" x14ac:dyDescent="0.3">
      <c r="E47" s="16">
        <f t="shared" si="3"/>
        <v>8.9214711833313824</v>
      </c>
      <c r="F47" s="16">
        <f t="shared" si="4"/>
        <v>8.5393827160493743</v>
      </c>
      <c r="G47" s="10">
        <f t="shared" si="5"/>
        <v>4.1810405943418462E-3</v>
      </c>
    </row>
    <row r="48" spans="1:11" x14ac:dyDescent="0.25">
      <c r="E48" s="18">
        <f>SUM(E39:E47)</f>
        <v>44.196351410574088</v>
      </c>
      <c r="F48" s="18">
        <f>SUM(F39:F47)</f>
        <v>45.035555555555554</v>
      </c>
      <c r="G48" s="19">
        <f>SUM(G39:G47)</f>
        <v>0.83920414498141327</v>
      </c>
      <c r="I48" s="67" t="s">
        <v>113</v>
      </c>
      <c r="J48" s="67"/>
      <c r="K48" s="68"/>
    </row>
    <row r="49" spans="5:13" x14ac:dyDescent="0.25">
      <c r="E49" s="18"/>
      <c r="F49" s="6"/>
      <c r="G49" s="6"/>
      <c r="J49" s="1"/>
    </row>
    <row r="50" spans="5:13" x14ac:dyDescent="0.25">
      <c r="I50" s="1" t="s">
        <v>57</v>
      </c>
      <c r="J50">
        <f>(E48/2)/(G48/(9-2-1))</f>
        <v>157.99380284836278</v>
      </c>
      <c r="K50" t="s">
        <v>63</v>
      </c>
      <c r="L50" s="32" t="s">
        <v>109</v>
      </c>
      <c r="M50">
        <v>5.14</v>
      </c>
    </row>
    <row r="51" spans="5:13" x14ac:dyDescent="0.25">
      <c r="I51" t="s">
        <v>58</v>
      </c>
    </row>
    <row r="52" spans="5:13" x14ac:dyDescent="0.25">
      <c r="L52" s="1" t="s">
        <v>112</v>
      </c>
    </row>
    <row r="53" spans="5:13" x14ac:dyDescent="0.25">
      <c r="I53" s="1" t="s">
        <v>57</v>
      </c>
      <c r="J53">
        <f>(B31/O27) /( (1-B31)/(O26-O27-1))</f>
        <v>157.99380284835317</v>
      </c>
      <c r="K53" t="s">
        <v>64</v>
      </c>
      <c r="L53" s="1" t="s">
        <v>110</v>
      </c>
    </row>
    <row r="54" spans="5:13" x14ac:dyDescent="0.25">
      <c r="L54" t="s">
        <v>111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25"/>
  <sheetViews>
    <sheetView workbookViewId="0">
      <selection activeCell="B14" sqref="B14"/>
    </sheetView>
  </sheetViews>
  <sheetFormatPr defaultRowHeight="15" x14ac:dyDescent="0.25"/>
  <sheetData>
    <row r="2" spans="2:17" ht="16.5" thickBot="1" x14ac:dyDescent="0.3">
      <c r="B2" s="59" t="s">
        <v>116</v>
      </c>
      <c r="G2" t="s">
        <v>68</v>
      </c>
      <c r="J2" s="27" t="s">
        <v>73</v>
      </c>
      <c r="K2" t="s">
        <v>71</v>
      </c>
      <c r="O2">
        <f>M7</f>
        <v>0.59526315789473683</v>
      </c>
    </row>
    <row r="3" spans="2:17" x14ac:dyDescent="0.25">
      <c r="B3" s="35" t="s">
        <v>53</v>
      </c>
      <c r="C3" s="36"/>
      <c r="D3" s="36"/>
      <c r="E3" s="37"/>
      <c r="G3" s="1" t="s">
        <v>54</v>
      </c>
      <c r="J3" s="27" t="s">
        <v>74</v>
      </c>
      <c r="K3" t="s">
        <v>70</v>
      </c>
      <c r="O3">
        <f>P8</f>
        <v>8</v>
      </c>
    </row>
    <row r="4" spans="2:17" ht="15.75" thickBot="1" x14ac:dyDescent="0.3">
      <c r="B4" s="38" t="s">
        <v>12</v>
      </c>
      <c r="C4" s="39" t="s">
        <v>11</v>
      </c>
      <c r="D4" s="39" t="s">
        <v>10</v>
      </c>
      <c r="E4" s="40"/>
      <c r="J4" s="27" t="s">
        <v>75</v>
      </c>
      <c r="K4" t="s">
        <v>69</v>
      </c>
      <c r="O4" t="str">
        <f>O9</f>
        <v>NIE JE Významný</v>
      </c>
    </row>
    <row r="5" spans="2:17" x14ac:dyDescent="0.25">
      <c r="B5" s="41">
        <v>-0.12</v>
      </c>
      <c r="C5" s="42">
        <v>0.39</v>
      </c>
      <c r="D5" s="42">
        <v>12.05</v>
      </c>
      <c r="E5" s="33" t="s">
        <v>81</v>
      </c>
      <c r="F5" s="27" t="s">
        <v>79</v>
      </c>
      <c r="G5" s="28">
        <v>2</v>
      </c>
      <c r="J5" s="27" t="s">
        <v>76</v>
      </c>
      <c r="K5" t="s">
        <v>72</v>
      </c>
      <c r="O5" t="str">
        <f>Q10</f>
        <v>Model nie je významný</v>
      </c>
    </row>
    <row r="6" spans="2:17" x14ac:dyDescent="0.25">
      <c r="B6" s="41">
        <v>0.59</v>
      </c>
      <c r="C6" s="42">
        <v>0.15</v>
      </c>
      <c r="D6" s="42">
        <v>8.07</v>
      </c>
      <c r="E6" s="33" t="s">
        <v>82</v>
      </c>
      <c r="K6" s="27"/>
    </row>
    <row r="7" spans="2:17" x14ac:dyDescent="0.25">
      <c r="B7" s="41"/>
      <c r="C7" s="42">
        <v>2.48</v>
      </c>
      <c r="D7" s="42"/>
      <c r="E7" s="7"/>
      <c r="J7" s="27" t="s">
        <v>77</v>
      </c>
      <c r="K7" t="s">
        <v>73</v>
      </c>
      <c r="L7" t="s">
        <v>44</v>
      </c>
      <c r="M7">
        <f>B9/(B9+C9)</f>
        <v>0.59526315789473683</v>
      </c>
    </row>
    <row r="8" spans="2:17" x14ac:dyDescent="0.25">
      <c r="B8" s="41"/>
      <c r="C8" s="42">
        <v>5</v>
      </c>
      <c r="D8" s="42"/>
      <c r="E8" s="7"/>
      <c r="K8" t="s">
        <v>74</v>
      </c>
      <c r="L8" t="s">
        <v>78</v>
      </c>
      <c r="P8">
        <f>C8+G5+1</f>
        <v>8</v>
      </c>
    </row>
    <row r="9" spans="2:17" ht="15.75" thickBot="1" x14ac:dyDescent="0.3">
      <c r="B9" s="43">
        <v>45.24</v>
      </c>
      <c r="C9" s="44">
        <v>30.76</v>
      </c>
      <c r="D9" s="44"/>
      <c r="E9" s="10"/>
      <c r="G9" s="1"/>
      <c r="K9" t="s">
        <v>75</v>
      </c>
      <c r="L9" t="s">
        <v>80</v>
      </c>
      <c r="N9">
        <f>B5/B6</f>
        <v>-0.20338983050847459</v>
      </c>
      <c r="O9" s="1" t="s">
        <v>83</v>
      </c>
    </row>
    <row r="10" spans="2:17" x14ac:dyDescent="0.25">
      <c r="K10" t="s">
        <v>76</v>
      </c>
      <c r="L10" s="31" t="s">
        <v>84</v>
      </c>
      <c r="N10" s="1" t="s">
        <v>87</v>
      </c>
      <c r="P10" t="s">
        <v>88</v>
      </c>
      <c r="Q10" s="1" t="s">
        <v>89</v>
      </c>
    </row>
    <row r="12" spans="2:17" x14ac:dyDescent="0.25">
      <c r="L12" s="24" t="s">
        <v>55</v>
      </c>
    </row>
    <row r="13" spans="2:17" ht="15.75" x14ac:dyDescent="0.25">
      <c r="C13" s="58" t="s">
        <v>94</v>
      </c>
      <c r="D13" s="46" t="s">
        <v>97</v>
      </c>
      <c r="E13" s="46" t="s">
        <v>98</v>
      </c>
      <c r="F13" s="46" t="s">
        <v>99</v>
      </c>
      <c r="G13" s="46" t="s">
        <v>100</v>
      </c>
      <c r="H13" s="47" t="s">
        <v>101</v>
      </c>
      <c r="L13">
        <f>(0.595/2)</f>
        <v>0.29749999999999999</v>
      </c>
      <c r="N13" s="29" t="s">
        <v>86</v>
      </c>
      <c r="O13" s="22" t="s">
        <v>85</v>
      </c>
    </row>
    <row r="14" spans="2:17" x14ac:dyDescent="0.25">
      <c r="C14" s="45" t="s">
        <v>95</v>
      </c>
      <c r="D14" s="46"/>
      <c r="E14" s="46"/>
      <c r="F14" s="53" t="s">
        <v>102</v>
      </c>
      <c r="G14" s="54"/>
      <c r="H14" s="55"/>
      <c r="L14">
        <f>(1-0.595)/5</f>
        <v>8.1000000000000003E-2</v>
      </c>
      <c r="N14" s="30">
        <f>L13/L14</f>
        <v>3.6728395061728394</v>
      </c>
      <c r="O14" s="1">
        <v>5.78</v>
      </c>
    </row>
    <row r="15" spans="2:17" x14ac:dyDescent="0.25">
      <c r="C15" s="48">
        <f>0.76/2</f>
        <v>0.38</v>
      </c>
      <c r="D15" s="6" t="s">
        <v>105</v>
      </c>
      <c r="E15" s="6"/>
      <c r="F15" s="6"/>
      <c r="G15" s="32" t="s">
        <v>103</v>
      </c>
      <c r="H15" s="30"/>
    </row>
    <row r="16" spans="2:17" x14ac:dyDescent="0.25">
      <c r="C16" s="48">
        <f>(1-0.76)/17</f>
        <v>1.4117647058823528E-2</v>
      </c>
      <c r="D16" s="56" t="s">
        <v>90</v>
      </c>
      <c r="E16" s="6">
        <f>C15/C16</f>
        <v>26.916666666666668</v>
      </c>
      <c r="F16" s="6"/>
      <c r="G16" s="6"/>
      <c r="H16" s="49"/>
    </row>
    <row r="17" spans="3:13" ht="15.75" thickBot="1" x14ac:dyDescent="0.3">
      <c r="C17" s="48"/>
      <c r="D17" s="6"/>
      <c r="E17" s="6"/>
      <c r="F17" s="6"/>
      <c r="G17" s="6"/>
      <c r="H17" s="49"/>
    </row>
    <row r="18" spans="3:13" x14ac:dyDescent="0.25">
      <c r="C18" s="48"/>
      <c r="D18" s="6"/>
      <c r="E18" s="6"/>
      <c r="F18" s="2" t="s">
        <v>92</v>
      </c>
      <c r="G18" s="4">
        <f>1-(19/17) * 0.24</f>
        <v>0.73176470588235287</v>
      </c>
      <c r="H18" s="49"/>
    </row>
    <row r="19" spans="3:13" ht="15.75" thickBot="1" x14ac:dyDescent="0.3">
      <c r="C19" s="48"/>
      <c r="D19" s="6"/>
      <c r="E19" s="6"/>
      <c r="F19" s="8" t="s">
        <v>93</v>
      </c>
      <c r="G19" s="10">
        <f>1-(19/14) * 0.2</f>
        <v>0.72857142857142854</v>
      </c>
      <c r="H19" s="49"/>
    </row>
    <row r="20" spans="3:13" x14ac:dyDescent="0.25">
      <c r="C20" s="48"/>
      <c r="D20" s="6"/>
      <c r="E20" s="6"/>
      <c r="F20" s="6"/>
      <c r="G20" s="6"/>
      <c r="H20" s="49"/>
    </row>
    <row r="21" spans="3:13" x14ac:dyDescent="0.25">
      <c r="C21" s="48" t="s">
        <v>96</v>
      </c>
      <c r="D21" s="6"/>
      <c r="E21" s="6"/>
      <c r="F21" s="6"/>
      <c r="G21" s="6"/>
      <c r="H21" s="49"/>
    </row>
    <row r="22" spans="3:13" x14ac:dyDescent="0.25">
      <c r="C22" s="48">
        <f>0.8/5</f>
        <v>0.16</v>
      </c>
      <c r="D22" s="6" t="s">
        <v>104</v>
      </c>
      <c r="E22" s="6"/>
      <c r="F22" s="6"/>
      <c r="G22" s="6"/>
      <c r="H22" s="49"/>
    </row>
    <row r="23" spans="3:13" x14ac:dyDescent="0.25">
      <c r="C23" s="50">
        <f>(1-0.8)/14</f>
        <v>1.4285714285714282E-2</v>
      </c>
      <c r="D23" s="57" t="s">
        <v>91</v>
      </c>
      <c r="E23" s="51">
        <f>C22/C23</f>
        <v>11.200000000000003</v>
      </c>
      <c r="F23" s="51"/>
      <c r="G23" s="51"/>
      <c r="H23" s="52"/>
    </row>
    <row r="25" spans="3:13" x14ac:dyDescent="0.25">
      <c r="M25" s="2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5"/>
  <sheetViews>
    <sheetView topLeftCell="C13" workbookViewId="0">
      <selection activeCell="M43" sqref="M43"/>
    </sheetView>
  </sheetViews>
  <sheetFormatPr defaultRowHeight="15" x14ac:dyDescent="0.25"/>
  <cols>
    <col min="4" max="4" width="9.42578125" bestFit="1" customWidth="1"/>
    <col min="6" max="7" width="9.28515625" bestFit="1" customWidth="1"/>
    <col min="8" max="8" width="14.140625" bestFit="1" customWidth="1"/>
    <col min="10" max="10" width="16.5703125" customWidth="1"/>
    <col min="14" max="14" width="9.85546875" customWidth="1"/>
    <col min="15" max="15" width="11.5703125" customWidth="1"/>
    <col min="16" max="16" width="11.42578125" customWidth="1"/>
  </cols>
  <sheetData>
    <row r="1" spans="1:9" x14ac:dyDescent="0.25">
      <c r="A1" s="1"/>
      <c r="B1" s="1" t="s">
        <v>13</v>
      </c>
      <c r="C1" s="1" t="s">
        <v>123</v>
      </c>
    </row>
    <row r="2" spans="1:9" x14ac:dyDescent="0.25">
      <c r="A2" t="s">
        <v>120</v>
      </c>
      <c r="B2" s="1" t="s">
        <v>121</v>
      </c>
      <c r="C2" s="1" t="s">
        <v>122</v>
      </c>
      <c r="I2" s="1" t="s">
        <v>126</v>
      </c>
    </row>
    <row r="3" spans="1:9" x14ac:dyDescent="0.25">
      <c r="A3">
        <v>1993</v>
      </c>
      <c r="B3">
        <v>292.5</v>
      </c>
      <c r="C3">
        <v>6399</v>
      </c>
      <c r="I3">
        <f>$G$4+($F$4*C3)</f>
        <v>310.50982345231853</v>
      </c>
    </row>
    <row r="4" spans="1:9" x14ac:dyDescent="0.25">
      <c r="A4">
        <v>1994</v>
      </c>
      <c r="B4">
        <v>308.7</v>
      </c>
      <c r="C4">
        <v>7300</v>
      </c>
      <c r="E4" s="1" t="s">
        <v>31</v>
      </c>
      <c r="F4" s="45">
        <f t="array" ref="F4:G8">LINEST(B3:B17,C3:C17,1,1)</f>
        <v>1.2662708011297668E-2</v>
      </c>
      <c r="G4" s="47">
        <v>229.48115488802475</v>
      </c>
      <c r="H4" s="1" t="s">
        <v>81</v>
      </c>
      <c r="I4">
        <f t="shared" ref="I4:I17" si="0">$G$4+($F$4*C4)</f>
        <v>321.91892337049774</v>
      </c>
    </row>
    <row r="5" spans="1:9" x14ac:dyDescent="0.25">
      <c r="A5">
        <v>1995</v>
      </c>
      <c r="B5">
        <v>333</v>
      </c>
      <c r="C5">
        <v>8259</v>
      </c>
      <c r="F5" s="48">
        <v>7.2683815101936406E-4</v>
      </c>
      <c r="G5" s="49">
        <v>9.6735304318641226</v>
      </c>
      <c r="H5" s="1" t="s">
        <v>82</v>
      </c>
      <c r="I5">
        <f t="shared" si="0"/>
        <v>334.0624603533322</v>
      </c>
    </row>
    <row r="6" spans="1:9" x14ac:dyDescent="0.25">
      <c r="A6">
        <v>1996</v>
      </c>
      <c r="B6">
        <v>351.5</v>
      </c>
      <c r="C6">
        <v>9331</v>
      </c>
      <c r="F6" s="48">
        <v>0.95892747895248975</v>
      </c>
      <c r="G6" s="49">
        <v>11.020953683524603</v>
      </c>
      <c r="I6">
        <f t="shared" si="0"/>
        <v>347.63688334144331</v>
      </c>
    </row>
    <row r="7" spans="1:9" x14ac:dyDescent="0.25">
      <c r="A7">
        <v>1997</v>
      </c>
      <c r="B7">
        <v>371.9</v>
      </c>
      <c r="C7">
        <v>10108</v>
      </c>
      <c r="E7" s="1" t="s">
        <v>127</v>
      </c>
      <c r="F7" s="48">
        <v>303.51332006044566</v>
      </c>
      <c r="G7" s="49">
        <v>13</v>
      </c>
      <c r="H7" s="1" t="s">
        <v>158</v>
      </c>
      <c r="I7">
        <f t="shared" si="0"/>
        <v>357.47580746622157</v>
      </c>
    </row>
    <row r="8" spans="1:9" x14ac:dyDescent="0.25">
      <c r="A8">
        <v>1998</v>
      </c>
      <c r="B8">
        <v>381.7</v>
      </c>
      <c r="C8">
        <v>10833</v>
      </c>
      <c r="F8" s="50">
        <v>36865.158872106207</v>
      </c>
      <c r="G8" s="52">
        <v>1578.9984612271285</v>
      </c>
      <c r="I8">
        <f t="shared" si="0"/>
        <v>366.65627077441241</v>
      </c>
    </row>
    <row r="9" spans="1:9" x14ac:dyDescent="0.25">
      <c r="A9">
        <v>1999</v>
      </c>
      <c r="B9">
        <v>378.5</v>
      </c>
      <c r="C9">
        <v>11535</v>
      </c>
      <c r="G9" s="1" t="s">
        <v>47</v>
      </c>
      <c r="I9">
        <f t="shared" si="0"/>
        <v>375.54549179834333</v>
      </c>
    </row>
    <row r="10" spans="1:9" x14ac:dyDescent="0.25">
      <c r="A10">
        <v>2000</v>
      </c>
      <c r="B10">
        <v>396.4</v>
      </c>
      <c r="C10">
        <v>12470</v>
      </c>
      <c r="E10" s="1" t="s">
        <v>124</v>
      </c>
      <c r="I10">
        <f t="shared" si="0"/>
        <v>387.38512378890664</v>
      </c>
    </row>
    <row r="11" spans="1:9" x14ac:dyDescent="0.25">
      <c r="A11">
        <v>2001</v>
      </c>
      <c r="B11">
        <v>417.6</v>
      </c>
      <c r="C11">
        <v>13616</v>
      </c>
      <c r="E11" t="s">
        <v>125</v>
      </c>
      <c r="I11">
        <f t="shared" si="0"/>
        <v>401.89658716985377</v>
      </c>
    </row>
    <row r="12" spans="1:9" x14ac:dyDescent="0.25">
      <c r="A12">
        <v>2002</v>
      </c>
      <c r="B12">
        <v>414.4</v>
      </c>
      <c r="C12">
        <v>14470</v>
      </c>
      <c r="I12">
        <f t="shared" si="0"/>
        <v>412.71053981150203</v>
      </c>
    </row>
    <row r="13" spans="1:9" x14ac:dyDescent="0.25">
      <c r="A13">
        <v>2003</v>
      </c>
      <c r="B13">
        <v>428.4</v>
      </c>
      <c r="C13">
        <v>15930</v>
      </c>
      <c r="I13">
        <f t="shared" si="0"/>
        <v>431.19809350799659</v>
      </c>
    </row>
    <row r="14" spans="1:9" x14ac:dyDescent="0.25">
      <c r="A14">
        <v>2004</v>
      </c>
      <c r="B14">
        <v>420.2</v>
      </c>
      <c r="C14">
        <v>15982</v>
      </c>
      <c r="E14" t="s">
        <v>127</v>
      </c>
      <c r="F14">
        <v>303</v>
      </c>
      <c r="I14">
        <f t="shared" si="0"/>
        <v>431.85655432458407</v>
      </c>
    </row>
    <row r="15" spans="1:9" x14ac:dyDescent="0.25">
      <c r="A15">
        <v>2005</v>
      </c>
      <c r="B15">
        <v>436.2</v>
      </c>
      <c r="C15">
        <v>17220</v>
      </c>
      <c r="I15">
        <f t="shared" si="0"/>
        <v>447.53298684257061</v>
      </c>
    </row>
    <row r="16" spans="1:9" x14ac:dyDescent="0.25">
      <c r="A16">
        <v>2006</v>
      </c>
      <c r="B16">
        <v>451.3</v>
      </c>
      <c r="C16">
        <v>17850</v>
      </c>
      <c r="I16">
        <f t="shared" si="0"/>
        <v>455.51049288968812</v>
      </c>
    </row>
    <row r="17" spans="1:17" x14ac:dyDescent="0.25">
      <c r="A17">
        <v>2007</v>
      </c>
      <c r="B17">
        <v>476</v>
      </c>
      <c r="C17">
        <v>19500</v>
      </c>
      <c r="E17" t="s">
        <v>128</v>
      </c>
      <c r="I17">
        <f t="shared" si="0"/>
        <v>476.40396110832927</v>
      </c>
    </row>
    <row r="18" spans="1:17" x14ac:dyDescent="0.25">
      <c r="E18" t="s">
        <v>129</v>
      </c>
    </row>
    <row r="19" spans="1:17" x14ac:dyDescent="0.25">
      <c r="E19" t="s">
        <v>130</v>
      </c>
    </row>
    <row r="20" spans="1:17" x14ac:dyDescent="0.25">
      <c r="E20" t="s">
        <v>131</v>
      </c>
      <c r="G20" s="1">
        <v>4.66</v>
      </c>
    </row>
    <row r="21" spans="1:17" x14ac:dyDescent="0.25">
      <c r="G21" t="s">
        <v>132</v>
      </c>
      <c r="H21" s="1" t="s">
        <v>110</v>
      </c>
      <c r="M21" s="1" t="s">
        <v>140</v>
      </c>
    </row>
    <row r="22" spans="1:17" x14ac:dyDescent="0.25">
      <c r="J22" s="1" t="s">
        <v>139</v>
      </c>
      <c r="M22" t="s">
        <v>141</v>
      </c>
      <c r="N22" t="s">
        <v>47</v>
      </c>
      <c r="O22" t="s">
        <v>153</v>
      </c>
      <c r="P22" t="s">
        <v>154</v>
      </c>
      <c r="Q22" t="s">
        <v>155</v>
      </c>
    </row>
    <row r="23" spans="1:17" x14ac:dyDescent="0.25">
      <c r="G23" t="s">
        <v>136</v>
      </c>
      <c r="H23">
        <f>F4/F5</f>
        <v>17.421633679435622</v>
      </c>
      <c r="J23" t="s">
        <v>137</v>
      </c>
      <c r="K23">
        <v>2.16</v>
      </c>
      <c r="M23">
        <f>B3-I3</f>
        <v>-18.009823452318528</v>
      </c>
      <c r="N23">
        <f>POWER(M23,2)</f>
        <v>324.3537407836825</v>
      </c>
    </row>
    <row r="24" spans="1:17" x14ac:dyDescent="0.25">
      <c r="H24" s="1" t="s">
        <v>135</v>
      </c>
      <c r="J24" t="s">
        <v>138</v>
      </c>
      <c r="K24">
        <v>2.5299999999999998</v>
      </c>
      <c r="M24">
        <f t="shared" ref="M24:M37" si="1">B4-I4</f>
        <v>-13.218923370497748</v>
      </c>
      <c r="N24">
        <f t="shared" ref="N24:N37" si="2">POWER(M24,2)</f>
        <v>174.73993507509155</v>
      </c>
      <c r="O24">
        <f>M24-M23</f>
        <v>4.7909000818207801</v>
      </c>
      <c r="P24">
        <f t="shared" ref="P24:P37" si="3">POWER(O24,2)</f>
        <v>22.952723593990356</v>
      </c>
      <c r="Q24">
        <f t="shared" ref="Q24:Q37" si="4">M24*M23</f>
        <v>238.07047613239183</v>
      </c>
    </row>
    <row r="25" spans="1:17" x14ac:dyDescent="0.25">
      <c r="G25" t="s">
        <v>133</v>
      </c>
      <c r="H25">
        <f>F4+(2.53*F5)</f>
        <v>1.4501608533376658E-2</v>
      </c>
      <c r="M25">
        <f t="shared" si="1"/>
        <v>-1.0624603533321988</v>
      </c>
      <c r="N25">
        <f t="shared" si="2"/>
        <v>1.1288220024027806</v>
      </c>
      <c r="O25">
        <f t="shared" ref="O25:O37" si="5">M25-M24</f>
        <v>12.156463017165549</v>
      </c>
      <c r="P25">
        <f t="shared" si="3"/>
        <v>147.77959308771372</v>
      </c>
      <c r="Q25">
        <f t="shared" si="4"/>
        <v>14.044581994890297</v>
      </c>
    </row>
    <row r="26" spans="1:17" x14ac:dyDescent="0.25">
      <c r="G26" t="s">
        <v>134</v>
      </c>
      <c r="H26">
        <f>F4-(2.53*F5)</f>
        <v>1.0823807489218677E-2</v>
      </c>
      <c r="M26">
        <f t="shared" si="1"/>
        <v>3.8631166585566916</v>
      </c>
      <c r="N26">
        <f t="shared" si="2"/>
        <v>14.923670317618217</v>
      </c>
      <c r="O26">
        <f t="shared" si="5"/>
        <v>4.9255770118888904</v>
      </c>
      <c r="P26">
        <f t="shared" si="3"/>
        <v>24.261308900048292</v>
      </c>
      <c r="Q26">
        <f t="shared" si="4"/>
        <v>-4.1044082900136454</v>
      </c>
    </row>
    <row r="27" spans="1:17" x14ac:dyDescent="0.25">
      <c r="M27">
        <f t="shared" si="1"/>
        <v>14.42419253377841</v>
      </c>
      <c r="N27">
        <f t="shared" si="2"/>
        <v>208.05733025150883</v>
      </c>
      <c r="O27">
        <f t="shared" si="5"/>
        <v>10.561075875221718</v>
      </c>
      <c r="P27">
        <f t="shared" si="3"/>
        <v>111.53632364219018</v>
      </c>
      <c r="Q27">
        <f t="shared" si="4"/>
        <v>55.722338463468432</v>
      </c>
    </row>
    <row r="28" spans="1:17" x14ac:dyDescent="0.25">
      <c r="M28">
        <f t="shared" si="1"/>
        <v>15.043729225587583</v>
      </c>
      <c r="N28">
        <f t="shared" si="2"/>
        <v>226.313789012798</v>
      </c>
      <c r="O28">
        <f t="shared" si="5"/>
        <v>0.61953669180917359</v>
      </c>
      <c r="P28">
        <f t="shared" si="3"/>
        <v>0.38382571249785497</v>
      </c>
      <c r="Q28">
        <f t="shared" si="4"/>
        <v>216.99364677590447</v>
      </c>
    </row>
    <row r="29" spans="1:17" x14ac:dyDescent="0.25">
      <c r="K29" s="1" t="s">
        <v>142</v>
      </c>
      <c r="M29">
        <f t="shared" si="1"/>
        <v>2.9545082016566653</v>
      </c>
      <c r="N29">
        <f t="shared" si="2"/>
        <v>8.7291187136565025</v>
      </c>
      <c r="O29">
        <f t="shared" si="5"/>
        <v>-12.089221023930918</v>
      </c>
      <c r="P29">
        <f t="shared" si="3"/>
        <v>146.14926496545331</v>
      </c>
      <c r="Q29">
        <f t="shared" si="4"/>
        <v>44.446821380500587</v>
      </c>
    </row>
    <row r="30" spans="1:17" x14ac:dyDescent="0.25">
      <c r="K30" s="1">
        <f>SUM(N23:N37)</f>
        <v>1578.9984612271244</v>
      </c>
      <c r="M30">
        <f t="shared" si="1"/>
        <v>9.0148762110933376</v>
      </c>
      <c r="N30">
        <f t="shared" si="2"/>
        <v>81.267993101336572</v>
      </c>
      <c r="O30">
        <f t="shared" si="5"/>
        <v>6.0603680094366723</v>
      </c>
      <c r="P30">
        <f t="shared" si="3"/>
        <v>36.728060409803412</v>
      </c>
      <c r="Q30">
        <f t="shared" si="4"/>
        <v>26.634525702594829</v>
      </c>
    </row>
    <row r="31" spans="1:17" x14ac:dyDescent="0.25">
      <c r="M31">
        <f t="shared" si="1"/>
        <v>15.703412830146249</v>
      </c>
      <c r="N31">
        <f t="shared" si="2"/>
        <v>246.59717451400181</v>
      </c>
      <c r="O31">
        <f t="shared" si="5"/>
        <v>6.6885366190529112</v>
      </c>
      <c r="P31">
        <f t="shared" si="3"/>
        <v>44.736522104411748</v>
      </c>
      <c r="Q31">
        <f t="shared" si="4"/>
        <v>141.56432275546331</v>
      </c>
    </row>
    <row r="32" spans="1:17" x14ac:dyDescent="0.25">
      <c r="M32">
        <f t="shared" si="1"/>
        <v>1.6894601884979465</v>
      </c>
      <c r="N32">
        <f t="shared" si="2"/>
        <v>2.8542757285195171</v>
      </c>
      <c r="O32">
        <f t="shared" si="5"/>
        <v>-14.013952641648302</v>
      </c>
      <c r="P32">
        <f t="shared" si="3"/>
        <v>196.39086864236143</v>
      </c>
      <c r="Q32">
        <f t="shared" si="4"/>
        <v>26.530290800079953</v>
      </c>
    </row>
    <row r="33" spans="11:18" x14ac:dyDescent="0.25">
      <c r="M33">
        <f t="shared" si="1"/>
        <v>-2.7980935079966116</v>
      </c>
      <c r="N33">
        <f t="shared" si="2"/>
        <v>7.8293272794927837</v>
      </c>
      <c r="O33">
        <f t="shared" si="5"/>
        <v>-4.4875536964945582</v>
      </c>
      <c r="P33">
        <f t="shared" si="3"/>
        <v>20.138138178921974</v>
      </c>
      <c r="Q33">
        <f t="shared" si="4"/>
        <v>-4.7272675854548361</v>
      </c>
    </row>
    <row r="34" spans="11:18" x14ac:dyDescent="0.25">
      <c r="K34" s="1" t="s">
        <v>144</v>
      </c>
      <c r="M34">
        <f>B14-I14</f>
        <v>-11.656554324584079</v>
      </c>
      <c r="N34">
        <f t="shared" si="2"/>
        <v>135.87525872197978</v>
      </c>
      <c r="O34">
        <f t="shared" si="5"/>
        <v>-8.858460816587467</v>
      </c>
      <c r="P34">
        <f t="shared" si="3"/>
        <v>78.472328039015494</v>
      </c>
      <c r="Q34">
        <f t="shared" si="4"/>
        <v>32.616128981228535</v>
      </c>
    </row>
    <row r="35" spans="11:18" x14ac:dyDescent="0.25">
      <c r="K35" s="1">
        <f>SUM(P24:P37)</f>
        <v>894.85325750316701</v>
      </c>
      <c r="M35">
        <f t="shared" si="1"/>
        <v>-11.33298684257062</v>
      </c>
      <c r="N35">
        <f t="shared" si="2"/>
        <v>128.43659077387878</v>
      </c>
      <c r="O35">
        <f t="shared" si="5"/>
        <v>0.32356748201345908</v>
      </c>
      <c r="P35">
        <f t="shared" si="3"/>
        <v>0.10469591541653017</v>
      </c>
      <c r="Q35">
        <f t="shared" si="4"/>
        <v>132.10357679022101</v>
      </c>
    </row>
    <row r="36" spans="11:18" x14ac:dyDescent="0.25">
      <c r="M36">
        <f t="shared" si="1"/>
        <v>-4.210492889688112</v>
      </c>
      <c r="N36">
        <f t="shared" si="2"/>
        <v>17.728250374114147</v>
      </c>
      <c r="O36">
        <f t="shared" si="5"/>
        <v>7.1224939528825075</v>
      </c>
      <c r="P36">
        <f t="shared" si="3"/>
        <v>50.729920108847885</v>
      </c>
      <c r="Q36">
        <f t="shared" si="4"/>
        <v>47.717460519572519</v>
      </c>
    </row>
    <row r="37" spans="11:18" x14ac:dyDescent="0.25">
      <c r="M37">
        <f t="shared" si="1"/>
        <v>-0.40396110832926979</v>
      </c>
      <c r="N37">
        <f t="shared" si="2"/>
        <v>0.16318457704261205</v>
      </c>
      <c r="O37">
        <f t="shared" si="5"/>
        <v>3.8065317813588422</v>
      </c>
      <c r="P37">
        <f t="shared" si="3"/>
        <v>14.489684202494921</v>
      </c>
      <c r="Q37">
        <f t="shared" si="4"/>
        <v>1.7008753743309195</v>
      </c>
    </row>
    <row r="38" spans="11:18" x14ac:dyDescent="0.25">
      <c r="Q38">
        <f>SUM(Q24:Q37)</f>
        <v>969.31336979517835</v>
      </c>
    </row>
    <row r="39" spans="11:18" x14ac:dyDescent="0.25">
      <c r="K39" s="1" t="s">
        <v>143</v>
      </c>
      <c r="L39">
        <f>K35/K30</f>
        <v>0.56672205798587583</v>
      </c>
      <c r="N39" s="76"/>
      <c r="O39" s="77"/>
      <c r="P39" s="78" t="s">
        <v>156</v>
      </c>
      <c r="Q39" s="77"/>
      <c r="R39" s="79"/>
    </row>
    <row r="40" spans="11:18" x14ac:dyDescent="0.25">
      <c r="N40" s="69" t="s">
        <v>145</v>
      </c>
      <c r="O40" s="70" t="s">
        <v>146</v>
      </c>
      <c r="P40" s="6"/>
      <c r="Q40" s="70" t="s">
        <v>147</v>
      </c>
      <c r="R40" s="71" t="s">
        <v>148</v>
      </c>
    </row>
    <row r="41" spans="11:18" ht="18.75" x14ac:dyDescent="0.3">
      <c r="K41" s="80" t="s">
        <v>157</v>
      </c>
      <c r="L41">
        <f>Q38/K30</f>
        <v>0.61387860317601128</v>
      </c>
      <c r="N41" s="72">
        <v>1.01</v>
      </c>
      <c r="O41" s="73">
        <v>1.34</v>
      </c>
      <c r="P41" s="73">
        <v>2</v>
      </c>
      <c r="Q41" s="74">
        <f>4-O41</f>
        <v>2.66</v>
      </c>
      <c r="R41" s="75">
        <f>4-N41</f>
        <v>2.99</v>
      </c>
    </row>
    <row r="43" spans="11:18" x14ac:dyDescent="0.25">
      <c r="M43" s="1" t="s">
        <v>150</v>
      </c>
      <c r="N43" s="1" t="s">
        <v>149</v>
      </c>
    </row>
    <row r="44" spans="11:18" x14ac:dyDescent="0.25">
      <c r="M44" s="1" t="s">
        <v>151</v>
      </c>
    </row>
    <row r="45" spans="11:18" x14ac:dyDescent="0.25">
      <c r="L45" s="1" t="s">
        <v>152</v>
      </c>
    </row>
  </sheetData>
  <pageMargins left="0.7" right="0.7" top="0.75" bottom="0.75" header="0.3" footer="0.3"/>
  <pageSetup paperSize="9" orientation="portrait" r:id="rId1"/>
  <ignoredErrors>
    <ignoredError sqref="O33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7"/>
  <sheetViews>
    <sheetView workbookViewId="0">
      <selection activeCell="T19" sqref="T19"/>
    </sheetView>
  </sheetViews>
  <sheetFormatPr defaultRowHeight="15" x14ac:dyDescent="0.25"/>
  <cols>
    <col min="16" max="20" width="14.140625" bestFit="1" customWidth="1"/>
  </cols>
  <sheetData>
    <row r="2" spans="1:20" ht="15.75" thickBot="1" x14ac:dyDescent="0.3">
      <c r="K2" t="s">
        <v>22</v>
      </c>
      <c r="L2" t="s">
        <v>171</v>
      </c>
      <c r="M2" t="s">
        <v>172</v>
      </c>
      <c r="N2" t="s">
        <v>173</v>
      </c>
      <c r="P2" t="s">
        <v>12</v>
      </c>
      <c r="Q2" t="s">
        <v>11</v>
      </c>
      <c r="R2" t="s">
        <v>10</v>
      </c>
    </row>
    <row r="3" spans="1:20" x14ac:dyDescent="0.25">
      <c r="B3" s="2" t="s">
        <v>161</v>
      </c>
      <c r="C3" s="60" t="s">
        <v>163</v>
      </c>
      <c r="D3" s="3"/>
      <c r="E3" s="3" t="s">
        <v>165</v>
      </c>
      <c r="F3" s="3" t="s">
        <v>166</v>
      </c>
      <c r="G3" s="4"/>
      <c r="K3">
        <v>1</v>
      </c>
      <c r="L3">
        <v>209</v>
      </c>
      <c r="M3">
        <v>36</v>
      </c>
      <c r="N3">
        <v>168</v>
      </c>
      <c r="O3" t="s">
        <v>81</v>
      </c>
      <c r="P3">
        <f t="array" ref="P3:T8">LINEST(L3:L17,M3:N17,1,1)</f>
        <v>-1.8227961689209145E-2</v>
      </c>
      <c r="Q3">
        <v>0.14689578797841879</v>
      </c>
      <c r="R3">
        <v>208.01273029820047</v>
      </c>
      <c r="S3" t="e">
        <v>#N/A</v>
      </c>
      <c r="T3" t="e">
        <v>#N/A</v>
      </c>
    </row>
    <row r="4" spans="1:20" x14ac:dyDescent="0.25">
      <c r="B4" s="85" t="s">
        <v>159</v>
      </c>
      <c r="C4" s="32">
        <v>0.89</v>
      </c>
      <c r="D4" s="6"/>
      <c r="E4" s="6"/>
      <c r="F4" s="6"/>
      <c r="G4" s="7"/>
      <c r="K4">
        <v>2</v>
      </c>
      <c r="L4">
        <v>212</v>
      </c>
      <c r="M4">
        <v>42</v>
      </c>
      <c r="N4">
        <v>165</v>
      </c>
      <c r="O4" t="s">
        <v>82</v>
      </c>
      <c r="P4">
        <v>2.0046970799072857E-2</v>
      </c>
      <c r="Q4">
        <v>2.8917598446077365E-2</v>
      </c>
      <c r="R4">
        <v>4.3522873625368694</v>
      </c>
      <c r="S4" t="e">
        <v>#N/A</v>
      </c>
      <c r="T4" t="e">
        <v>#N/A</v>
      </c>
    </row>
    <row r="5" spans="1:20" x14ac:dyDescent="0.25">
      <c r="B5" s="85" t="s">
        <v>35</v>
      </c>
      <c r="C5" s="32">
        <v>76</v>
      </c>
      <c r="D5" s="6"/>
      <c r="E5" s="6"/>
      <c r="F5" s="6"/>
      <c r="G5" s="7"/>
      <c r="K5">
        <v>3</v>
      </c>
      <c r="L5">
        <v>214</v>
      </c>
      <c r="M5">
        <v>62</v>
      </c>
      <c r="N5">
        <v>162</v>
      </c>
      <c r="P5">
        <v>0.95044510582250663</v>
      </c>
      <c r="Q5">
        <v>1.3915800884136633</v>
      </c>
      <c r="R5" t="e">
        <v>#N/A</v>
      </c>
      <c r="S5" t="e">
        <v>#N/A</v>
      </c>
      <c r="T5" t="e">
        <v>#N/A</v>
      </c>
    </row>
    <row r="6" spans="1:20" x14ac:dyDescent="0.25">
      <c r="B6" s="85" t="s">
        <v>36</v>
      </c>
      <c r="C6" s="32">
        <v>2</v>
      </c>
      <c r="D6" s="6"/>
      <c r="E6" s="6"/>
      <c r="F6" s="6">
        <f>(C4/C6)/((1-C4)/(C5-C6-1))</f>
        <v>295.31818181818187</v>
      </c>
      <c r="G6" s="7"/>
      <c r="K6">
        <v>4</v>
      </c>
      <c r="L6">
        <v>212</v>
      </c>
      <c r="M6">
        <v>50</v>
      </c>
      <c r="N6">
        <v>170</v>
      </c>
      <c r="P6">
        <v>115.0778491123296</v>
      </c>
      <c r="Q6">
        <v>12</v>
      </c>
      <c r="R6" t="e">
        <v>#N/A</v>
      </c>
      <c r="S6" t="e">
        <v>#N/A</v>
      </c>
      <c r="T6" t="e">
        <v>#N/A</v>
      </c>
    </row>
    <row r="7" spans="1:20" x14ac:dyDescent="0.25">
      <c r="B7" s="85" t="s">
        <v>162</v>
      </c>
      <c r="C7" s="32">
        <v>1.65</v>
      </c>
      <c r="D7" s="6"/>
      <c r="E7" s="6" t="s">
        <v>160</v>
      </c>
      <c r="F7" s="6">
        <v>3.12</v>
      </c>
      <c r="G7" s="7"/>
      <c r="K7">
        <v>5</v>
      </c>
      <c r="L7">
        <v>215</v>
      </c>
      <c r="M7">
        <v>64</v>
      </c>
      <c r="N7">
        <v>94</v>
      </c>
      <c r="P7">
        <v>445.69539162370086</v>
      </c>
      <c r="Q7">
        <v>23.237941709632548</v>
      </c>
      <c r="R7" t="e">
        <v>#N/A</v>
      </c>
      <c r="S7" t="e">
        <v>#N/A</v>
      </c>
      <c r="T7" t="e">
        <v>#N/A</v>
      </c>
    </row>
    <row r="8" spans="1:20" x14ac:dyDescent="0.25">
      <c r="B8" s="5"/>
      <c r="C8" s="6"/>
      <c r="D8" s="6"/>
      <c r="E8" s="6"/>
      <c r="F8" s="6"/>
      <c r="G8" s="7"/>
      <c r="K8">
        <v>6</v>
      </c>
      <c r="L8">
        <v>216</v>
      </c>
      <c r="M8">
        <v>72</v>
      </c>
      <c r="N8">
        <v>90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 spans="1:20" x14ac:dyDescent="0.25">
      <c r="B9" s="5" t="s">
        <v>145</v>
      </c>
      <c r="C9" s="6">
        <v>1.571</v>
      </c>
      <c r="D9" s="6" t="s">
        <v>164</v>
      </c>
      <c r="E9" s="6"/>
      <c r="F9" s="6"/>
      <c r="G9" s="7"/>
      <c r="K9">
        <v>7</v>
      </c>
      <c r="L9">
        <v>217</v>
      </c>
      <c r="M9">
        <v>75</v>
      </c>
      <c r="N9">
        <v>90</v>
      </c>
    </row>
    <row r="10" spans="1:20" x14ac:dyDescent="0.25">
      <c r="B10" s="5" t="s">
        <v>146</v>
      </c>
      <c r="C10" s="6">
        <v>1.68</v>
      </c>
      <c r="D10" s="6"/>
      <c r="E10" s="6"/>
      <c r="F10" s="6"/>
      <c r="G10" s="7"/>
      <c r="K10">
        <v>8</v>
      </c>
      <c r="L10">
        <v>218</v>
      </c>
      <c r="M10">
        <v>87</v>
      </c>
      <c r="N10">
        <v>90</v>
      </c>
    </row>
    <row r="11" spans="1:20" x14ac:dyDescent="0.25">
      <c r="B11" s="5"/>
      <c r="C11" s="6"/>
      <c r="D11" s="6"/>
      <c r="E11" s="6"/>
      <c r="F11" s="6"/>
      <c r="G11" s="7"/>
      <c r="K11">
        <v>9</v>
      </c>
      <c r="L11">
        <v>220</v>
      </c>
      <c r="M11">
        <v>94</v>
      </c>
      <c r="N11">
        <v>90</v>
      </c>
      <c r="P11" t="s">
        <v>179</v>
      </c>
      <c r="Q11" t="s">
        <v>180</v>
      </c>
    </row>
    <row r="12" spans="1:20" ht="15.75" thickBot="1" x14ac:dyDescent="0.3">
      <c r="B12" s="8"/>
      <c r="C12" s="9"/>
      <c r="D12" s="9"/>
      <c r="E12" s="9"/>
      <c r="F12" s="9"/>
      <c r="G12" s="10"/>
      <c r="K12">
        <v>10</v>
      </c>
      <c r="L12">
        <v>222</v>
      </c>
      <c r="M12">
        <v>85</v>
      </c>
      <c r="N12">
        <v>75</v>
      </c>
      <c r="P12" s="1" t="s">
        <v>181</v>
      </c>
    </row>
    <row r="13" spans="1:20" x14ac:dyDescent="0.25">
      <c r="K13">
        <v>11</v>
      </c>
      <c r="L13">
        <v>223</v>
      </c>
      <c r="M13">
        <v>104</v>
      </c>
      <c r="N13">
        <v>75</v>
      </c>
    </row>
    <row r="14" spans="1:20" x14ac:dyDescent="0.25">
      <c r="K14">
        <v>12</v>
      </c>
      <c r="L14">
        <v>224</v>
      </c>
      <c r="M14">
        <v>107</v>
      </c>
      <c r="N14">
        <v>75</v>
      </c>
    </row>
    <row r="15" spans="1:20" ht="15.75" thickBot="1" x14ac:dyDescent="0.3">
      <c r="B15" t="s">
        <v>170</v>
      </c>
      <c r="F15" t="s">
        <v>167</v>
      </c>
      <c r="K15">
        <v>13</v>
      </c>
      <c r="L15">
        <v>226</v>
      </c>
      <c r="M15">
        <v>134</v>
      </c>
      <c r="N15">
        <v>40</v>
      </c>
    </row>
    <row r="16" spans="1:20" ht="15.75" thickBot="1" x14ac:dyDescent="0.3">
      <c r="A16" s="2" t="s">
        <v>123</v>
      </c>
      <c r="B16" s="3">
        <v>13</v>
      </c>
      <c r="C16" s="3">
        <v>15</v>
      </c>
      <c r="D16" s="3">
        <v>18</v>
      </c>
      <c r="E16" s="3">
        <v>16</v>
      </c>
      <c r="F16" s="3">
        <v>20</v>
      </c>
      <c r="G16" s="3">
        <v>20</v>
      </c>
      <c r="H16" s="3">
        <v>22</v>
      </c>
      <c r="I16" s="4">
        <v>25</v>
      </c>
      <c r="K16">
        <v>14</v>
      </c>
      <c r="L16">
        <v>225</v>
      </c>
      <c r="M16">
        <v>115</v>
      </c>
      <c r="N16">
        <v>70</v>
      </c>
      <c r="P16" t="s">
        <v>177</v>
      </c>
      <c r="Q16">
        <v>12</v>
      </c>
    </row>
    <row r="17" spans="1:25" ht="15.75" thickBot="1" x14ac:dyDescent="0.3">
      <c r="A17" s="11" t="s">
        <v>167</v>
      </c>
      <c r="B17" s="81">
        <f t="shared" ref="B17:I17" si="0">(B16-$B$20)/$B$21</f>
        <v>-1.5318178145320445</v>
      </c>
      <c r="C17" s="81">
        <f t="shared" si="0"/>
        <v>-0.9871714804762064</v>
      </c>
      <c r="D17" s="81">
        <f t="shared" si="0"/>
        <v>-0.17020197939244938</v>
      </c>
      <c r="E17" s="81">
        <f t="shared" si="0"/>
        <v>-0.71484831344828736</v>
      </c>
      <c r="F17" s="81">
        <f t="shared" si="0"/>
        <v>0.37444435466338866</v>
      </c>
      <c r="G17" s="81">
        <f t="shared" si="0"/>
        <v>0.37444435466338866</v>
      </c>
      <c r="H17" s="81">
        <f t="shared" si="0"/>
        <v>0.91909068871922661</v>
      </c>
      <c r="I17" s="82">
        <f t="shared" si="0"/>
        <v>1.7360601898029837</v>
      </c>
      <c r="K17">
        <v>15</v>
      </c>
      <c r="L17">
        <v>228</v>
      </c>
      <c r="M17">
        <v>150</v>
      </c>
      <c r="N17">
        <v>15</v>
      </c>
      <c r="P17" t="s">
        <v>36</v>
      </c>
      <c r="Q17">
        <v>2</v>
      </c>
    </row>
    <row r="18" spans="1:25" x14ac:dyDescent="0.25">
      <c r="P18" t="s">
        <v>175</v>
      </c>
      <c r="Q18">
        <f>P5</f>
        <v>0.95044510582250663</v>
      </c>
      <c r="T18" s="1" t="s">
        <v>182</v>
      </c>
      <c r="U18" s="1" t="s">
        <v>47</v>
      </c>
      <c r="V18" s="1" t="s">
        <v>183</v>
      </c>
      <c r="X18" s="1" t="s">
        <v>47</v>
      </c>
      <c r="Y18" s="1" t="s">
        <v>183</v>
      </c>
    </row>
    <row r="19" spans="1:25" x14ac:dyDescent="0.25">
      <c r="K19" t="s">
        <v>171</v>
      </c>
      <c r="L19" s="1" t="s">
        <v>174</v>
      </c>
      <c r="P19" t="s">
        <v>176</v>
      </c>
      <c r="Q19">
        <f>P6</f>
        <v>115.0778491123296</v>
      </c>
      <c r="T19">
        <f>L3-L20</f>
        <v>-1.2386811016364163</v>
      </c>
      <c r="U19">
        <f>POWER(T19,2)</f>
        <v>1.5343308715512058</v>
      </c>
      <c r="V19">
        <v>168</v>
      </c>
      <c r="X19">
        <v>3.1459374420263742</v>
      </c>
      <c r="Y19">
        <v>15</v>
      </c>
    </row>
    <row r="20" spans="1:25" x14ac:dyDescent="0.25">
      <c r="A20" s="1" t="s">
        <v>168</v>
      </c>
      <c r="B20">
        <f>AVERAGE(B16:I16)</f>
        <v>18.625</v>
      </c>
      <c r="K20">
        <v>209</v>
      </c>
      <c r="L20">
        <f t="shared" ref="L20:L34" si="1">$R$3+M3*$Q$3+N3*$P$3</f>
        <v>210.23868110163642</v>
      </c>
      <c r="P20" t="s">
        <v>160</v>
      </c>
      <c r="Q20">
        <v>3.88</v>
      </c>
      <c r="R20" s="1" t="s">
        <v>178</v>
      </c>
      <c r="T20">
        <f t="shared" ref="T20:T33" si="2">L4-L21</f>
        <v>0.8252602854254576</v>
      </c>
      <c r="U20">
        <f t="shared" ref="U20:U33" si="3">POWER(T20,2)</f>
        <v>0.68105453870050769</v>
      </c>
      <c r="V20">
        <v>165</v>
      </c>
      <c r="X20">
        <v>0.93634152892995504</v>
      </c>
      <c r="Y20">
        <v>40</v>
      </c>
    </row>
    <row r="21" spans="1:25" x14ac:dyDescent="0.25">
      <c r="A21" s="1" t="s">
        <v>169</v>
      </c>
      <c r="B21">
        <f>STDEVP(B16:I16)</f>
        <v>3.6721077053920954</v>
      </c>
      <c r="K21">
        <v>212</v>
      </c>
      <c r="L21">
        <f t="shared" si="1"/>
        <v>211.17473971457454</v>
      </c>
      <c r="T21">
        <f t="shared" si="2"/>
        <v>-0.16733935921052989</v>
      </c>
      <c r="U21">
        <f t="shared" si="3"/>
        <v>2.8002461140990757E-2</v>
      </c>
      <c r="V21">
        <v>162</v>
      </c>
      <c r="X21">
        <v>1.8774792876122568</v>
      </c>
      <c r="Y21">
        <v>70</v>
      </c>
    </row>
    <row r="22" spans="1:25" x14ac:dyDescent="0.25">
      <c r="K22">
        <v>214</v>
      </c>
      <c r="L22">
        <f t="shared" si="1"/>
        <v>214.16733935921053</v>
      </c>
      <c r="T22">
        <f t="shared" si="2"/>
        <v>-0.25876620995583721</v>
      </c>
      <c r="U22">
        <f t="shared" si="3"/>
        <v>6.6959951414908431E-2</v>
      </c>
      <c r="V22">
        <v>170</v>
      </c>
      <c r="X22">
        <v>8.2267137920195417</v>
      </c>
      <c r="Y22">
        <v>75</v>
      </c>
    </row>
    <row r="23" spans="1:25" x14ac:dyDescent="0.25">
      <c r="K23">
        <v>212</v>
      </c>
      <c r="L23">
        <f t="shared" si="1"/>
        <v>212.25876620995584</v>
      </c>
      <c r="T23">
        <f t="shared" si="2"/>
        <v>-0.70063233003361347</v>
      </c>
      <c r="U23">
        <f t="shared" si="3"/>
        <v>0.49088566188833027</v>
      </c>
      <c r="V23">
        <v>94</v>
      </c>
      <c r="X23">
        <v>1.1603703507697272</v>
      </c>
      <c r="Y23">
        <v>75</v>
      </c>
    </row>
    <row r="24" spans="1:25" x14ac:dyDescent="0.25">
      <c r="K24">
        <v>215</v>
      </c>
      <c r="L24">
        <f t="shared" si="1"/>
        <v>215.70063233003361</v>
      </c>
      <c r="T24">
        <f t="shared" si="2"/>
        <v>-0.94871048061779106</v>
      </c>
      <c r="U24">
        <f t="shared" si="3"/>
        <v>0.90005157603404007</v>
      </c>
      <c r="V24">
        <v>90</v>
      </c>
      <c r="X24">
        <v>2.6781895762451375</v>
      </c>
      <c r="Y24">
        <v>75</v>
      </c>
    </row>
    <row r="25" spans="1:25" x14ac:dyDescent="0.25">
      <c r="K25">
        <v>216</v>
      </c>
      <c r="L25">
        <f t="shared" si="1"/>
        <v>216.94871048061779</v>
      </c>
      <c r="T25">
        <f t="shared" si="2"/>
        <v>-0.38939784455305926</v>
      </c>
      <c r="U25">
        <f t="shared" si="3"/>
        <v>0.15163068134256849</v>
      </c>
      <c r="V25">
        <v>90</v>
      </c>
      <c r="X25" s="83">
        <v>0.90005157603409403</v>
      </c>
      <c r="Y25" s="83">
        <v>90</v>
      </c>
    </row>
    <row r="26" spans="1:25" x14ac:dyDescent="0.25">
      <c r="K26">
        <v>217</v>
      </c>
      <c r="L26">
        <f t="shared" si="1"/>
        <v>217.38939784455306</v>
      </c>
      <c r="T26">
        <f t="shared" si="2"/>
        <v>-1.1521473002940752</v>
      </c>
      <c r="U26">
        <f t="shared" si="3"/>
        <v>1.3274434015749259</v>
      </c>
      <c r="V26">
        <v>90</v>
      </c>
      <c r="X26" s="83">
        <v>0.15163068134256849</v>
      </c>
      <c r="Y26" s="83">
        <v>90</v>
      </c>
    </row>
    <row r="27" spans="1:25" x14ac:dyDescent="0.25">
      <c r="K27">
        <v>218</v>
      </c>
      <c r="L27">
        <f t="shared" si="1"/>
        <v>219.15214730029408</v>
      </c>
      <c r="T27">
        <f t="shared" si="2"/>
        <v>-0.18041781614300589</v>
      </c>
      <c r="U27">
        <f t="shared" si="3"/>
        <v>3.2550588381811477E-2</v>
      </c>
      <c r="V27">
        <v>90</v>
      </c>
      <c r="X27" s="83">
        <v>1.3274434015749914</v>
      </c>
      <c r="Y27" s="83">
        <v>90</v>
      </c>
    </row>
    <row r="28" spans="1:25" x14ac:dyDescent="0.25">
      <c r="K28">
        <v>220</v>
      </c>
      <c r="L28">
        <f t="shared" si="1"/>
        <v>220.18041781614301</v>
      </c>
      <c r="T28">
        <f t="shared" si="2"/>
        <v>2.8682248503246228</v>
      </c>
      <c r="U28">
        <f t="shared" si="3"/>
        <v>8.2267137920197051</v>
      </c>
      <c r="V28">
        <v>75</v>
      </c>
      <c r="X28">
        <v>3.2550588381821732E-2</v>
      </c>
      <c r="Y28">
        <v>90</v>
      </c>
    </row>
    <row r="29" spans="1:25" x14ac:dyDescent="0.25">
      <c r="K29">
        <v>222</v>
      </c>
      <c r="L29">
        <f t="shared" si="1"/>
        <v>219.13177514967538</v>
      </c>
      <c r="T29">
        <f t="shared" si="2"/>
        <v>1.0772048787346478</v>
      </c>
      <c r="U29">
        <f t="shared" si="3"/>
        <v>1.1603703507697272</v>
      </c>
      <c r="V29">
        <v>75</v>
      </c>
      <c r="X29">
        <v>0.49088566188837007</v>
      </c>
      <c r="Y29">
        <v>94</v>
      </c>
    </row>
    <row r="30" spans="1:25" x14ac:dyDescent="0.25">
      <c r="K30">
        <v>223</v>
      </c>
      <c r="L30">
        <f t="shared" si="1"/>
        <v>221.92279512126535</v>
      </c>
      <c r="T30">
        <f t="shared" si="2"/>
        <v>1.636517514799408</v>
      </c>
      <c r="U30">
        <f t="shared" si="3"/>
        <v>2.6781895762452304</v>
      </c>
      <c r="V30">
        <v>75</v>
      </c>
      <c r="X30">
        <v>2.8002461141000266E-2</v>
      </c>
      <c r="Y30">
        <v>162</v>
      </c>
    </row>
    <row r="31" spans="1:25" x14ac:dyDescent="0.25">
      <c r="K31">
        <v>224</v>
      </c>
      <c r="L31">
        <f t="shared" si="1"/>
        <v>222.36348248520059</v>
      </c>
      <c r="T31">
        <f t="shared" si="2"/>
        <v>-0.96764741974021717</v>
      </c>
      <c r="U31">
        <f t="shared" si="3"/>
        <v>0.93634152892990008</v>
      </c>
      <c r="V31">
        <v>40</v>
      </c>
      <c r="X31">
        <v>0.68105453870046084</v>
      </c>
      <c r="Y31">
        <v>165</v>
      </c>
    </row>
    <row r="32" spans="1:25" x14ac:dyDescent="0.25">
      <c r="K32">
        <v>226</v>
      </c>
      <c r="L32">
        <f t="shared" si="1"/>
        <v>226.96764741974022</v>
      </c>
      <c r="T32">
        <f t="shared" si="2"/>
        <v>1.3702114025260244</v>
      </c>
      <c r="U32">
        <f t="shared" si="3"/>
        <v>1.8774792876123347</v>
      </c>
      <c r="V32">
        <v>70</v>
      </c>
      <c r="X32">
        <v>1.5343308715512058</v>
      </c>
      <c r="Y32">
        <v>168</v>
      </c>
    </row>
    <row r="33" spans="11:25" x14ac:dyDescent="0.25">
      <c r="K33">
        <v>225</v>
      </c>
      <c r="L33">
        <f t="shared" si="1"/>
        <v>223.62978859747398</v>
      </c>
      <c r="T33">
        <f t="shared" si="2"/>
        <v>-1.7736790696251319</v>
      </c>
      <c r="U33">
        <f t="shared" si="3"/>
        <v>3.1459374420262733</v>
      </c>
      <c r="V33">
        <v>15</v>
      </c>
      <c r="X33">
        <v>6.6959951414923141E-2</v>
      </c>
      <c r="Y33">
        <v>170</v>
      </c>
    </row>
    <row r="34" spans="11:25" x14ac:dyDescent="0.25">
      <c r="K34">
        <v>228</v>
      </c>
      <c r="L34">
        <f t="shared" si="1"/>
        <v>229.77367906962513</v>
      </c>
    </row>
    <row r="35" spans="11:25" x14ac:dyDescent="0.25">
      <c r="X35" t="s">
        <v>184</v>
      </c>
      <c r="Y35">
        <f>SUM(X19:X24)</f>
        <v>18.025031977602993</v>
      </c>
    </row>
    <row r="36" spans="11:25" x14ac:dyDescent="0.25">
      <c r="X36" t="s">
        <v>185</v>
      </c>
      <c r="Y36">
        <f>SUM(X28:X33)</f>
        <v>2.8337840730777821</v>
      </c>
    </row>
    <row r="38" spans="11:25" x14ac:dyDescent="0.25">
      <c r="X38" t="s">
        <v>186</v>
      </c>
      <c r="Y38" s="1">
        <f>Y35/Y36</f>
        <v>6.3607640923840565</v>
      </c>
    </row>
    <row r="40" spans="11:25" x14ac:dyDescent="0.25">
      <c r="U40" t="s">
        <v>188</v>
      </c>
      <c r="X40" t="s">
        <v>160</v>
      </c>
      <c r="Y40">
        <v>9.27</v>
      </c>
    </row>
    <row r="42" spans="11:25" x14ac:dyDescent="0.25">
      <c r="X42" t="s">
        <v>187</v>
      </c>
      <c r="Y42">
        <v>3</v>
      </c>
    </row>
    <row r="44" spans="11:25" x14ac:dyDescent="0.25">
      <c r="T44" s="84"/>
    </row>
    <row r="47" spans="11:25" x14ac:dyDescent="0.25">
      <c r="T47" s="1" t="s">
        <v>189</v>
      </c>
    </row>
  </sheetData>
  <sortState ref="X19:Y33">
    <sortCondition ref="Y19"/>
  </sortState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0"/>
  <sheetViews>
    <sheetView tabSelected="1" topLeftCell="C68" zoomScaleNormal="100" workbookViewId="0">
      <selection activeCell="I71" sqref="I71"/>
    </sheetView>
  </sheetViews>
  <sheetFormatPr defaultRowHeight="15" x14ac:dyDescent="0.25"/>
  <sheetData>
    <row r="1" spans="1:14" x14ac:dyDescent="0.25">
      <c r="A1" s="98"/>
      <c r="B1" s="98"/>
      <c r="C1" s="98"/>
      <c r="D1" s="98"/>
      <c r="E1" s="98"/>
      <c r="F1" s="98"/>
      <c r="G1" s="98"/>
      <c r="H1" s="98"/>
      <c r="I1" s="98"/>
      <c r="J1" s="98"/>
    </row>
    <row r="2" spans="1:14" ht="15.75" x14ac:dyDescent="0.25">
      <c r="A2" s="99" t="s">
        <v>190</v>
      </c>
      <c r="B2" s="99"/>
      <c r="C2" s="99"/>
      <c r="D2" s="99"/>
      <c r="E2" s="99"/>
      <c r="F2" s="99"/>
      <c r="G2" s="100"/>
      <c r="H2" s="100"/>
      <c r="I2" s="98"/>
      <c r="J2" s="98"/>
    </row>
    <row r="3" spans="1:14" ht="15.75" x14ac:dyDescent="0.25">
      <c r="A3" s="99" t="s">
        <v>191</v>
      </c>
      <c r="B3" s="99"/>
      <c r="C3" s="99"/>
      <c r="D3" s="99"/>
      <c r="E3" s="99"/>
      <c r="F3" s="99"/>
      <c r="G3" s="100"/>
      <c r="H3" s="100"/>
      <c r="I3" s="98"/>
      <c r="J3" s="98"/>
    </row>
    <row r="4" spans="1:14" ht="15.75" x14ac:dyDescent="0.25">
      <c r="A4" s="99" t="s">
        <v>192</v>
      </c>
      <c r="B4" s="99"/>
      <c r="C4" s="99"/>
      <c r="D4" s="99"/>
      <c r="E4" s="99"/>
      <c r="F4" s="99"/>
      <c r="G4" s="100"/>
      <c r="H4" s="100"/>
      <c r="I4" s="98"/>
      <c r="J4" s="98"/>
    </row>
    <row r="5" spans="1:14" ht="15.75" x14ac:dyDescent="0.25">
      <c r="A5" s="99" t="s">
        <v>193</v>
      </c>
      <c r="B5" s="99"/>
      <c r="C5" s="99"/>
      <c r="D5" s="99"/>
      <c r="E5" s="99"/>
      <c r="F5" s="99"/>
      <c r="G5" s="100"/>
      <c r="H5" s="100"/>
      <c r="I5" s="98"/>
      <c r="J5" s="98"/>
    </row>
    <row r="6" spans="1:14" ht="15.75" x14ac:dyDescent="0.25">
      <c r="A6" s="99" t="s">
        <v>194</v>
      </c>
      <c r="B6" s="99"/>
      <c r="C6" s="99"/>
      <c r="D6" s="99"/>
      <c r="E6" s="99"/>
      <c r="F6" s="99"/>
      <c r="G6" s="100"/>
      <c r="H6" s="100"/>
      <c r="I6" s="98"/>
      <c r="J6" s="98"/>
    </row>
    <row r="7" spans="1:14" ht="15.75" x14ac:dyDescent="0.25">
      <c r="A7" s="99" t="s">
        <v>195</v>
      </c>
      <c r="B7" s="99"/>
      <c r="C7" s="99"/>
      <c r="D7" s="99"/>
      <c r="E7" s="99"/>
      <c r="F7" s="99"/>
      <c r="G7" s="100"/>
      <c r="H7" s="100"/>
      <c r="I7" s="98"/>
      <c r="J7" s="98"/>
    </row>
    <row r="8" spans="1:14" ht="15.75" x14ac:dyDescent="0.25">
      <c r="A8" s="99" t="s">
        <v>196</v>
      </c>
      <c r="B8" s="99"/>
      <c r="C8" s="99"/>
      <c r="D8" s="99"/>
      <c r="E8" s="99"/>
      <c r="F8" s="99"/>
      <c r="G8" s="100"/>
      <c r="H8" s="100"/>
      <c r="I8" s="98"/>
      <c r="J8" s="98"/>
    </row>
    <row r="9" spans="1:14" ht="15.75" x14ac:dyDescent="0.25">
      <c r="A9" s="99" t="s">
        <v>197</v>
      </c>
      <c r="B9" s="99"/>
      <c r="C9" s="99"/>
      <c r="D9" s="99"/>
      <c r="E9" s="99"/>
      <c r="F9" s="99"/>
      <c r="G9" s="100"/>
      <c r="H9" s="100"/>
      <c r="I9" s="98"/>
      <c r="J9" s="98"/>
    </row>
    <row r="10" spans="1:14" ht="15.75" x14ac:dyDescent="0.25">
      <c r="A10" s="99" t="s">
        <v>198</v>
      </c>
      <c r="B10" s="99"/>
      <c r="C10" s="99"/>
      <c r="D10" s="99"/>
      <c r="E10" s="99"/>
      <c r="F10" s="99"/>
      <c r="G10" s="100"/>
      <c r="H10" s="100"/>
      <c r="I10" s="98"/>
      <c r="J10" s="98"/>
    </row>
    <row r="11" spans="1:14" ht="15.75" x14ac:dyDescent="0.25">
      <c r="A11" s="99" t="s">
        <v>199</v>
      </c>
      <c r="B11" s="99"/>
      <c r="C11" s="99"/>
      <c r="D11" s="99"/>
      <c r="E11" s="99"/>
      <c r="F11" s="99"/>
      <c r="G11" s="100"/>
      <c r="H11" s="100"/>
      <c r="I11" s="98"/>
      <c r="J11" s="98"/>
    </row>
    <row r="12" spans="1:14" ht="15.75" x14ac:dyDescent="0.25">
      <c r="A12" s="99" t="s">
        <v>200</v>
      </c>
      <c r="B12" s="99"/>
      <c r="C12" s="99"/>
      <c r="D12" s="99"/>
      <c r="E12" s="99"/>
      <c r="F12" s="99"/>
      <c r="G12" s="100"/>
      <c r="H12" s="100"/>
      <c r="I12" s="98"/>
      <c r="J12" s="98"/>
    </row>
    <row r="13" spans="1:14" x14ac:dyDescent="0.25">
      <c r="A13" s="101"/>
      <c r="B13" s="101"/>
      <c r="C13" s="101"/>
      <c r="D13" s="101"/>
      <c r="E13" s="101"/>
      <c r="F13" s="101"/>
      <c r="G13" s="98"/>
      <c r="H13" s="98"/>
      <c r="I13" s="98"/>
      <c r="J13" s="98"/>
    </row>
    <row r="14" spans="1:14" ht="15.75" thickBot="1" x14ac:dyDescent="0.3">
      <c r="A14" s="101"/>
      <c r="B14" s="101"/>
      <c r="C14" s="102"/>
      <c r="D14" s="102"/>
      <c r="E14" s="107" t="s">
        <v>201</v>
      </c>
      <c r="F14" s="101"/>
      <c r="G14" s="98"/>
      <c r="H14" s="98"/>
      <c r="I14" s="98"/>
      <c r="J14" s="98"/>
    </row>
    <row r="15" spans="1:14" x14ac:dyDescent="0.25">
      <c r="A15" s="101"/>
      <c r="B15" s="101"/>
      <c r="C15" s="102"/>
      <c r="D15" s="102"/>
      <c r="E15" s="108" t="s">
        <v>202</v>
      </c>
      <c r="F15" s="101"/>
      <c r="G15" s="98"/>
      <c r="H15" s="117" t="s">
        <v>31</v>
      </c>
      <c r="I15" s="116"/>
      <c r="J15" s="98"/>
      <c r="K15" s="98"/>
      <c r="L15" s="98"/>
      <c r="M15" t="s">
        <v>256</v>
      </c>
    </row>
    <row r="16" spans="1:14" ht="15.75" thickBot="1" x14ac:dyDescent="0.3">
      <c r="A16" s="101"/>
      <c r="B16" s="101"/>
      <c r="C16" s="101"/>
      <c r="D16" s="86"/>
      <c r="E16" s="98"/>
      <c r="H16" s="114" t="s">
        <v>11</v>
      </c>
      <c r="I16" s="115" t="s">
        <v>10</v>
      </c>
      <c r="J16" s="98"/>
      <c r="M16" s="1" t="s">
        <v>218</v>
      </c>
      <c r="N16" t="s">
        <v>219</v>
      </c>
    </row>
    <row r="17" spans="1:19" ht="15.75" thickBot="1" x14ac:dyDescent="0.3">
      <c r="A17" s="87" t="s">
        <v>203</v>
      </c>
      <c r="B17" s="88" t="s">
        <v>204</v>
      </c>
      <c r="C17" s="89" t="s">
        <v>205</v>
      </c>
      <c r="D17" s="90"/>
      <c r="E17" s="103"/>
      <c r="G17" s="106" t="s">
        <v>81</v>
      </c>
      <c r="H17" s="110">
        <f t="array" ref="H17:I21">LINEST(B19:B36,C19:C36,1,1)</f>
        <v>0.18255818990412376</v>
      </c>
      <c r="I17" s="111">
        <v>40.524074528641052</v>
      </c>
      <c r="J17" s="106"/>
      <c r="K17" t="s">
        <v>217</v>
      </c>
      <c r="L17" s="1">
        <v>4.4939999999999998</v>
      </c>
      <c r="P17" s="140" t="s">
        <v>239</v>
      </c>
      <c r="Q17" s="141"/>
      <c r="R17" s="141"/>
      <c r="S17" s="142"/>
    </row>
    <row r="18" spans="1:19" ht="15.75" thickBot="1" x14ac:dyDescent="0.3">
      <c r="A18" s="91" t="s">
        <v>22</v>
      </c>
      <c r="B18" s="92" t="s">
        <v>171</v>
      </c>
      <c r="C18" s="93" t="s">
        <v>206</v>
      </c>
      <c r="D18" s="94"/>
      <c r="E18" s="131" t="s">
        <v>216</v>
      </c>
      <c r="G18" s="106" t="s">
        <v>82</v>
      </c>
      <c r="H18" s="110">
        <v>4.4158195940465703E-3</v>
      </c>
      <c r="I18" s="111">
        <v>7.5312592507811793</v>
      </c>
      <c r="J18" s="106"/>
      <c r="K18" t="s">
        <v>213</v>
      </c>
      <c r="L18">
        <f>H19</f>
        <v>0.99072544031800569</v>
      </c>
      <c r="P18" s="150" t="s">
        <v>182</v>
      </c>
      <c r="Q18" s="149" t="s">
        <v>47</v>
      </c>
      <c r="R18" s="149" t="s">
        <v>221</v>
      </c>
      <c r="S18" s="151" t="s">
        <v>222</v>
      </c>
    </row>
    <row r="19" spans="1:19" x14ac:dyDescent="0.25">
      <c r="A19" s="95">
        <v>1</v>
      </c>
      <c r="B19" s="95">
        <v>311</v>
      </c>
      <c r="C19" s="95">
        <v>1516</v>
      </c>
      <c r="D19" s="90"/>
      <c r="E19" s="130">
        <f t="shared" ref="E19:E36" si="0">$I$17+$H$17*C19</f>
        <v>317.28229042329269</v>
      </c>
      <c r="G19" s="106" t="s">
        <v>213</v>
      </c>
      <c r="H19" s="110">
        <v>0.99072544031800569</v>
      </c>
      <c r="I19" s="111">
        <v>2.3241813938351212</v>
      </c>
      <c r="J19" s="98"/>
      <c r="K19" t="s">
        <v>158</v>
      </c>
      <c r="L19">
        <f>I20</f>
        <v>16</v>
      </c>
      <c r="P19" s="5">
        <f>B19-E19</f>
        <v>-6.282290423292693</v>
      </c>
      <c r="Q19" s="6">
        <f>POWER(P19,2)</f>
        <v>39.467172962595086</v>
      </c>
      <c r="R19" s="6"/>
      <c r="S19" s="7"/>
    </row>
    <row r="20" spans="1:19" x14ac:dyDescent="0.25">
      <c r="A20" s="96">
        <v>2</v>
      </c>
      <c r="B20" s="96">
        <v>315</v>
      </c>
      <c r="C20" s="96">
        <v>1510</v>
      </c>
      <c r="D20" s="90"/>
      <c r="E20" s="128">
        <f t="shared" si="0"/>
        <v>316.18694128386795</v>
      </c>
      <c r="G20" s="106" t="s">
        <v>232</v>
      </c>
      <c r="H20" s="110">
        <v>1709.1492845598266</v>
      </c>
      <c r="I20" s="111">
        <v>16</v>
      </c>
      <c r="J20" s="98"/>
      <c r="K20" t="s">
        <v>214</v>
      </c>
      <c r="L20">
        <v>18</v>
      </c>
      <c r="P20" s="5">
        <f t="shared" ref="P20:P36" si="1">B20-E20</f>
        <v>-1.1869412838679523</v>
      </c>
      <c r="Q20" s="6">
        <f t="shared" ref="Q20:Q36" si="2">POWER(P20,2)</f>
        <v>1.4088296113501029</v>
      </c>
      <c r="R20" s="6">
        <f>P20*P19</f>
        <v>7.45670986065437</v>
      </c>
      <c r="S20" s="7">
        <f>POWER(P20-P19,2)</f>
        <v>25.962582852636448</v>
      </c>
    </row>
    <row r="21" spans="1:19" ht="15.75" thickBot="1" x14ac:dyDescent="0.3">
      <c r="A21" s="96">
        <v>3</v>
      </c>
      <c r="B21" s="96">
        <v>325</v>
      </c>
      <c r="C21" s="96">
        <v>1550</v>
      </c>
      <c r="D21" s="90"/>
      <c r="E21" s="128">
        <f t="shared" si="0"/>
        <v>323.48926888003285</v>
      </c>
      <c r="H21" s="112">
        <v>9232.515338021256</v>
      </c>
      <c r="I21" s="113">
        <v>86.429106423189879</v>
      </c>
      <c r="J21" s="98"/>
      <c r="K21" t="s">
        <v>215</v>
      </c>
      <c r="L21">
        <v>1</v>
      </c>
      <c r="P21" s="5">
        <f t="shared" si="1"/>
        <v>1.5107311199671472</v>
      </c>
      <c r="Q21" s="6">
        <f t="shared" si="2"/>
        <v>2.2823085168371908</v>
      </c>
      <c r="R21" s="6">
        <f t="shared" ref="R21:R36" si="3">P21*P20</f>
        <v>-1.7931491351130751</v>
      </c>
      <c r="S21" s="7">
        <f t="shared" ref="S21:S36" si="4">POWER(P21-P20,2)</f>
        <v>7.2774363984134434</v>
      </c>
    </row>
    <row r="22" spans="1:19" x14ac:dyDescent="0.25">
      <c r="A22" s="96">
        <v>4</v>
      </c>
      <c r="B22" s="96">
        <v>330</v>
      </c>
      <c r="C22" s="96">
        <v>1576</v>
      </c>
      <c r="D22" s="90"/>
      <c r="E22" s="128">
        <f t="shared" si="0"/>
        <v>328.2357818175401</v>
      </c>
      <c r="H22" s="98"/>
      <c r="I22" s="98"/>
      <c r="J22" s="98"/>
      <c r="P22" s="5">
        <f t="shared" si="1"/>
        <v>1.7642181824598993</v>
      </c>
      <c r="Q22" s="6">
        <f t="shared" si="2"/>
        <v>3.1124657953221102</v>
      </c>
      <c r="R22" s="6">
        <f t="shared" si="3"/>
        <v>2.6652593106540485</v>
      </c>
      <c r="S22" s="7">
        <f t="shared" si="4"/>
        <v>6.4255690851204403E-2</v>
      </c>
    </row>
    <row r="23" spans="1:19" x14ac:dyDescent="0.25">
      <c r="A23" s="96">
        <v>5</v>
      </c>
      <c r="B23" s="96">
        <v>336</v>
      </c>
      <c r="C23" s="96">
        <v>1617</v>
      </c>
      <c r="D23" s="90"/>
      <c r="E23" s="128">
        <f t="shared" si="0"/>
        <v>335.72066760360917</v>
      </c>
      <c r="H23" s="98"/>
      <c r="I23" s="98"/>
      <c r="J23" s="98"/>
      <c r="P23" s="5">
        <f t="shared" si="1"/>
        <v>0.27933239639082785</v>
      </c>
      <c r="Q23" s="6">
        <f t="shared" si="2"/>
        <v>7.8026587673442574E-2</v>
      </c>
      <c r="R23" s="6">
        <f t="shared" si="3"/>
        <v>0.49280329266279443</v>
      </c>
      <c r="S23" s="7">
        <f t="shared" si="4"/>
        <v>2.2048857976699643</v>
      </c>
    </row>
    <row r="24" spans="1:19" x14ac:dyDescent="0.25">
      <c r="A24" s="96">
        <v>6</v>
      </c>
      <c r="B24" s="96">
        <v>340</v>
      </c>
      <c r="C24" s="96">
        <v>1630</v>
      </c>
      <c r="D24" s="90"/>
      <c r="E24" s="128">
        <f t="shared" si="0"/>
        <v>338.09392407236277</v>
      </c>
      <c r="F24" s="98"/>
      <c r="G24" s="98"/>
      <c r="H24" s="98"/>
      <c r="P24" s="5">
        <f t="shared" si="1"/>
        <v>1.9060759276372323</v>
      </c>
      <c r="Q24" s="6">
        <f t="shared" si="2"/>
        <v>3.6331254419181356</v>
      </c>
      <c r="R24" s="6">
        <f t="shared" si="3"/>
        <v>0.53242875656977828</v>
      </c>
      <c r="S24" s="7">
        <f t="shared" si="4"/>
        <v>2.6462945164520217</v>
      </c>
    </row>
    <row r="25" spans="1:19" x14ac:dyDescent="0.25">
      <c r="A25" s="96">
        <v>7</v>
      </c>
      <c r="B25" s="96">
        <v>345</v>
      </c>
      <c r="C25" s="96">
        <v>1660</v>
      </c>
      <c r="D25" s="90"/>
      <c r="E25" s="128">
        <f t="shared" si="0"/>
        <v>343.57066976948647</v>
      </c>
      <c r="F25" s="98"/>
      <c r="G25" s="98"/>
      <c r="H25" s="98"/>
      <c r="P25" s="5">
        <f t="shared" si="1"/>
        <v>1.4293302305135285</v>
      </c>
      <c r="Q25" s="6">
        <f t="shared" si="2"/>
        <v>2.0429849078598563</v>
      </c>
      <c r="R25" s="6">
        <f t="shared" si="3"/>
        <v>2.7244119450260129</v>
      </c>
      <c r="S25" s="7">
        <f t="shared" si="4"/>
        <v>0.22728645972596637</v>
      </c>
    </row>
    <row r="26" spans="1:19" x14ac:dyDescent="0.25">
      <c r="A26" s="96">
        <v>8</v>
      </c>
      <c r="B26" s="96">
        <v>343</v>
      </c>
      <c r="C26" s="96">
        <v>1655</v>
      </c>
      <c r="D26" s="90"/>
      <c r="E26" s="128">
        <f t="shared" si="0"/>
        <v>342.65787881996584</v>
      </c>
      <c r="F26" s="98"/>
      <c r="G26" s="98"/>
      <c r="H26" s="98"/>
      <c r="P26" s="5">
        <f t="shared" si="1"/>
        <v>0.34212118003415526</v>
      </c>
      <c r="Q26" s="6">
        <f t="shared" si="2"/>
        <v>0.11704690182796287</v>
      </c>
      <c r="R26" s="6">
        <f t="shared" si="3"/>
        <v>0.48900414512177953</v>
      </c>
      <c r="S26" s="7">
        <f t="shared" si="4"/>
        <v>1.1820235194442603</v>
      </c>
    </row>
    <row r="27" spans="1:19" x14ac:dyDescent="0.25">
      <c r="A27" s="96">
        <v>9</v>
      </c>
      <c r="B27" s="96">
        <v>351</v>
      </c>
      <c r="C27" s="96">
        <v>1689</v>
      </c>
      <c r="D27" s="90"/>
      <c r="E27" s="128">
        <f t="shared" si="0"/>
        <v>348.86485727670606</v>
      </c>
      <c r="F27" s="98"/>
      <c r="G27" s="98"/>
      <c r="H27" s="98"/>
      <c r="P27" s="5">
        <f t="shared" si="1"/>
        <v>2.1351427232939386</v>
      </c>
      <c r="Q27" s="6">
        <f t="shared" si="2"/>
        <v>4.5588344488350563</v>
      </c>
      <c r="R27" s="6">
        <f t="shared" si="3"/>
        <v>0.73047754803466214</v>
      </c>
      <c r="S27" s="7">
        <f t="shared" si="4"/>
        <v>3.2149262545936952</v>
      </c>
    </row>
    <row r="28" spans="1:19" x14ac:dyDescent="0.25">
      <c r="A28" s="96">
        <v>10</v>
      </c>
      <c r="B28" s="96">
        <v>346</v>
      </c>
      <c r="C28" s="96">
        <v>1670</v>
      </c>
      <c r="D28" s="90"/>
      <c r="E28" s="128">
        <f t="shared" si="0"/>
        <v>345.39625166852773</v>
      </c>
      <c r="F28" s="98"/>
      <c r="G28" s="98"/>
      <c r="H28" s="98"/>
      <c r="P28" s="5">
        <f t="shared" si="1"/>
        <v>0.60374833147227491</v>
      </c>
      <c r="Q28" s="6">
        <f t="shared" si="2"/>
        <v>0.36451204775555596</v>
      </c>
      <c r="R28" s="6">
        <f t="shared" si="3"/>
        <v>1.2890888566438845</v>
      </c>
      <c r="S28" s="7">
        <f t="shared" si="4"/>
        <v>2.3451687833028432</v>
      </c>
    </row>
    <row r="29" spans="1:19" x14ac:dyDescent="0.25">
      <c r="A29" s="96">
        <v>11</v>
      </c>
      <c r="B29" s="96">
        <v>349</v>
      </c>
      <c r="C29" s="96">
        <v>1700</v>
      </c>
      <c r="D29" s="90"/>
      <c r="E29" s="128">
        <f t="shared" si="0"/>
        <v>350.87299736565143</v>
      </c>
      <c r="F29" s="98"/>
      <c r="G29" s="98"/>
      <c r="H29" s="98"/>
      <c r="P29" s="5">
        <f t="shared" si="1"/>
        <v>-1.8729973656514289</v>
      </c>
      <c r="Q29" s="6">
        <f t="shared" si="2"/>
        <v>3.5081191317371925</v>
      </c>
      <c r="R29" s="6">
        <f t="shared" si="3"/>
        <v>-1.1308190343640165</v>
      </c>
      <c r="S29" s="7">
        <f t="shared" si="4"/>
        <v>6.1342692482207815</v>
      </c>
    </row>
    <row r="30" spans="1:19" x14ac:dyDescent="0.25">
      <c r="A30" s="96">
        <v>12</v>
      </c>
      <c r="B30" s="96">
        <v>360</v>
      </c>
      <c r="C30" s="96">
        <v>1735</v>
      </c>
      <c r="D30" s="90"/>
      <c r="E30" s="128">
        <f t="shared" si="0"/>
        <v>357.26253401229576</v>
      </c>
      <c r="F30" s="98"/>
      <c r="G30" s="98"/>
      <c r="H30" s="98"/>
      <c r="P30" s="5">
        <f t="shared" si="1"/>
        <v>2.7374659877042404</v>
      </c>
      <c r="Q30" s="6">
        <f t="shared" si="2"/>
        <v>7.4937200338375529</v>
      </c>
      <c r="R30" s="6">
        <f t="shared" si="3"/>
        <v>-5.127266583530429</v>
      </c>
      <c r="S30" s="7">
        <f t="shared" si="4"/>
        <v>21.256372332635603</v>
      </c>
    </row>
    <row r="31" spans="1:19" x14ac:dyDescent="0.25">
      <c r="A31" s="96">
        <v>13</v>
      </c>
      <c r="B31" s="96">
        <v>365</v>
      </c>
      <c r="C31" s="96">
        <v>1780</v>
      </c>
      <c r="D31" s="90"/>
      <c r="E31" s="128">
        <f t="shared" si="0"/>
        <v>365.47765255798134</v>
      </c>
      <c r="F31" s="98"/>
      <c r="G31" s="98"/>
      <c r="H31" s="98"/>
      <c r="P31" s="5">
        <f t="shared" si="1"/>
        <v>-0.47765255798134376</v>
      </c>
      <c r="Q31" s="6">
        <f t="shared" si="2"/>
        <v>0.22815196614612096</v>
      </c>
      <c r="R31" s="6">
        <f t="shared" si="3"/>
        <v>-1.3075576314138562</v>
      </c>
      <c r="S31" s="7">
        <f t="shared" si="4"/>
        <v>10.336987262811386</v>
      </c>
    </row>
    <row r="32" spans="1:19" x14ac:dyDescent="0.25">
      <c r="A32" s="96">
        <v>14</v>
      </c>
      <c r="B32" s="96">
        <v>372</v>
      </c>
      <c r="C32" s="96">
        <v>1810</v>
      </c>
      <c r="D32" s="90"/>
      <c r="E32" s="128">
        <f t="shared" si="0"/>
        <v>370.95439825510505</v>
      </c>
      <c r="F32" s="98"/>
      <c r="G32" s="98"/>
      <c r="H32" s="98"/>
      <c r="P32" s="5">
        <f t="shared" si="1"/>
        <v>1.0456017448949524</v>
      </c>
      <c r="Q32" s="6">
        <f t="shared" si="2"/>
        <v>1.0932830089273691</v>
      </c>
      <c r="R32" s="6">
        <f t="shared" si="3"/>
        <v>-0.49943434807883047</v>
      </c>
      <c r="S32" s="7">
        <f t="shared" si="4"/>
        <v>2.3203036712311511</v>
      </c>
    </row>
    <row r="33" spans="1:19" x14ac:dyDescent="0.25">
      <c r="A33" s="96">
        <v>15</v>
      </c>
      <c r="B33" s="96">
        <v>379</v>
      </c>
      <c r="C33" s="96">
        <v>1845</v>
      </c>
      <c r="D33" s="90"/>
      <c r="E33" s="128">
        <f t="shared" si="0"/>
        <v>377.34393490174938</v>
      </c>
      <c r="F33" s="98"/>
      <c r="G33" s="98"/>
      <c r="H33" s="98"/>
      <c r="P33" s="5">
        <f t="shared" si="1"/>
        <v>1.6560650982506218</v>
      </c>
      <c r="Q33" s="6">
        <f t="shared" si="2"/>
        <v>2.7425516096438414</v>
      </c>
      <c r="R33" s="6">
        <f t="shared" si="3"/>
        <v>1.7315845563904808</v>
      </c>
      <c r="S33" s="7">
        <f t="shared" si="4"/>
        <v>0.37266550579024882</v>
      </c>
    </row>
    <row r="34" spans="1:19" x14ac:dyDescent="0.25">
      <c r="A34" s="96">
        <v>16</v>
      </c>
      <c r="B34" s="96">
        <v>379</v>
      </c>
      <c r="C34" s="96">
        <v>1860</v>
      </c>
      <c r="D34" s="90"/>
      <c r="E34" s="128">
        <f t="shared" si="0"/>
        <v>380.08230775031126</v>
      </c>
      <c r="F34" s="98"/>
      <c r="G34" s="98"/>
      <c r="H34" s="98"/>
      <c r="P34" s="5">
        <f t="shared" si="1"/>
        <v>-1.0823077503112586</v>
      </c>
      <c r="Q34" s="6">
        <f t="shared" si="2"/>
        <v>1.1713900663838177</v>
      </c>
      <c r="R34" s="6">
        <f t="shared" si="3"/>
        <v>-1.7923720908566239</v>
      </c>
      <c r="S34" s="7">
        <f t="shared" si="4"/>
        <v>7.4986858577409068</v>
      </c>
    </row>
    <row r="35" spans="1:19" x14ac:dyDescent="0.25">
      <c r="A35" s="96">
        <v>17</v>
      </c>
      <c r="B35" s="96">
        <v>383</v>
      </c>
      <c r="C35" s="96">
        <v>1895</v>
      </c>
      <c r="D35" s="90"/>
      <c r="E35" s="128">
        <f t="shared" si="0"/>
        <v>386.47184439695559</v>
      </c>
      <c r="F35" s="98"/>
      <c r="G35" s="98"/>
      <c r="H35" s="98"/>
      <c r="P35" s="5">
        <f t="shared" si="1"/>
        <v>-3.4718443969555892</v>
      </c>
      <c r="Q35" s="6">
        <f t="shared" si="2"/>
        <v>12.053703516671918</v>
      </c>
      <c r="R35" s="6">
        <f t="shared" si="3"/>
        <v>3.7576040986997521</v>
      </c>
      <c r="S35" s="7">
        <f t="shared" si="4"/>
        <v>5.709885385656233</v>
      </c>
    </row>
    <row r="36" spans="1:19" ht="15.75" thickBot="1" x14ac:dyDescent="0.3">
      <c r="A36" s="96">
        <v>18</v>
      </c>
      <c r="B36" s="96">
        <v>390</v>
      </c>
      <c r="C36" s="96">
        <v>1920</v>
      </c>
      <c r="D36" s="90"/>
      <c r="E36" s="129">
        <f t="shared" si="0"/>
        <v>391.03579914455867</v>
      </c>
      <c r="F36" s="98"/>
      <c r="G36" s="98"/>
      <c r="H36" s="98"/>
      <c r="P36" s="5">
        <f t="shared" si="1"/>
        <v>-1.0357991445586663</v>
      </c>
      <c r="Q36" s="6">
        <f t="shared" si="2"/>
        <v>1.0728798678684648</v>
      </c>
      <c r="R36" s="6">
        <f t="shared" si="3"/>
        <v>3.5961334564073981</v>
      </c>
      <c r="S36" s="7">
        <f t="shared" si="4"/>
        <v>5.9343164717255883</v>
      </c>
    </row>
    <row r="37" spans="1:19" ht="15.75" thickBot="1" x14ac:dyDescent="0.3">
      <c r="A37" s="98"/>
      <c r="B37" s="98"/>
      <c r="C37" s="98"/>
      <c r="D37" s="98"/>
      <c r="E37" s="98"/>
      <c r="F37" s="98"/>
      <c r="G37" s="98"/>
      <c r="H37" s="98"/>
      <c r="P37" s="152" t="s">
        <v>220</v>
      </c>
      <c r="Q37" s="147">
        <f>SUM(Q19:Q36)</f>
        <v>86.42910642319076</v>
      </c>
      <c r="R37" s="147">
        <f>SUM(R20:R36)</f>
        <v>13.814907003508129</v>
      </c>
      <c r="S37" s="148">
        <f>SUM(S20:S36)</f>
        <v>104.68834600890176</v>
      </c>
    </row>
    <row r="38" spans="1:19" x14ac:dyDescent="0.25">
      <c r="A38" s="98"/>
      <c r="B38" s="98"/>
      <c r="C38" s="98"/>
      <c r="D38" s="98"/>
      <c r="E38" s="98"/>
      <c r="F38" s="98"/>
      <c r="G38" s="98"/>
      <c r="H38" s="98"/>
    </row>
    <row r="39" spans="1:19" x14ac:dyDescent="0.25">
      <c r="P39" s="1" t="s">
        <v>224</v>
      </c>
      <c r="Q39" s="126">
        <f>R37/Q37</f>
        <v>0.15984090979565302</v>
      </c>
    </row>
    <row r="40" spans="1:19" x14ac:dyDescent="0.25">
      <c r="P40" s="1" t="s">
        <v>162</v>
      </c>
      <c r="Q40" s="1">
        <f>S37/Q37</f>
        <v>1.2112626213709374</v>
      </c>
    </row>
    <row r="41" spans="1:19" x14ac:dyDescent="0.25">
      <c r="P41" s="138" t="s">
        <v>236</v>
      </c>
      <c r="Q41" s="138">
        <f>1-Q39</f>
        <v>0.84015909020434698</v>
      </c>
    </row>
    <row r="42" spans="1:19" ht="15.75" thickBot="1" x14ac:dyDescent="0.3">
      <c r="K42" s="1" t="s">
        <v>235</v>
      </c>
      <c r="P42" t="s">
        <v>145</v>
      </c>
      <c r="Q42">
        <v>1.1579999999999999</v>
      </c>
      <c r="R42" s="1" t="s">
        <v>223</v>
      </c>
    </row>
    <row r="43" spans="1:19" ht="18.75" thickBot="1" x14ac:dyDescent="0.4">
      <c r="K43" s="135" t="s">
        <v>245</v>
      </c>
      <c r="L43" s="136"/>
      <c r="M43" s="137"/>
      <c r="P43" t="s">
        <v>146</v>
      </c>
      <c r="Q43">
        <v>1.391</v>
      </c>
    </row>
    <row r="44" spans="1:19" ht="18.75" thickBot="1" x14ac:dyDescent="0.4">
      <c r="D44" s="1" t="s">
        <v>263</v>
      </c>
      <c r="H44" s="98"/>
      <c r="K44" s="132" t="s">
        <v>246</v>
      </c>
      <c r="L44" s="133"/>
      <c r="M44" s="134"/>
    </row>
    <row r="45" spans="1:19" ht="15.75" thickBot="1" x14ac:dyDescent="0.3">
      <c r="D45">
        <f>$G$71+$F$71*C19</f>
        <v>369.79232324901591</v>
      </c>
      <c r="H45" s="98"/>
      <c r="K45" s="127" t="s">
        <v>233</v>
      </c>
      <c r="L45" s="118"/>
      <c r="M45" s="116"/>
      <c r="O45" s="140" t="s">
        <v>238</v>
      </c>
      <c r="P45" s="141"/>
      <c r="Q45" s="141"/>
      <c r="R45" s="142"/>
    </row>
    <row r="46" spans="1:19" ht="18.75" thickBot="1" x14ac:dyDescent="0.4">
      <c r="D46">
        <f t="shared" ref="D46:D62" si="5">$G$71+$F$71*C20</f>
        <v>368.53356358697476</v>
      </c>
      <c r="H46" s="98"/>
      <c r="K46" s="123" t="s">
        <v>241</v>
      </c>
      <c r="L46" s="124" t="s">
        <v>243</v>
      </c>
      <c r="M46" s="125" t="s">
        <v>244</v>
      </c>
      <c r="O46" s="143" t="s">
        <v>182</v>
      </c>
      <c r="P46" s="139" t="s">
        <v>47</v>
      </c>
      <c r="Q46" s="139" t="s">
        <v>221</v>
      </c>
      <c r="R46" s="144" t="s">
        <v>222</v>
      </c>
    </row>
    <row r="47" spans="1:19" x14ac:dyDescent="0.25">
      <c r="D47">
        <f t="shared" si="5"/>
        <v>376.92529466724903</v>
      </c>
      <c r="H47" s="98"/>
      <c r="J47" s="80" t="s">
        <v>291</v>
      </c>
      <c r="K47" s="183">
        <v>307.00140701369861</v>
      </c>
      <c r="L47" s="183">
        <v>1496.5084663433026</v>
      </c>
      <c r="M47" s="184">
        <f t="shared" ref="M47:M64" si="6">$J$51+$I$51*L47</f>
        <v>307.24880943036806</v>
      </c>
      <c r="O47" s="5">
        <f>K47-M47</f>
        <v>-0.24740241666944485</v>
      </c>
      <c r="P47" s="6">
        <f>POWER(O47,2)</f>
        <v>6.1207955773881599E-2</v>
      </c>
    </row>
    <row r="48" spans="1:19" ht="15.75" thickBot="1" x14ac:dyDescent="0.3">
      <c r="D48">
        <f t="shared" si="5"/>
        <v>382.37991986942734</v>
      </c>
      <c r="H48" s="98"/>
      <c r="K48" s="119">
        <f t="shared" ref="K48:K64" si="7">-$Q$39*B19+B20</f>
        <v>265.28947705355193</v>
      </c>
      <c r="L48" s="120">
        <f t="shared" ref="L48:L64" si="8">-$Q$39*C19+C20</f>
        <v>1267.68118074979</v>
      </c>
      <c r="M48" s="7">
        <f t="shared" si="6"/>
        <v>266.91577414310018</v>
      </c>
      <c r="O48" s="5">
        <f>K48-M48</f>
        <v>-1.6262970895482454</v>
      </c>
      <c r="P48" s="6">
        <f>POWER(O48,2)</f>
        <v>2.6448422234730935</v>
      </c>
      <c r="Q48" s="6">
        <f t="shared" ref="Q48:Q64" si="9">O48*O47</f>
        <v>0.40234983017672044</v>
      </c>
      <c r="R48" s="7">
        <f t="shared" ref="R48:R64" si="10">POWER(O48-O47,2)</f>
        <v>1.9013505188935342</v>
      </c>
    </row>
    <row r="49" spans="4:18" x14ac:dyDescent="0.25">
      <c r="D49">
        <f t="shared" si="5"/>
        <v>390.9814442267085</v>
      </c>
      <c r="H49" s="98"/>
      <c r="I49" s="117" t="s">
        <v>31</v>
      </c>
      <c r="J49" s="118"/>
      <c r="K49" s="119">
        <f t="shared" si="7"/>
        <v>274.65011341436929</v>
      </c>
      <c r="L49" s="120">
        <f t="shared" si="8"/>
        <v>1308.6402262085639</v>
      </c>
      <c r="M49" s="7">
        <f t="shared" si="6"/>
        <v>274.13520438515684</v>
      </c>
      <c r="O49" s="5">
        <f t="shared" ref="O49:O64" si="11">K49-M49</f>
        <v>0.51490902921244697</v>
      </c>
      <c r="P49" s="6">
        <f t="shared" ref="P49:P64" si="12">POWER(O49,2)</f>
        <v>0.26513130836450455</v>
      </c>
      <c r="Q49" s="6">
        <f t="shared" si="9"/>
        <v>-0.83739505559031491</v>
      </c>
      <c r="R49" s="7">
        <f t="shared" si="10"/>
        <v>4.5847636430182277</v>
      </c>
    </row>
    <row r="50" spans="4:18" ht="18.75" thickBot="1" x14ac:dyDescent="0.4">
      <c r="D50">
        <f t="shared" si="5"/>
        <v>393.70875682779769</v>
      </c>
      <c r="H50" s="98"/>
      <c r="I50" s="85" t="s">
        <v>237</v>
      </c>
      <c r="J50" s="32" t="s">
        <v>240</v>
      </c>
      <c r="K50" s="119">
        <f t="shared" si="7"/>
        <v>278.05170431641278</v>
      </c>
      <c r="L50" s="120">
        <f t="shared" si="8"/>
        <v>1328.2465898167379</v>
      </c>
      <c r="M50" s="7">
        <f t="shared" si="6"/>
        <v>277.59101671633238</v>
      </c>
      <c r="O50" s="5">
        <f t="shared" si="11"/>
        <v>0.46068760008040499</v>
      </c>
      <c r="P50" s="6">
        <f t="shared" si="12"/>
        <v>0.21223306486784316</v>
      </c>
      <c r="Q50" s="6">
        <f t="shared" si="9"/>
        <v>0.23721220492761333</v>
      </c>
      <c r="R50" s="7">
        <f t="shared" si="10"/>
        <v>2.9399633771210504E-3</v>
      </c>
    </row>
    <row r="51" spans="4:18" x14ac:dyDescent="0.25">
      <c r="D51">
        <f t="shared" si="5"/>
        <v>400.0025551380034</v>
      </c>
      <c r="H51" s="106" t="s">
        <v>81</v>
      </c>
      <c r="I51" s="2">
        <f t="array" ref="I51:J55">LINEST(K47:K64,L47:L64,1,1)</f>
        <v>0.17625972874106993</v>
      </c>
      <c r="J51" s="3">
        <v>43.474633093982959</v>
      </c>
      <c r="K51" s="119">
        <f t="shared" si="7"/>
        <v>283.25249976743453</v>
      </c>
      <c r="L51" s="120">
        <f t="shared" si="8"/>
        <v>1365.0907261620509</v>
      </c>
      <c r="M51" s="7">
        <f t="shared" si="6"/>
        <v>284.08515419425623</v>
      </c>
      <c r="O51" s="5">
        <f t="shared" si="11"/>
        <v>-0.83265442682170487</v>
      </c>
      <c r="P51" s="6">
        <f t="shared" si="12"/>
        <v>0.69331339450578189</v>
      </c>
      <c r="Q51" s="6">
        <f t="shared" si="9"/>
        <v>-0.38359356958881641</v>
      </c>
      <c r="R51" s="7">
        <f t="shared" si="10"/>
        <v>1.6727335985512579</v>
      </c>
    </row>
    <row r="52" spans="4:18" x14ac:dyDescent="0.25">
      <c r="D52">
        <f t="shared" si="5"/>
        <v>398.9535887529691</v>
      </c>
      <c r="H52" s="106" t="s">
        <v>82</v>
      </c>
      <c r="I52" s="5">
        <v>3.5751630318388199E-3</v>
      </c>
      <c r="J52" s="6">
        <v>5.1784392679592308</v>
      </c>
      <c r="K52" s="119">
        <f t="shared" si="7"/>
        <v>286.29345430866056</v>
      </c>
      <c r="L52" s="120">
        <f t="shared" si="8"/>
        <v>1371.5372488604291</v>
      </c>
      <c r="M52" s="7">
        <f t="shared" si="6"/>
        <v>285.22141653639551</v>
      </c>
      <c r="O52" s="5">
        <f t="shared" si="11"/>
        <v>1.0720377722650483</v>
      </c>
      <c r="P52" s="6">
        <f t="shared" si="12"/>
        <v>1.1492649851630075</v>
      </c>
      <c r="Q52" s="6">
        <f t="shared" si="9"/>
        <v>-0.89263699679657116</v>
      </c>
      <c r="R52" s="7">
        <f t="shared" si="10"/>
        <v>3.6278523732619314</v>
      </c>
    </row>
    <row r="53" spans="4:18" x14ac:dyDescent="0.25">
      <c r="D53">
        <f t="shared" si="5"/>
        <v>406.08656017120228</v>
      </c>
      <c r="H53" s="106" t="s">
        <v>213</v>
      </c>
      <c r="I53" s="5">
        <v>0.99346032722031474</v>
      </c>
      <c r="J53" s="6">
        <v>1.4980416098343572</v>
      </c>
      <c r="K53" s="119">
        <f t="shared" si="7"/>
        <v>290.65409066947797</v>
      </c>
      <c r="L53" s="120">
        <f t="shared" si="8"/>
        <v>1399.4593170330857</v>
      </c>
      <c r="M53" s="7">
        <f t="shared" si="6"/>
        <v>290.14295269839761</v>
      </c>
      <c r="O53" s="5">
        <f t="shared" si="11"/>
        <v>0.51113797108035897</v>
      </c>
      <c r="P53" s="6">
        <f t="shared" si="12"/>
        <v>0.26126202548014588</v>
      </c>
      <c r="Q53" s="6">
        <f t="shared" si="9"/>
        <v>0.54795921183706464</v>
      </c>
      <c r="R53" s="7">
        <f t="shared" si="10"/>
        <v>0.314608586969024</v>
      </c>
    </row>
    <row r="54" spans="4:18" x14ac:dyDescent="0.25">
      <c r="D54">
        <f t="shared" si="5"/>
        <v>402.10048790807195</v>
      </c>
      <c r="H54" s="106" t="s">
        <v>232</v>
      </c>
      <c r="I54" s="5">
        <v>2430.6055931272222</v>
      </c>
      <c r="J54" s="6">
        <v>16</v>
      </c>
      <c r="K54" s="119">
        <f t="shared" si="7"/>
        <v>287.85488612049971</v>
      </c>
      <c r="L54" s="120">
        <f t="shared" si="8"/>
        <v>1389.664089739216</v>
      </c>
      <c r="M54" s="7">
        <f t="shared" si="6"/>
        <v>288.41644859262306</v>
      </c>
      <c r="O54" s="5">
        <f t="shared" si="11"/>
        <v>-0.56156247212334165</v>
      </c>
      <c r="P54" s="6">
        <f t="shared" si="12"/>
        <v>0.31535241009727888</v>
      </c>
      <c r="Q54" s="6">
        <f t="shared" si="9"/>
        <v>-0.28703590263599549</v>
      </c>
      <c r="R54" s="7">
        <f t="shared" si="10"/>
        <v>1.1506862408494156</v>
      </c>
    </row>
    <row r="55" spans="4:18" ht="15.75" thickBot="1" x14ac:dyDescent="0.3">
      <c r="D55">
        <f t="shared" si="5"/>
        <v>408.39428621827767</v>
      </c>
      <c r="H55" s="98"/>
      <c r="I55" s="8">
        <v>5454.5916843481264</v>
      </c>
      <c r="J55" s="9">
        <v>35.906058636721802</v>
      </c>
      <c r="K55" s="119">
        <f t="shared" si="7"/>
        <v>296.17456794009104</v>
      </c>
      <c r="L55" s="120">
        <f t="shared" si="8"/>
        <v>1424.4632942881942</v>
      </c>
      <c r="M55" s="7">
        <f t="shared" si="6"/>
        <v>294.55014694683098</v>
      </c>
      <c r="O55" s="5">
        <f t="shared" si="11"/>
        <v>1.6244209932600597</v>
      </c>
      <c r="P55" s="6">
        <f t="shared" si="12"/>
        <v>2.6387435633439988</v>
      </c>
      <c r="Q55" s="6">
        <f t="shared" si="9"/>
        <v>-0.91221386874417321</v>
      </c>
      <c r="R55" s="7">
        <f t="shared" si="10"/>
        <v>4.7785237109296244</v>
      </c>
    </row>
    <row r="56" spans="4:18" x14ac:dyDescent="0.25">
      <c r="D56">
        <f t="shared" si="5"/>
        <v>415.73705091351769</v>
      </c>
      <c r="H56" s="98"/>
      <c r="K56" s="119">
        <f t="shared" si="7"/>
        <v>289.8958406617258</v>
      </c>
      <c r="L56" s="120">
        <f t="shared" si="8"/>
        <v>1400.0287033551422</v>
      </c>
      <c r="M56" s="7">
        <f t="shared" si="6"/>
        <v>290.24331257707217</v>
      </c>
      <c r="O56" s="5">
        <f t="shared" si="11"/>
        <v>-0.34747191534637523</v>
      </c>
      <c r="P56" s="6">
        <f t="shared" si="12"/>
        <v>0.12073673195447855</v>
      </c>
      <c r="Q56" s="6">
        <f t="shared" si="9"/>
        <v>-0.56444067385693419</v>
      </c>
      <c r="R56" s="7">
        <f t="shared" si="10"/>
        <v>3.8883616430123462</v>
      </c>
    </row>
    <row r="57" spans="4:18" x14ac:dyDescent="0.25">
      <c r="D57">
        <f t="shared" si="5"/>
        <v>425.17774837882627</v>
      </c>
      <c r="H57" s="98"/>
      <c r="K57" s="119">
        <f t="shared" si="7"/>
        <v>293.69504521070405</v>
      </c>
      <c r="L57" s="120">
        <f t="shared" si="8"/>
        <v>1433.0656806412594</v>
      </c>
      <c r="M57" s="7">
        <f t="shared" si="6"/>
        <v>296.06640123194813</v>
      </c>
      <c r="O57" s="5">
        <f t="shared" si="11"/>
        <v>-2.3713560212440825</v>
      </c>
      <c r="P57" s="6">
        <f t="shared" si="12"/>
        <v>5.6233293794905652</v>
      </c>
      <c r="Q57" s="6">
        <f t="shared" si="9"/>
        <v>0.82397961866984104</v>
      </c>
      <c r="R57" s="7">
        <f t="shared" si="10"/>
        <v>4.0961068741053621</v>
      </c>
    </row>
    <row r="58" spans="4:18" x14ac:dyDescent="0.25">
      <c r="D58">
        <f t="shared" si="5"/>
        <v>431.47154668903198</v>
      </c>
      <c r="H58" s="98"/>
      <c r="K58" s="119">
        <f t="shared" si="7"/>
        <v>304.21552248131707</v>
      </c>
      <c r="L58" s="120">
        <f t="shared" si="8"/>
        <v>1463.2704533473898</v>
      </c>
      <c r="M58" s="7">
        <f t="shared" si="6"/>
        <v>301.39028627581632</v>
      </c>
      <c r="O58" s="5">
        <f t="shared" si="11"/>
        <v>2.8252362055007438</v>
      </c>
      <c r="P58" s="6">
        <f t="shared" si="12"/>
        <v>7.9819596168722411</v>
      </c>
      <c r="Q58" s="6">
        <f t="shared" si="9"/>
        <v>-6.6996408873509727</v>
      </c>
      <c r="R58" s="7">
        <f t="shared" si="10"/>
        <v>27.004570771064753</v>
      </c>
    </row>
    <row r="59" spans="4:18" ht="18" x14ac:dyDescent="0.35">
      <c r="D59">
        <f t="shared" si="5"/>
        <v>438.814311384272</v>
      </c>
      <c r="F59" s="153" t="s">
        <v>247</v>
      </c>
      <c r="G59" s="32"/>
      <c r="H59" s="98"/>
      <c r="K59" s="119">
        <f t="shared" si="7"/>
        <v>307.4572724735649</v>
      </c>
      <c r="L59" s="120">
        <f t="shared" si="8"/>
        <v>1502.6760215045419</v>
      </c>
      <c r="M59" s="7">
        <f t="shared" si="6"/>
        <v>308.33590103008368</v>
      </c>
      <c r="O59" s="5">
        <f t="shared" si="11"/>
        <v>-0.8786285565187768</v>
      </c>
      <c r="P59" s="6">
        <f t="shared" si="12"/>
        <v>0.77198814033026941</v>
      </c>
      <c r="Q59" s="6">
        <f t="shared" si="9"/>
        <v>-2.4823332090637047</v>
      </c>
      <c r="R59" s="7">
        <f t="shared" si="10"/>
        <v>13.71861417532992</v>
      </c>
    </row>
    <row r="60" spans="4:18" x14ac:dyDescent="0.25">
      <c r="D60">
        <f t="shared" si="5"/>
        <v>441.96121053937486</v>
      </c>
      <c r="H60" s="98"/>
      <c r="K60" s="119">
        <f t="shared" si="7"/>
        <v>313.65806792458665</v>
      </c>
      <c r="L60" s="120">
        <f t="shared" si="8"/>
        <v>1525.4831805637377</v>
      </c>
      <c r="M60" s="7">
        <f t="shared" si="6"/>
        <v>312.35588469921197</v>
      </c>
      <c r="O60" s="5">
        <f t="shared" si="11"/>
        <v>1.3021832253746766</v>
      </c>
      <c r="P60" s="6">
        <f t="shared" si="12"/>
        <v>1.6956811524471957</v>
      </c>
      <c r="Q60" s="6">
        <f t="shared" si="9"/>
        <v>-1.144135367633917</v>
      </c>
      <c r="R60" s="7">
        <f t="shared" si="10"/>
        <v>4.7559400280452993</v>
      </c>
    </row>
    <row r="61" spans="4:18" ht="18.75" x14ac:dyDescent="0.35">
      <c r="D61">
        <f t="shared" si="5"/>
        <v>449.30397523461488</v>
      </c>
      <c r="F61" s="155" t="s">
        <v>242</v>
      </c>
      <c r="G61" s="154"/>
      <c r="H61" s="156"/>
      <c r="K61" s="119">
        <f t="shared" si="7"/>
        <v>319.53918155601707</v>
      </c>
      <c r="L61" s="120">
        <f t="shared" si="8"/>
        <v>1555.6879532698681</v>
      </c>
      <c r="M61" s="7">
        <f t="shared" si="6"/>
        <v>317.67976974308021</v>
      </c>
      <c r="O61" s="5">
        <f t="shared" si="11"/>
        <v>1.8594118129368553</v>
      </c>
      <c r="P61" s="6">
        <f t="shared" si="12"/>
        <v>3.4574122900891231</v>
      </c>
      <c r="Q61" s="6">
        <f t="shared" si="9"/>
        <v>2.4212948718698888</v>
      </c>
      <c r="R61" s="7">
        <f t="shared" si="10"/>
        <v>0.31050369879654072</v>
      </c>
    </row>
    <row r="62" spans="4:18" x14ac:dyDescent="0.25">
      <c r="D62">
        <f t="shared" si="5"/>
        <v>454.54880715978635</v>
      </c>
      <c r="K62" s="119">
        <f t="shared" si="7"/>
        <v>318.42029518744749</v>
      </c>
      <c r="L62" s="120">
        <f t="shared" si="8"/>
        <v>1565.0935214270203</v>
      </c>
      <c r="M62" s="7">
        <f t="shared" si="6"/>
        <v>319.33759263511547</v>
      </c>
      <c r="O62" s="5">
        <f t="shared" si="11"/>
        <v>-0.91729744766797694</v>
      </c>
      <c r="P62" s="6">
        <f t="shared" si="12"/>
        <v>0.84143460749818488</v>
      </c>
      <c r="Q62" s="6">
        <f t="shared" si="9"/>
        <v>-1.7056337101706631</v>
      </c>
      <c r="R62" s="7">
        <f t="shared" si="10"/>
        <v>7.7101143179286344</v>
      </c>
    </row>
    <row r="63" spans="4:18" x14ac:dyDescent="0.25">
      <c r="K63" s="119">
        <f t="shared" si="7"/>
        <v>322.42029518744749</v>
      </c>
      <c r="L63" s="120">
        <f t="shared" si="8"/>
        <v>1597.6959077800855</v>
      </c>
      <c r="M63" s="7">
        <f t="shared" si="6"/>
        <v>325.08408041001832</v>
      </c>
      <c r="O63" s="5">
        <f t="shared" si="11"/>
        <v>-2.663785222570823</v>
      </c>
      <c r="P63" s="6">
        <f t="shared" si="12"/>
        <v>7.0957517119866891</v>
      </c>
      <c r="Q63" s="6">
        <f t="shared" si="9"/>
        <v>2.4434833857998899</v>
      </c>
      <c r="R63" s="7">
        <f t="shared" si="10"/>
        <v>3.050219547885094</v>
      </c>
    </row>
    <row r="64" spans="4:18" ht="15.75" thickBot="1" x14ac:dyDescent="0.3">
      <c r="K64" s="121">
        <f t="shared" si="7"/>
        <v>328.7809315482649</v>
      </c>
      <c r="L64" s="122">
        <f t="shared" si="8"/>
        <v>1617.1014759372374</v>
      </c>
      <c r="M64" s="10">
        <f t="shared" si="6"/>
        <v>328.50450058946427</v>
      </c>
      <c r="O64" s="145">
        <f t="shared" si="11"/>
        <v>0.27643095880063129</v>
      </c>
      <c r="P64" s="51">
        <f t="shared" si="12"/>
        <v>7.6414074983436317E-2</v>
      </c>
      <c r="Q64" s="6">
        <f t="shared" si="9"/>
        <v>-0.73635270311420564</v>
      </c>
      <c r="R64" s="7">
        <f t="shared" si="10"/>
        <v>8.6448711931985365</v>
      </c>
    </row>
    <row r="65" spans="4:20" ht="15.75" thickBot="1" x14ac:dyDescent="0.3">
      <c r="O65" s="146" t="s">
        <v>220</v>
      </c>
      <c r="P65" s="147">
        <f>SUM(P47:P64)</f>
        <v>35.906058636721724</v>
      </c>
      <c r="Q65" s="147">
        <f>SUM(Q48:Q64)</f>
        <v>-9.7691328212652504</v>
      </c>
      <c r="R65" s="148">
        <f>SUM(R48:R64)</f>
        <v>91.212760885216625</v>
      </c>
    </row>
    <row r="66" spans="4:20" x14ac:dyDescent="0.25">
      <c r="E66" s="157" t="s">
        <v>249</v>
      </c>
      <c r="F66" t="s">
        <v>248</v>
      </c>
    </row>
    <row r="67" spans="4:20" x14ac:dyDescent="0.25">
      <c r="O67" s="1" t="s">
        <v>225</v>
      </c>
      <c r="P67">
        <f>Q65/P65</f>
        <v>-0.27207477490370374</v>
      </c>
    </row>
    <row r="68" spans="4:20" ht="15.75" thickBot="1" x14ac:dyDescent="0.3">
      <c r="E68" s="6"/>
      <c r="O68" s="1" t="s">
        <v>226</v>
      </c>
      <c r="P68" s="1">
        <f>R65/P65</f>
        <v>2.5403167139021998</v>
      </c>
    </row>
    <row r="69" spans="4:20" ht="15.75" thickBot="1" x14ac:dyDescent="0.3">
      <c r="E69" s="2"/>
      <c r="F69" s="162" t="s">
        <v>11</v>
      </c>
      <c r="G69" s="163" t="s">
        <v>10</v>
      </c>
      <c r="P69" t="s">
        <v>230</v>
      </c>
    </row>
    <row r="70" spans="4:20" ht="18" x14ac:dyDescent="0.35">
      <c r="E70" s="160" t="s">
        <v>250</v>
      </c>
      <c r="F70" s="52">
        <f>I51</f>
        <v>0.17625972874106993</v>
      </c>
      <c r="G70" s="151">
        <f>J51</f>
        <v>43.474633093982959</v>
      </c>
      <c r="I70" s="166" t="s">
        <v>254</v>
      </c>
      <c r="J70" s="4"/>
      <c r="O70" t="s">
        <v>145</v>
      </c>
      <c r="P70" s="1">
        <v>1.1579999999999999</v>
      </c>
      <c r="R70" t="s">
        <v>148</v>
      </c>
      <c r="S70" s="1">
        <f>4-P70</f>
        <v>2.8420000000000001</v>
      </c>
    </row>
    <row r="71" spans="4:20" ht="15.75" thickBot="1" x14ac:dyDescent="0.3">
      <c r="E71" s="161" t="s">
        <v>251</v>
      </c>
      <c r="F71" s="159">
        <f>F70/Q41</f>
        <v>0.20979327700685749</v>
      </c>
      <c r="G71" s="158">
        <f>G70/Q41</f>
        <v>51.745715306619935</v>
      </c>
      <c r="H71" s="157" t="s">
        <v>253</v>
      </c>
      <c r="I71" s="164" t="s">
        <v>252</v>
      </c>
      <c r="J71" s="165"/>
      <c r="O71" t="s">
        <v>146</v>
      </c>
      <c r="P71" s="1">
        <v>1.391</v>
      </c>
      <c r="R71" t="s">
        <v>147</v>
      </c>
      <c r="S71" s="1">
        <f>4-P71</f>
        <v>2.609</v>
      </c>
    </row>
    <row r="73" spans="4:20" ht="15.75" thickBot="1" x14ac:dyDescent="0.3">
      <c r="M73" s="1"/>
      <c r="R73" s="109" t="s">
        <v>228</v>
      </c>
      <c r="S73" s="109" t="s">
        <v>227</v>
      </c>
      <c r="T73" s="109" t="s">
        <v>229</v>
      </c>
    </row>
    <row r="74" spans="4:20" x14ac:dyDescent="0.25">
      <c r="J74" s="2"/>
      <c r="K74" s="3"/>
      <c r="L74" s="4"/>
    </row>
    <row r="75" spans="4:20" x14ac:dyDescent="0.25">
      <c r="J75" s="85" t="s">
        <v>257</v>
      </c>
      <c r="K75" s="6">
        <f>POWER(Q39,2)</f>
        <v>2.5549116444302085E-2</v>
      </c>
      <c r="L75" s="7"/>
      <c r="P75" s="1" t="s">
        <v>234</v>
      </c>
    </row>
    <row r="76" spans="4:20" ht="18" x14ac:dyDescent="0.35">
      <c r="D76" t="s">
        <v>261</v>
      </c>
      <c r="J76" s="85" t="s">
        <v>258</v>
      </c>
      <c r="K76" s="6">
        <f>B19</f>
        <v>311</v>
      </c>
      <c r="L76" s="7">
        <f>K76*K75</f>
        <v>7.9457752141779485</v>
      </c>
    </row>
    <row r="77" spans="4:20" ht="18" x14ac:dyDescent="0.35">
      <c r="J77" s="85" t="s">
        <v>259</v>
      </c>
      <c r="K77" s="6">
        <f>SQRT(1-K75)*K76</f>
        <v>307.00140701369861</v>
      </c>
      <c r="L77" s="7"/>
    </row>
    <row r="78" spans="4:20" ht="18" x14ac:dyDescent="0.35">
      <c r="J78" s="85" t="s">
        <v>262</v>
      </c>
      <c r="K78" s="6">
        <v>1516</v>
      </c>
      <c r="L78" s="7">
        <f>K75*K78</f>
        <v>38.732460529561962</v>
      </c>
    </row>
    <row r="79" spans="4:20" ht="18" x14ac:dyDescent="0.35">
      <c r="J79" s="85" t="s">
        <v>260</v>
      </c>
      <c r="K79" s="6">
        <f>SQRT(1-K75)*K78</f>
        <v>1496.5084663433026</v>
      </c>
      <c r="L79" s="7"/>
    </row>
    <row r="80" spans="4:20" ht="15.75" thickBot="1" x14ac:dyDescent="0.3">
      <c r="J80" s="8"/>
      <c r="K80" s="9"/>
      <c r="L80" s="10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29" sqref="E29"/>
    </sheetView>
  </sheetViews>
  <sheetFormatPr defaultRowHeight="15" x14ac:dyDescent="0.25"/>
  <sheetData>
    <row r="2" spans="1:9" ht="15.75" x14ac:dyDescent="0.25">
      <c r="A2" s="99" t="s">
        <v>207</v>
      </c>
      <c r="B2" s="99"/>
      <c r="C2" s="99"/>
      <c r="D2" s="99"/>
      <c r="E2" s="99"/>
      <c r="F2" s="99"/>
      <c r="G2" s="99"/>
      <c r="H2" s="99"/>
      <c r="I2" s="99"/>
    </row>
    <row r="3" spans="1:9" ht="15.75" x14ac:dyDescent="0.25">
      <c r="A3" s="99" t="s">
        <v>208</v>
      </c>
      <c r="B3" s="99"/>
      <c r="C3" s="99"/>
      <c r="D3" s="99"/>
      <c r="E3" s="99"/>
      <c r="F3" s="99"/>
      <c r="G3" s="99"/>
      <c r="H3" s="99"/>
      <c r="I3" s="99"/>
    </row>
    <row r="4" spans="1:9" ht="15.75" x14ac:dyDescent="0.25">
      <c r="A4" s="99" t="s">
        <v>209</v>
      </c>
      <c r="B4" s="99"/>
      <c r="C4" s="99"/>
      <c r="D4" s="99"/>
      <c r="E4" s="99"/>
      <c r="F4" s="99"/>
      <c r="G4" s="99"/>
      <c r="H4" s="99"/>
      <c r="I4" s="99"/>
    </row>
    <row r="5" spans="1:9" ht="15.75" x14ac:dyDescent="0.25">
      <c r="A5" s="99" t="s">
        <v>210</v>
      </c>
      <c r="B5" s="99"/>
      <c r="C5" s="99"/>
      <c r="D5" s="99"/>
      <c r="E5" s="99"/>
      <c r="F5" s="99"/>
      <c r="G5" s="99"/>
      <c r="H5" s="99"/>
      <c r="I5" s="99"/>
    </row>
    <row r="6" spans="1:9" ht="15.75" x14ac:dyDescent="0.25">
      <c r="A6" s="99" t="s">
        <v>211</v>
      </c>
      <c r="B6" s="99"/>
      <c r="C6" s="99"/>
      <c r="D6" s="99"/>
      <c r="E6" s="99"/>
      <c r="F6" s="99"/>
      <c r="G6" s="99"/>
      <c r="H6" s="99"/>
      <c r="I6" s="99"/>
    </row>
    <row r="7" spans="1:9" ht="15.75" x14ac:dyDescent="0.25">
      <c r="A7" s="99"/>
      <c r="B7" s="99"/>
      <c r="C7" s="99"/>
      <c r="D7" s="99"/>
      <c r="E7" s="99"/>
      <c r="F7" s="99"/>
      <c r="G7" s="99"/>
      <c r="H7" s="99"/>
      <c r="I7" s="99"/>
    </row>
    <row r="8" spans="1:9" x14ac:dyDescent="0.25">
      <c r="A8" s="98"/>
      <c r="B8" s="104" t="s">
        <v>171</v>
      </c>
      <c r="C8" s="104" t="s">
        <v>172</v>
      </c>
      <c r="D8" s="104" t="s">
        <v>173</v>
      </c>
      <c r="E8" s="104" t="s">
        <v>212</v>
      </c>
      <c r="F8" s="98"/>
      <c r="G8" s="98"/>
      <c r="H8" s="98"/>
      <c r="I8" s="98"/>
    </row>
    <row r="9" spans="1:9" x14ac:dyDescent="0.25">
      <c r="A9" s="98"/>
      <c r="B9" s="105">
        <v>100</v>
      </c>
      <c r="C9" s="105">
        <v>1</v>
      </c>
      <c r="D9" s="105">
        <v>50</v>
      </c>
      <c r="E9" s="105">
        <v>10</v>
      </c>
      <c r="F9" s="98"/>
      <c r="G9" s="98"/>
      <c r="H9" s="98"/>
      <c r="I9" s="98"/>
    </row>
    <row r="10" spans="1:9" x14ac:dyDescent="0.25">
      <c r="A10" s="98"/>
      <c r="B10" s="105">
        <v>102</v>
      </c>
      <c r="C10" s="105">
        <v>2</v>
      </c>
      <c r="D10" s="105">
        <v>49</v>
      </c>
      <c r="E10" s="105">
        <v>12</v>
      </c>
      <c r="F10" s="98"/>
      <c r="G10" s="98"/>
      <c r="H10" s="98"/>
      <c r="I10" s="98"/>
    </row>
    <row r="11" spans="1:9" x14ac:dyDescent="0.25">
      <c r="A11" s="98"/>
      <c r="B11" s="105">
        <v>104</v>
      </c>
      <c r="C11" s="105">
        <v>3</v>
      </c>
      <c r="D11" s="105">
        <v>56</v>
      </c>
      <c r="E11" s="105">
        <v>11</v>
      </c>
      <c r="F11" s="98"/>
      <c r="G11" s="98"/>
      <c r="H11" s="98"/>
      <c r="I11" s="98"/>
    </row>
    <row r="12" spans="1:9" x14ac:dyDescent="0.25">
      <c r="A12" s="98"/>
      <c r="B12" s="105">
        <v>105</v>
      </c>
      <c r="C12" s="105">
        <v>4</v>
      </c>
      <c r="D12" s="105">
        <v>58</v>
      </c>
      <c r="E12" s="105">
        <v>13</v>
      </c>
      <c r="F12" s="98"/>
      <c r="G12" s="98"/>
      <c r="H12" s="98"/>
      <c r="I12" s="98"/>
    </row>
    <row r="13" spans="1:9" x14ac:dyDescent="0.25">
      <c r="A13" s="98"/>
      <c r="B13" s="105">
        <v>103</v>
      </c>
      <c r="C13" s="105">
        <v>5</v>
      </c>
      <c r="D13" s="105">
        <v>62</v>
      </c>
      <c r="E13" s="105">
        <v>15</v>
      </c>
      <c r="F13" s="98"/>
      <c r="G13" s="98"/>
      <c r="H13" s="98"/>
      <c r="I13" s="98"/>
    </row>
    <row r="14" spans="1:9" x14ac:dyDescent="0.25">
      <c r="A14" s="98"/>
      <c r="B14" s="105">
        <v>108</v>
      </c>
      <c r="C14" s="105">
        <v>6</v>
      </c>
      <c r="D14" s="105">
        <v>63</v>
      </c>
      <c r="E14" s="105">
        <v>16</v>
      </c>
      <c r="F14" s="98"/>
      <c r="G14" s="98"/>
      <c r="H14" s="98"/>
      <c r="I14" s="98"/>
    </row>
    <row r="15" spans="1:9" x14ac:dyDescent="0.25">
      <c r="A15" s="98"/>
      <c r="B15" s="105">
        <v>109</v>
      </c>
      <c r="C15" s="105">
        <v>7</v>
      </c>
      <c r="D15" s="105">
        <v>65</v>
      </c>
      <c r="E15" s="105">
        <v>16</v>
      </c>
      <c r="F15" s="98"/>
      <c r="G15" s="98"/>
      <c r="H15" s="98"/>
      <c r="I15" s="98"/>
    </row>
    <row r="16" spans="1:9" x14ac:dyDescent="0.25">
      <c r="A16" s="98"/>
      <c r="B16" s="105">
        <v>112</v>
      </c>
      <c r="C16" s="105">
        <v>8</v>
      </c>
      <c r="D16" s="105">
        <v>68</v>
      </c>
      <c r="E16" s="105">
        <v>18</v>
      </c>
      <c r="F16" s="98"/>
      <c r="G16" s="98"/>
      <c r="H16" s="98"/>
      <c r="I16" s="98"/>
    </row>
    <row r="17" spans="1:9" x14ac:dyDescent="0.25">
      <c r="A17" s="98"/>
      <c r="B17" s="105">
        <v>115</v>
      </c>
      <c r="C17" s="105">
        <v>9</v>
      </c>
      <c r="D17" s="105">
        <v>70</v>
      </c>
      <c r="E17" s="105">
        <v>20</v>
      </c>
      <c r="F17" s="98"/>
      <c r="G17" s="98"/>
      <c r="H17" s="98"/>
      <c r="I17" s="98"/>
    </row>
    <row r="18" spans="1:9" x14ac:dyDescent="0.25">
      <c r="A18" s="98"/>
      <c r="B18" s="105">
        <v>120</v>
      </c>
      <c r="C18" s="105">
        <v>10</v>
      </c>
      <c r="D18" s="105">
        <v>71</v>
      </c>
      <c r="E18" s="105">
        <v>22</v>
      </c>
      <c r="F18" s="98"/>
      <c r="G18" s="98"/>
      <c r="H18" s="98"/>
      <c r="I18" s="98"/>
    </row>
    <row r="19" spans="1:9" x14ac:dyDescent="0.25">
      <c r="A19" s="98"/>
      <c r="B19" s="98"/>
      <c r="C19" s="98"/>
      <c r="D19" s="98"/>
      <c r="E19" s="98"/>
      <c r="F19" s="98"/>
      <c r="G19" s="98"/>
      <c r="H19" s="98"/>
      <c r="I19" s="98"/>
    </row>
    <row r="20" spans="1:9" x14ac:dyDescent="0.25">
      <c r="A20" s="97"/>
      <c r="B20" s="97"/>
      <c r="C20" s="97"/>
      <c r="D20" s="97"/>
      <c r="E20" s="97"/>
      <c r="F20" s="97"/>
      <c r="G20" s="97"/>
      <c r="H20" s="97"/>
      <c r="I20" s="98"/>
    </row>
    <row r="22" spans="1:9" x14ac:dyDescent="0.25">
      <c r="E22" s="1" t="s">
        <v>231</v>
      </c>
    </row>
    <row r="24" spans="1:9" x14ac:dyDescent="0.25">
      <c r="E24" s="1" t="s">
        <v>255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8"/>
  <sheetViews>
    <sheetView topLeftCell="A4" workbookViewId="0">
      <selection activeCell="U57" sqref="U57"/>
    </sheetView>
  </sheetViews>
  <sheetFormatPr defaultRowHeight="15" x14ac:dyDescent="0.25"/>
  <cols>
    <col min="12" max="13" width="9.28515625" bestFit="1" customWidth="1"/>
    <col min="14" max="14" width="10.85546875" customWidth="1"/>
    <col min="15" max="15" width="14.140625" bestFit="1" customWidth="1"/>
    <col min="19" max="20" width="9.42578125" bestFit="1" customWidth="1"/>
    <col min="22" max="22" width="14.140625" bestFit="1" customWidth="1"/>
  </cols>
  <sheetData>
    <row r="2" spans="1:15" x14ac:dyDescent="0.25">
      <c r="A2" s="167"/>
      <c r="B2" s="167"/>
      <c r="C2" s="167" t="s">
        <v>264</v>
      </c>
      <c r="D2" s="167"/>
      <c r="E2" s="167"/>
      <c r="F2" s="167"/>
      <c r="G2" s="167"/>
      <c r="H2" s="167"/>
      <c r="I2" s="167"/>
      <c r="L2" s="1" t="s">
        <v>31</v>
      </c>
    </row>
    <row r="3" spans="1:15" x14ac:dyDescent="0.25">
      <c r="A3" s="167"/>
      <c r="B3" s="167" t="s">
        <v>265</v>
      </c>
      <c r="C3" s="167"/>
      <c r="D3" s="167"/>
      <c r="E3" s="167"/>
      <c r="F3" s="167"/>
      <c r="G3" s="167"/>
      <c r="H3" s="167"/>
      <c r="I3" s="167"/>
      <c r="L3" s="1" t="s">
        <v>274</v>
      </c>
      <c r="M3" s="1" t="s">
        <v>12</v>
      </c>
      <c r="N3" s="1" t="s">
        <v>11</v>
      </c>
      <c r="O3" s="1" t="s">
        <v>10</v>
      </c>
    </row>
    <row r="4" spans="1:15" x14ac:dyDescent="0.25">
      <c r="L4">
        <f t="array" ref="L4:O8">LINEST(D14:D27,E14:G27,1,1)</f>
        <v>0.58832267775161873</v>
      </c>
      <c r="M4">
        <v>2.0492811484169224</v>
      </c>
      <c r="N4">
        <v>0.64958614670976789</v>
      </c>
      <c r="O4">
        <v>42.211603773129433</v>
      </c>
    </row>
    <row r="5" spans="1:15" x14ac:dyDescent="0.25">
      <c r="B5" t="s">
        <v>266</v>
      </c>
      <c r="L5">
        <v>0.2495961399749298</v>
      </c>
      <c r="M5">
        <v>0.93279707625411035</v>
      </c>
      <c r="N5">
        <v>0.41647640710177569</v>
      </c>
      <c r="O5">
        <v>8.2001217505215394</v>
      </c>
    </row>
    <row r="6" spans="1:15" x14ac:dyDescent="0.25">
      <c r="B6" t="s">
        <v>267</v>
      </c>
      <c r="L6">
        <v>0.96091672293864694</v>
      </c>
      <c r="M6">
        <v>3.7556458199859066</v>
      </c>
      <c r="N6" t="e">
        <v>#N/A</v>
      </c>
      <c r="O6" t="e">
        <v>#N/A</v>
      </c>
    </row>
    <row r="7" spans="1:15" x14ac:dyDescent="0.25">
      <c r="B7" t="s">
        <v>268</v>
      </c>
      <c r="L7">
        <v>81.954635945717953</v>
      </c>
      <c r="M7">
        <v>10</v>
      </c>
      <c r="N7" t="e">
        <v>#N/A</v>
      </c>
      <c r="O7" t="e">
        <v>#N/A</v>
      </c>
    </row>
    <row r="8" spans="1:15" x14ac:dyDescent="0.25">
      <c r="B8" t="s">
        <v>269</v>
      </c>
      <c r="L8">
        <v>3467.8798161767959</v>
      </c>
      <c r="M8">
        <v>141.04875525177613</v>
      </c>
      <c r="N8" t="e">
        <v>#N/A</v>
      </c>
      <c r="O8" t="e">
        <v>#N/A</v>
      </c>
    </row>
    <row r="9" spans="1:15" x14ac:dyDescent="0.25">
      <c r="B9" t="s">
        <v>270</v>
      </c>
    </row>
    <row r="10" spans="1:15" x14ac:dyDescent="0.25">
      <c r="B10" t="s">
        <v>271</v>
      </c>
    </row>
    <row r="11" spans="1:15" x14ac:dyDescent="0.25">
      <c r="B11" t="s">
        <v>272</v>
      </c>
    </row>
    <row r="12" spans="1:15" x14ac:dyDescent="0.25">
      <c r="B12" t="s">
        <v>273</v>
      </c>
    </row>
    <row r="13" spans="1:15" ht="15.75" thickBot="1" x14ac:dyDescent="0.3">
      <c r="C13" s="168" t="s">
        <v>203</v>
      </c>
      <c r="D13" s="168" t="s">
        <v>171</v>
      </c>
      <c r="E13" s="168" t="s">
        <v>172</v>
      </c>
      <c r="F13" s="168" t="s">
        <v>173</v>
      </c>
      <c r="G13" s="168" t="s">
        <v>212</v>
      </c>
      <c r="K13" s="1" t="s">
        <v>275</v>
      </c>
    </row>
    <row r="14" spans="1:15" x14ac:dyDescent="0.25">
      <c r="C14" s="169">
        <v>1</v>
      </c>
      <c r="D14" s="169">
        <v>96</v>
      </c>
      <c r="E14" s="169">
        <v>18</v>
      </c>
      <c r="F14" s="169">
        <v>7</v>
      </c>
      <c r="G14" s="169">
        <v>53</v>
      </c>
      <c r="K14" s="2">
        <v>1</v>
      </c>
      <c r="L14" s="170">
        <v>18</v>
      </c>
      <c r="M14" s="170">
        <v>7</v>
      </c>
      <c r="N14" s="171">
        <v>53</v>
      </c>
    </row>
    <row r="15" spans="1:15" x14ac:dyDescent="0.25">
      <c r="C15" s="169">
        <v>2</v>
      </c>
      <c r="D15" s="169">
        <v>108</v>
      </c>
      <c r="E15" s="169">
        <v>21</v>
      </c>
      <c r="F15" s="169">
        <v>7.1</v>
      </c>
      <c r="G15" s="169">
        <v>50</v>
      </c>
      <c r="K15" s="5">
        <v>1</v>
      </c>
      <c r="L15" s="169">
        <v>21</v>
      </c>
      <c r="M15" s="169">
        <v>7.1</v>
      </c>
      <c r="N15" s="172">
        <v>50</v>
      </c>
    </row>
    <row r="16" spans="1:15" x14ac:dyDescent="0.25">
      <c r="C16" s="169">
        <v>3</v>
      </c>
      <c r="D16" s="169">
        <v>103</v>
      </c>
      <c r="E16" s="169">
        <v>22</v>
      </c>
      <c r="F16" s="169">
        <v>7.3</v>
      </c>
      <c r="G16" s="169">
        <v>52</v>
      </c>
      <c r="K16" s="5">
        <v>1</v>
      </c>
      <c r="L16" s="169">
        <v>22</v>
      </c>
      <c r="M16" s="169">
        <v>7.3</v>
      </c>
      <c r="N16" s="172">
        <v>52</v>
      </c>
    </row>
    <row r="17" spans="1:24" x14ac:dyDescent="0.25">
      <c r="C17" s="169">
        <v>4</v>
      </c>
      <c r="D17" s="169">
        <v>105</v>
      </c>
      <c r="E17" s="169">
        <v>25</v>
      </c>
      <c r="F17" s="169">
        <v>7.6</v>
      </c>
      <c r="G17" s="169">
        <v>54</v>
      </c>
      <c r="K17" s="5">
        <v>1</v>
      </c>
      <c r="L17" s="169">
        <v>25</v>
      </c>
      <c r="M17" s="169">
        <v>7.6</v>
      </c>
      <c r="N17" s="172">
        <v>54</v>
      </c>
    </row>
    <row r="18" spans="1:24" x14ac:dyDescent="0.25">
      <c r="C18" s="169">
        <v>5</v>
      </c>
      <c r="D18" s="169">
        <v>109</v>
      </c>
      <c r="E18" s="169">
        <v>23</v>
      </c>
      <c r="F18" s="169">
        <v>8.1999999999999993</v>
      </c>
      <c r="G18" s="169">
        <v>62</v>
      </c>
      <c r="K18" s="5">
        <v>1</v>
      </c>
      <c r="L18" s="169">
        <v>23</v>
      </c>
      <c r="M18" s="169">
        <v>8.1999999999999993</v>
      </c>
      <c r="N18" s="172">
        <v>62</v>
      </c>
    </row>
    <row r="19" spans="1:24" x14ac:dyDescent="0.25">
      <c r="C19" s="169">
        <v>6</v>
      </c>
      <c r="D19" s="169">
        <v>108</v>
      </c>
      <c r="E19" s="169">
        <v>24</v>
      </c>
      <c r="F19" s="169">
        <v>9</v>
      </c>
      <c r="G19" s="169">
        <v>59</v>
      </c>
      <c r="K19" s="5">
        <v>1</v>
      </c>
      <c r="L19" s="169">
        <v>24</v>
      </c>
      <c r="M19" s="169">
        <v>9</v>
      </c>
      <c r="N19" s="172">
        <v>59</v>
      </c>
    </row>
    <row r="20" spans="1:24" x14ac:dyDescent="0.25">
      <c r="C20" s="169">
        <v>7</v>
      </c>
      <c r="D20" s="169">
        <v>116</v>
      </c>
      <c r="E20" s="169">
        <v>26</v>
      </c>
      <c r="F20" s="169">
        <v>10</v>
      </c>
      <c r="G20" s="169">
        <v>60</v>
      </c>
      <c r="K20" s="5">
        <v>1</v>
      </c>
      <c r="L20" s="169">
        <v>26</v>
      </c>
      <c r="M20" s="169">
        <v>10</v>
      </c>
      <c r="N20" s="172">
        <v>60</v>
      </c>
    </row>
    <row r="21" spans="1:24" x14ac:dyDescent="0.25">
      <c r="C21" s="169">
        <v>8</v>
      </c>
      <c r="D21" s="169">
        <v>119</v>
      </c>
      <c r="E21" s="169">
        <v>28</v>
      </c>
      <c r="F21" s="169">
        <v>11.4</v>
      </c>
      <c r="G21" s="169">
        <v>62</v>
      </c>
      <c r="K21" s="5">
        <v>1</v>
      </c>
      <c r="L21" s="169">
        <v>28</v>
      </c>
      <c r="M21" s="169">
        <v>11.4</v>
      </c>
      <c r="N21" s="172">
        <v>62</v>
      </c>
    </row>
    <row r="22" spans="1:24" x14ac:dyDescent="0.25">
      <c r="C22" s="169">
        <v>9</v>
      </c>
      <c r="D22" s="169">
        <v>122</v>
      </c>
      <c r="E22" s="169">
        <v>30</v>
      </c>
      <c r="F22" s="169">
        <v>12.5</v>
      </c>
      <c r="G22" s="169">
        <v>62</v>
      </c>
      <c r="K22" s="5">
        <v>1</v>
      </c>
      <c r="L22" s="169">
        <v>30</v>
      </c>
      <c r="M22" s="169">
        <v>12.5</v>
      </c>
      <c r="N22" s="172">
        <v>62</v>
      </c>
    </row>
    <row r="23" spans="1:24" ht="15.75" thickBot="1" x14ac:dyDescent="0.3">
      <c r="C23" s="169">
        <v>10</v>
      </c>
      <c r="D23" s="169">
        <v>127</v>
      </c>
      <c r="E23" s="169">
        <v>37</v>
      </c>
      <c r="F23" s="169">
        <v>13.3</v>
      </c>
      <c r="G23" s="169">
        <v>65</v>
      </c>
      <c r="K23" s="5">
        <v>1</v>
      </c>
      <c r="L23" s="169">
        <v>37</v>
      </c>
      <c r="M23" s="169">
        <v>13.3</v>
      </c>
      <c r="N23" s="172">
        <v>65</v>
      </c>
      <c r="P23" s="1" t="s">
        <v>279</v>
      </c>
    </row>
    <row r="24" spans="1:24" x14ac:dyDescent="0.25">
      <c r="C24" s="169">
        <v>11</v>
      </c>
      <c r="D24" s="169">
        <v>136</v>
      </c>
      <c r="E24" s="169">
        <v>35</v>
      </c>
      <c r="F24" s="169">
        <v>14</v>
      </c>
      <c r="G24" s="169">
        <v>68</v>
      </c>
      <c r="K24" s="5">
        <v>1</v>
      </c>
      <c r="L24" s="169">
        <v>35</v>
      </c>
      <c r="M24" s="169">
        <v>14</v>
      </c>
      <c r="N24" s="172">
        <v>68</v>
      </c>
      <c r="P24" s="174">
        <f>O4</f>
        <v>42.211603773129433</v>
      </c>
    </row>
    <row r="25" spans="1:24" x14ac:dyDescent="0.25">
      <c r="C25" s="169">
        <v>12</v>
      </c>
      <c r="D25" s="169">
        <v>140</v>
      </c>
      <c r="E25" s="169">
        <v>33</v>
      </c>
      <c r="F25" s="169">
        <v>15</v>
      </c>
      <c r="G25" s="169">
        <v>76</v>
      </c>
      <c r="K25" s="5">
        <v>1</v>
      </c>
      <c r="L25" s="169">
        <v>33</v>
      </c>
      <c r="M25" s="169">
        <v>15</v>
      </c>
      <c r="N25" s="172">
        <v>76</v>
      </c>
      <c r="P25" s="15">
        <f>N4</f>
        <v>0.64958614670976789</v>
      </c>
    </row>
    <row r="26" spans="1:24" x14ac:dyDescent="0.25">
      <c r="C26" s="169">
        <v>13</v>
      </c>
      <c r="D26" s="169">
        <v>142</v>
      </c>
      <c r="E26" s="169">
        <v>40</v>
      </c>
      <c r="F26" s="169">
        <v>13.2</v>
      </c>
      <c r="G26" s="169">
        <v>81</v>
      </c>
      <c r="K26" s="5">
        <v>1</v>
      </c>
      <c r="L26" s="169">
        <v>40</v>
      </c>
      <c r="M26" s="169">
        <v>13.2</v>
      </c>
      <c r="N26" s="172">
        <v>81</v>
      </c>
      <c r="P26" s="15">
        <f>M4</f>
        <v>2.0492811484169224</v>
      </c>
    </row>
    <row r="27" spans="1:24" ht="15.75" thickBot="1" x14ac:dyDescent="0.3">
      <c r="C27" s="169">
        <v>14</v>
      </c>
      <c r="D27" s="169">
        <v>150</v>
      </c>
      <c r="E27" s="169">
        <v>40</v>
      </c>
      <c r="F27" s="169">
        <v>15.1</v>
      </c>
      <c r="G27" s="169">
        <v>80</v>
      </c>
      <c r="K27" s="8">
        <v>1</v>
      </c>
      <c r="L27" s="173">
        <v>40</v>
      </c>
      <c r="M27" s="173">
        <v>15.1</v>
      </c>
      <c r="N27" s="158">
        <v>80</v>
      </c>
      <c r="P27" s="16">
        <f>L4</f>
        <v>0.58832267775161873</v>
      </c>
    </row>
    <row r="29" spans="1:24" ht="15.75" thickBot="1" x14ac:dyDescent="0.3">
      <c r="K29" s="1" t="s">
        <v>14</v>
      </c>
    </row>
    <row r="30" spans="1:24" x14ac:dyDescent="0.25">
      <c r="K30" s="2">
        <f t="array" ref="K30:X33">TRANSPOSE(K14:N27)</f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4">
        <v>1</v>
      </c>
    </row>
    <row r="31" spans="1:24" x14ac:dyDescent="0.25">
      <c r="A31" s="167"/>
      <c r="B31" s="167"/>
      <c r="C31" s="167"/>
      <c r="D31" s="167"/>
      <c r="E31" s="167"/>
      <c r="F31" s="167"/>
      <c r="G31" s="167"/>
      <c r="H31" s="167"/>
      <c r="I31" s="167"/>
      <c r="K31" s="5">
        <v>18</v>
      </c>
      <c r="L31" s="6">
        <v>21</v>
      </c>
      <c r="M31" s="6">
        <v>22</v>
      </c>
      <c r="N31" s="6">
        <v>25</v>
      </c>
      <c r="O31" s="6">
        <v>23</v>
      </c>
      <c r="P31" s="6">
        <v>24</v>
      </c>
      <c r="Q31" s="6">
        <v>26</v>
      </c>
      <c r="R31" s="6">
        <v>28</v>
      </c>
      <c r="S31" s="6">
        <v>30</v>
      </c>
      <c r="T31" s="6">
        <v>37</v>
      </c>
      <c r="U31" s="6">
        <v>35</v>
      </c>
      <c r="V31" s="6">
        <v>33</v>
      </c>
      <c r="W31" s="6">
        <v>40</v>
      </c>
      <c r="X31" s="7">
        <v>40</v>
      </c>
    </row>
    <row r="32" spans="1:24" x14ac:dyDescent="0.25">
      <c r="A32" s="167"/>
      <c r="B32" s="167"/>
      <c r="C32" s="167"/>
      <c r="D32" s="167"/>
      <c r="E32" s="167"/>
      <c r="F32" s="167"/>
      <c r="G32" s="167"/>
      <c r="H32" s="167"/>
      <c r="I32" s="167"/>
      <c r="K32" s="5">
        <v>7</v>
      </c>
      <c r="L32" s="6">
        <v>7.1</v>
      </c>
      <c r="M32" s="6">
        <v>7.3</v>
      </c>
      <c r="N32" s="6">
        <v>7.6</v>
      </c>
      <c r="O32" s="6">
        <v>8.1999999999999993</v>
      </c>
      <c r="P32" s="6">
        <v>9</v>
      </c>
      <c r="Q32" s="6">
        <v>10</v>
      </c>
      <c r="R32" s="6">
        <v>11.4</v>
      </c>
      <c r="S32" s="6">
        <v>12.5</v>
      </c>
      <c r="T32" s="6">
        <v>13.3</v>
      </c>
      <c r="U32" s="6">
        <v>14</v>
      </c>
      <c r="V32" s="6">
        <v>15</v>
      </c>
      <c r="W32" s="6">
        <v>13.2</v>
      </c>
      <c r="X32" s="7">
        <v>15.1</v>
      </c>
    </row>
    <row r="33" spans="2:24" ht="15.75" thickBot="1" x14ac:dyDescent="0.3">
      <c r="K33" s="8">
        <v>53</v>
      </c>
      <c r="L33" s="9">
        <v>50</v>
      </c>
      <c r="M33" s="9">
        <v>52</v>
      </c>
      <c r="N33" s="9">
        <v>54</v>
      </c>
      <c r="O33" s="9">
        <v>62</v>
      </c>
      <c r="P33" s="9">
        <v>59</v>
      </c>
      <c r="Q33" s="9">
        <v>60</v>
      </c>
      <c r="R33" s="9">
        <v>62</v>
      </c>
      <c r="S33" s="9">
        <v>62</v>
      </c>
      <c r="T33" s="9">
        <v>65</v>
      </c>
      <c r="U33" s="9">
        <v>68</v>
      </c>
      <c r="V33" s="9">
        <v>76</v>
      </c>
      <c r="W33" s="9">
        <v>81</v>
      </c>
      <c r="X33" s="10">
        <v>80</v>
      </c>
    </row>
    <row r="35" spans="2:24" ht="18" thickBot="1" x14ac:dyDescent="0.3">
      <c r="K35" s="1" t="s">
        <v>15</v>
      </c>
      <c r="P35" s="1" t="s">
        <v>276</v>
      </c>
    </row>
    <row r="36" spans="2:24" x14ac:dyDescent="0.25">
      <c r="K36" s="2">
        <f t="array" ref="K36:N39">MMULT(K30:X33,K14:N27)</f>
        <v>14</v>
      </c>
      <c r="L36" s="3">
        <v>402</v>
      </c>
      <c r="M36" s="3">
        <v>150.69999999999999</v>
      </c>
      <c r="N36" s="4">
        <v>884</v>
      </c>
      <c r="P36" s="2">
        <f t="array" ref="P36:S39">MINVERSE(K36:N39)</f>
        <v>4.7672874959689411</v>
      </c>
      <c r="Q36" s="3">
        <v>3.8979668750761004E-2</v>
      </c>
      <c r="R36" s="3">
        <v>0.18572284871829395</v>
      </c>
      <c r="S36" s="4">
        <v>-0.12375597860092537</v>
      </c>
    </row>
    <row r="37" spans="2:24" x14ac:dyDescent="0.25">
      <c r="K37" s="5">
        <v>402</v>
      </c>
      <c r="L37" s="6">
        <v>12222</v>
      </c>
      <c r="M37" s="6">
        <v>4593.6000000000004</v>
      </c>
      <c r="N37" s="7">
        <v>26229</v>
      </c>
      <c r="P37" s="5">
        <v>3.8979668750759019E-2</v>
      </c>
      <c r="Q37" s="6">
        <v>1.2297350470252995E-2</v>
      </c>
      <c r="R37" s="6">
        <v>-1.7163475487226805E-2</v>
      </c>
      <c r="S37" s="7">
        <v>-3.2836136828362571E-3</v>
      </c>
    </row>
    <row r="38" spans="2:24" x14ac:dyDescent="0.25">
      <c r="B38" s="6"/>
      <c r="C38" s="6"/>
      <c r="D38" s="6"/>
      <c r="E38" s="6"/>
      <c r="F38" s="6"/>
      <c r="G38" s="6"/>
      <c r="H38" s="6"/>
      <c r="I38" s="6"/>
      <c r="K38" s="5">
        <v>150.69999999999999</v>
      </c>
      <c r="L38" s="6">
        <v>4593.6000000000004</v>
      </c>
      <c r="M38" s="6">
        <v>1745.05</v>
      </c>
      <c r="N38" s="7">
        <v>9870.9000000000015</v>
      </c>
      <c r="P38" s="5">
        <v>0.18572284871829736</v>
      </c>
      <c r="Q38" s="6">
        <v>-1.7163475487226531E-2</v>
      </c>
      <c r="R38" s="6">
        <v>6.1688625604321694E-2</v>
      </c>
      <c r="S38" s="7">
        <v>-5.6525776185094752E-3</v>
      </c>
    </row>
    <row r="39" spans="2:24" ht="15.75" thickBot="1" x14ac:dyDescent="0.3">
      <c r="B39" s="6"/>
      <c r="C39" s="6"/>
      <c r="D39" s="6"/>
      <c r="E39" s="6"/>
      <c r="F39" s="6"/>
      <c r="G39" s="6"/>
      <c r="H39" s="6"/>
      <c r="I39" s="6"/>
      <c r="K39" s="8">
        <v>884</v>
      </c>
      <c r="L39" s="9">
        <v>26229</v>
      </c>
      <c r="M39" s="9">
        <v>9870.9000000000015</v>
      </c>
      <c r="N39" s="10">
        <v>57128</v>
      </c>
      <c r="P39" s="8">
        <v>-0.12375597860092502</v>
      </c>
      <c r="Q39" s="9">
        <v>-3.2836136828363355E-3</v>
      </c>
      <c r="R39" s="9">
        <v>-5.6525776185092956E-3</v>
      </c>
      <c r="S39" s="10">
        <v>4.4167871583965027E-3</v>
      </c>
    </row>
    <row r="40" spans="2:24" x14ac:dyDescent="0.25">
      <c r="B40" s="6"/>
      <c r="C40" s="6"/>
      <c r="D40" s="6"/>
      <c r="E40" s="6"/>
      <c r="F40" s="6"/>
      <c r="G40" s="6"/>
      <c r="H40" s="6"/>
      <c r="I40" s="6"/>
    </row>
    <row r="41" spans="2:24" ht="18" thickBot="1" x14ac:dyDescent="0.3">
      <c r="B41" s="6"/>
      <c r="C41" s="6"/>
      <c r="D41" s="6"/>
      <c r="E41" s="6"/>
      <c r="F41" s="6"/>
      <c r="G41" s="6"/>
      <c r="H41" s="6"/>
      <c r="I41" s="6"/>
      <c r="K41" s="1" t="s">
        <v>277</v>
      </c>
      <c r="P41" s="1" t="s">
        <v>280</v>
      </c>
      <c r="V41" s="1" t="s">
        <v>284</v>
      </c>
    </row>
    <row r="42" spans="2:24" x14ac:dyDescent="0.25">
      <c r="B42" s="6"/>
      <c r="C42" s="182"/>
      <c r="D42" s="182"/>
      <c r="E42" s="182"/>
      <c r="F42" s="182"/>
      <c r="G42" s="182"/>
      <c r="H42" s="6"/>
      <c r="I42" s="6"/>
      <c r="K42" s="2">
        <v>0</v>
      </c>
      <c r="L42" s="3">
        <v>1</v>
      </c>
      <c r="M42" s="3">
        <v>0</v>
      </c>
      <c r="N42" s="4">
        <v>1</v>
      </c>
      <c r="P42" s="2">
        <f t="array" ref="P42:S43">MMULT(K42:N43,P36:S39)</f>
        <v>-8.4776309850166001E-2</v>
      </c>
      <c r="Q42" s="3">
        <v>9.0137367874166593E-3</v>
      </c>
      <c r="R42" s="3">
        <v>-2.28160531057361E-2</v>
      </c>
      <c r="S42" s="4">
        <v>1.1331734755602456E-3</v>
      </c>
      <c r="V42" s="174">
        <f t="array" ref="V42:V45">MMULT(K42:N43,P24:P27)</f>
        <v>1.2379088244613867</v>
      </c>
    </row>
    <row r="43" spans="2:24" ht="15.75" thickBot="1" x14ac:dyDescent="0.3">
      <c r="B43" s="6"/>
      <c r="C43" s="6"/>
      <c r="D43" s="6"/>
      <c r="E43" s="6"/>
      <c r="F43" s="6"/>
      <c r="G43" s="6"/>
      <c r="H43" s="6"/>
      <c r="I43" s="6"/>
      <c r="K43" s="8">
        <v>0</v>
      </c>
      <c r="L43" s="9">
        <v>-3</v>
      </c>
      <c r="M43" s="9">
        <v>1</v>
      </c>
      <c r="N43" s="10">
        <v>0</v>
      </c>
      <c r="P43" s="8">
        <v>6.8783842466020303E-2</v>
      </c>
      <c r="Q43" s="9">
        <v>-5.4055526897985512E-2</v>
      </c>
      <c r="R43" s="9">
        <v>0.11317905206600211</v>
      </c>
      <c r="S43" s="10">
        <v>4.1982634299992955E-3</v>
      </c>
      <c r="V43" s="16">
        <v>0.10052270828761878</v>
      </c>
    </row>
    <row r="44" spans="2:24" x14ac:dyDescent="0.25">
      <c r="B44" s="6"/>
      <c r="C44" s="6"/>
      <c r="D44" s="6"/>
      <c r="E44" s="6"/>
      <c r="F44" s="6"/>
      <c r="G44" s="6"/>
      <c r="H44" s="6"/>
      <c r="I44" s="6"/>
      <c r="V44" t="e">
        <v>#N/A</v>
      </c>
    </row>
    <row r="45" spans="2:24" ht="18" thickBot="1" x14ac:dyDescent="0.3">
      <c r="B45" s="6"/>
      <c r="C45" s="6"/>
      <c r="D45" s="6"/>
      <c r="E45" s="6"/>
      <c r="F45" s="6"/>
      <c r="G45" s="6"/>
      <c r="H45" s="6"/>
      <c r="I45" s="6"/>
      <c r="K45" s="1" t="s">
        <v>278</v>
      </c>
      <c r="N45" s="1" t="s">
        <v>283</v>
      </c>
      <c r="P45" s="1" t="s">
        <v>281</v>
      </c>
      <c r="S45" s="1" t="s">
        <v>282</v>
      </c>
      <c r="V45" t="e">
        <v>#N/A</v>
      </c>
    </row>
    <row r="46" spans="2:24" x14ac:dyDescent="0.25">
      <c r="B46" s="6"/>
      <c r="C46" s="6"/>
      <c r="D46" s="6"/>
      <c r="E46" s="6"/>
      <c r="F46" s="6"/>
      <c r="G46" s="6"/>
      <c r="H46" s="6"/>
      <c r="I46" s="6"/>
      <c r="K46" s="2">
        <f t="array" ref="K46:L49">TRANSPOSE(K42:N43)</f>
        <v>0</v>
      </c>
      <c r="L46" s="4">
        <v>0</v>
      </c>
      <c r="N46" s="174">
        <v>1</v>
      </c>
      <c r="P46" s="2">
        <f t="array" ref="P46:Q47">MMULT(P42:S43,K46:L49)</f>
        <v>1.0146910262976904E-2</v>
      </c>
      <c r="Q46" s="4">
        <v>-4.9857263467986079E-2</v>
      </c>
      <c r="S46" s="2">
        <f t="array" ref="S46:T47">MINVERSE(P46:Q47)</f>
        <v>893.51311520238778</v>
      </c>
      <c r="T46" s="4">
        <v>161.7898143152417</v>
      </c>
    </row>
    <row r="47" spans="2:24" ht="15.75" thickBot="1" x14ac:dyDescent="0.3">
      <c r="B47" s="6"/>
      <c r="C47" s="6"/>
      <c r="D47" s="6"/>
      <c r="E47" s="6"/>
      <c r="F47" s="6"/>
      <c r="G47" s="6"/>
      <c r="H47" s="6"/>
      <c r="I47" s="6"/>
      <c r="K47" s="5">
        <v>1</v>
      </c>
      <c r="L47" s="7">
        <v>-3</v>
      </c>
      <c r="N47" s="16">
        <v>0</v>
      </c>
      <c r="P47" s="8">
        <v>-4.9857263467986218E-2</v>
      </c>
      <c r="Q47" s="10">
        <v>0.27534563275995866</v>
      </c>
      <c r="S47" s="8">
        <v>161.78981431524215</v>
      </c>
      <c r="T47" s="10">
        <v>32.927333213436128</v>
      </c>
    </row>
    <row r="48" spans="2:24" ht="15.75" thickBot="1" x14ac:dyDescent="0.3">
      <c r="B48" s="6"/>
      <c r="C48" s="6"/>
      <c r="D48" s="6"/>
      <c r="E48" s="6"/>
      <c r="F48" s="6"/>
      <c r="G48" s="6"/>
      <c r="H48" s="6"/>
      <c r="I48" s="6"/>
      <c r="K48" s="5">
        <v>0</v>
      </c>
      <c r="L48" s="7">
        <v>1</v>
      </c>
      <c r="V48" s="1" t="s">
        <v>285</v>
      </c>
    </row>
    <row r="49" spans="2:23" ht="18" thickBot="1" x14ac:dyDescent="0.3">
      <c r="B49" s="6"/>
      <c r="C49" s="6"/>
      <c r="D49" s="6"/>
      <c r="E49" s="6"/>
      <c r="F49" s="6"/>
      <c r="G49" s="6"/>
      <c r="H49" s="6"/>
      <c r="I49" s="6"/>
      <c r="K49" s="8">
        <v>1</v>
      </c>
      <c r="L49" s="10">
        <v>0</v>
      </c>
      <c r="N49" s="1" t="s">
        <v>286</v>
      </c>
      <c r="P49" s="1"/>
      <c r="R49" s="1" t="s">
        <v>287</v>
      </c>
      <c r="V49" s="174">
        <f t="array" ref="V49:V50">N46:N47-V42:V43</f>
        <v>-0.23790882446138673</v>
      </c>
    </row>
    <row r="50" spans="2:23" ht="15.75" thickBot="1" x14ac:dyDescent="0.3">
      <c r="B50" s="6"/>
      <c r="C50" s="6"/>
      <c r="D50" s="6"/>
      <c r="E50" s="6"/>
      <c r="F50" s="6"/>
      <c r="G50" s="6"/>
      <c r="H50" s="6"/>
      <c r="I50" s="6"/>
      <c r="N50" s="2">
        <f t="array" ref="N50:O53">MMULT(P36:S39,K46:L49)</f>
        <v>-8.4776309850164364E-2</v>
      </c>
      <c r="O50" s="4">
        <v>6.8783842466010936E-2</v>
      </c>
      <c r="P50" s="6"/>
      <c r="Q50" s="6"/>
      <c r="R50" s="2">
        <f t="array" ref="R50:S51">MMULT(S46:T47,V49:V50)</f>
        <v>-228.83820518695074</v>
      </c>
      <c r="S50" s="4">
        <v>-228.83820518695074</v>
      </c>
      <c r="V50" s="16">
        <v>-0.10052270828761878</v>
      </c>
    </row>
    <row r="51" spans="2:23" ht="15.75" thickBot="1" x14ac:dyDescent="0.3">
      <c r="B51" s="6"/>
      <c r="C51" s="6"/>
      <c r="D51" s="6"/>
      <c r="E51" s="6"/>
      <c r="F51" s="6"/>
      <c r="G51" s="6"/>
      <c r="H51" s="6"/>
      <c r="I51" s="6"/>
      <c r="N51" s="5">
        <v>9.0137367874167373E-3</v>
      </c>
      <c r="O51" s="7">
        <v>-5.4055526897985789E-2</v>
      </c>
      <c r="P51" s="6"/>
      <c r="Q51" s="6"/>
      <c r="R51" s="8">
        <v>-41.80116924486876</v>
      </c>
      <c r="S51" s="10">
        <v>-41.80116924486876</v>
      </c>
    </row>
    <row r="52" spans="2:23" ht="15.75" thickBot="1" x14ac:dyDescent="0.3">
      <c r="B52" s="6"/>
      <c r="C52" s="6"/>
      <c r="D52" s="6"/>
      <c r="E52" s="6"/>
      <c r="F52" s="6"/>
      <c r="G52" s="6"/>
      <c r="H52" s="6"/>
      <c r="I52" s="6"/>
      <c r="N52" s="5">
        <v>-2.2816053105736006E-2</v>
      </c>
      <c r="O52" s="7">
        <v>0.11317905206600129</v>
      </c>
      <c r="W52" s="179" t="s">
        <v>290</v>
      </c>
    </row>
    <row r="53" spans="2:23" ht="18" thickBot="1" x14ac:dyDescent="0.3">
      <c r="B53" s="6"/>
      <c r="C53" s="6"/>
      <c r="D53" s="6"/>
      <c r="E53" s="6"/>
      <c r="F53" s="6"/>
      <c r="G53" s="6"/>
      <c r="H53" s="6"/>
      <c r="I53" s="6"/>
      <c r="N53" s="8">
        <v>1.1331734755601671E-3</v>
      </c>
      <c r="O53" s="10">
        <v>4.198263429999711E-3</v>
      </c>
      <c r="R53" s="1" t="s">
        <v>288</v>
      </c>
      <c r="W53" s="178" t="s">
        <v>289</v>
      </c>
    </row>
    <row r="54" spans="2:23" x14ac:dyDescent="0.25">
      <c r="B54" s="6"/>
      <c r="C54" s="6"/>
      <c r="D54" s="6"/>
      <c r="E54" s="6"/>
      <c r="F54" s="6"/>
      <c r="G54" s="6"/>
      <c r="H54" s="6"/>
      <c r="I54" s="6"/>
      <c r="R54" s="175">
        <f t="array" ref="R54:R57">MMULT(N50:O53,R50:S51)</f>
        <v>16.524813548250314</v>
      </c>
      <c r="S54" s="6"/>
      <c r="W54" s="180">
        <f t="array" ref="W54:W57">R54:R57+P24:P27</f>
        <v>58.736417321379747</v>
      </c>
    </row>
    <row r="55" spans="2:23" x14ac:dyDescent="0.25">
      <c r="B55" s="6"/>
      <c r="C55" s="6"/>
      <c r="D55" s="6"/>
      <c r="E55" s="6"/>
      <c r="F55" s="6"/>
      <c r="G55" s="6"/>
      <c r="H55" s="6"/>
      <c r="I55" s="6"/>
      <c r="R55" s="176">
        <v>0.19689688002322203</v>
      </c>
      <c r="S55" s="6"/>
      <c r="W55" s="180">
        <v>0.84648302673298992</v>
      </c>
    </row>
    <row r="56" spans="2:23" x14ac:dyDescent="0.25">
      <c r="B56" s="6"/>
      <c r="C56" s="6"/>
      <c r="D56" s="6"/>
      <c r="E56" s="6"/>
      <c r="F56" s="6"/>
      <c r="G56" s="6"/>
      <c r="H56" s="6"/>
      <c r="I56" s="6"/>
      <c r="R56" s="176">
        <v>0.49016793178204754</v>
      </c>
      <c r="S56" s="6"/>
      <c r="W56" s="180">
        <v>2.53944908019897</v>
      </c>
    </row>
    <row r="57" spans="2:23" ht="15.75" thickBot="1" x14ac:dyDescent="0.3">
      <c r="B57" s="6"/>
      <c r="C57" s="6"/>
      <c r="D57" s="6"/>
      <c r="E57" s="6"/>
      <c r="F57" s="6"/>
      <c r="G57" s="6"/>
      <c r="H57" s="6"/>
      <c r="I57" s="6"/>
      <c r="R57" s="177">
        <v>-0.43480570448460876</v>
      </c>
      <c r="S57" s="6"/>
      <c r="W57" s="181">
        <v>0.15351697326700997</v>
      </c>
    </row>
    <row r="58" spans="2:23" x14ac:dyDescent="0.25">
      <c r="B58" s="6"/>
      <c r="C58" s="6"/>
      <c r="D58" s="6"/>
      <c r="E58" s="6"/>
      <c r="F58" s="6"/>
      <c r="G58" s="6"/>
      <c r="H58" s="6"/>
      <c r="I5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124"/>
  <sheetViews>
    <sheetView topLeftCell="A82" zoomScaleNormal="100" workbookViewId="0">
      <selection activeCell="G120" sqref="G120"/>
    </sheetView>
  </sheetViews>
  <sheetFormatPr defaultRowHeight="12.75" x14ac:dyDescent="0.2"/>
  <cols>
    <col min="1" max="5" width="9.140625" style="187"/>
    <col min="6" max="6" width="9.28515625" style="187" bestFit="1" customWidth="1"/>
    <col min="7" max="7" width="9.5703125" style="187" bestFit="1" customWidth="1"/>
    <col min="8" max="8" width="11.28515625" style="187" customWidth="1"/>
    <col min="9" max="9" width="17.28515625" style="187" customWidth="1"/>
    <col min="10" max="14" width="14.85546875" style="187" bestFit="1" customWidth="1"/>
    <col min="15" max="15" width="9.140625" style="187"/>
    <col min="16" max="16" width="11.140625" style="187" bestFit="1" customWidth="1"/>
    <col min="17" max="19" width="11.42578125" style="187" bestFit="1" customWidth="1"/>
    <col min="20" max="261" width="9.140625" style="187"/>
    <col min="262" max="262" width="9.28515625" style="187" bestFit="1" customWidth="1"/>
    <col min="263" max="263" width="9.5703125" style="187" bestFit="1" customWidth="1"/>
    <col min="264" max="264" width="11.28515625" style="187" customWidth="1"/>
    <col min="265" max="265" width="17.28515625" style="187" customWidth="1"/>
    <col min="266" max="270" width="14.85546875" style="187" bestFit="1" customWidth="1"/>
    <col min="271" max="271" width="9.140625" style="187"/>
    <col min="272" max="272" width="11.140625" style="187" bestFit="1" customWidth="1"/>
    <col min="273" max="275" width="11.42578125" style="187" bestFit="1" customWidth="1"/>
    <col min="276" max="517" width="9.140625" style="187"/>
    <col min="518" max="518" width="9.28515625" style="187" bestFit="1" customWidth="1"/>
    <col min="519" max="519" width="9.5703125" style="187" bestFit="1" customWidth="1"/>
    <col min="520" max="520" width="11.28515625" style="187" customWidth="1"/>
    <col min="521" max="521" width="17.28515625" style="187" customWidth="1"/>
    <col min="522" max="526" width="14.85546875" style="187" bestFit="1" customWidth="1"/>
    <col min="527" max="527" width="9.140625" style="187"/>
    <col min="528" max="528" width="11.140625" style="187" bestFit="1" customWidth="1"/>
    <col min="529" max="531" width="11.42578125" style="187" bestFit="1" customWidth="1"/>
    <col min="532" max="773" width="9.140625" style="187"/>
    <col min="774" max="774" width="9.28515625" style="187" bestFit="1" customWidth="1"/>
    <col min="775" max="775" width="9.5703125" style="187" bestFit="1" customWidth="1"/>
    <col min="776" max="776" width="11.28515625" style="187" customWidth="1"/>
    <col min="777" max="777" width="17.28515625" style="187" customWidth="1"/>
    <col min="778" max="782" width="14.85546875" style="187" bestFit="1" customWidth="1"/>
    <col min="783" max="783" width="9.140625" style="187"/>
    <col min="784" max="784" width="11.140625" style="187" bestFit="1" customWidth="1"/>
    <col min="785" max="787" width="11.42578125" style="187" bestFit="1" customWidth="1"/>
    <col min="788" max="1029" width="9.140625" style="187"/>
    <col min="1030" max="1030" width="9.28515625" style="187" bestFit="1" customWidth="1"/>
    <col min="1031" max="1031" width="9.5703125" style="187" bestFit="1" customWidth="1"/>
    <col min="1032" max="1032" width="11.28515625" style="187" customWidth="1"/>
    <col min="1033" max="1033" width="17.28515625" style="187" customWidth="1"/>
    <col min="1034" max="1038" width="14.85546875" style="187" bestFit="1" customWidth="1"/>
    <col min="1039" max="1039" width="9.140625" style="187"/>
    <col min="1040" max="1040" width="11.140625" style="187" bestFit="1" customWidth="1"/>
    <col min="1041" max="1043" width="11.42578125" style="187" bestFit="1" customWidth="1"/>
    <col min="1044" max="1285" width="9.140625" style="187"/>
    <col min="1286" max="1286" width="9.28515625" style="187" bestFit="1" customWidth="1"/>
    <col min="1287" max="1287" width="9.5703125" style="187" bestFit="1" customWidth="1"/>
    <col min="1288" max="1288" width="11.28515625" style="187" customWidth="1"/>
    <col min="1289" max="1289" width="17.28515625" style="187" customWidth="1"/>
    <col min="1290" max="1294" width="14.85546875" style="187" bestFit="1" customWidth="1"/>
    <col min="1295" max="1295" width="9.140625" style="187"/>
    <col min="1296" max="1296" width="11.140625" style="187" bestFit="1" customWidth="1"/>
    <col min="1297" max="1299" width="11.42578125" style="187" bestFit="1" customWidth="1"/>
    <col min="1300" max="1541" width="9.140625" style="187"/>
    <col min="1542" max="1542" width="9.28515625" style="187" bestFit="1" customWidth="1"/>
    <col min="1543" max="1543" width="9.5703125" style="187" bestFit="1" customWidth="1"/>
    <col min="1544" max="1544" width="11.28515625" style="187" customWidth="1"/>
    <col min="1545" max="1545" width="17.28515625" style="187" customWidth="1"/>
    <col min="1546" max="1550" width="14.85546875" style="187" bestFit="1" customWidth="1"/>
    <col min="1551" max="1551" width="9.140625" style="187"/>
    <col min="1552" max="1552" width="11.140625" style="187" bestFit="1" customWidth="1"/>
    <col min="1553" max="1555" width="11.42578125" style="187" bestFit="1" customWidth="1"/>
    <col min="1556" max="1797" width="9.140625" style="187"/>
    <col min="1798" max="1798" width="9.28515625" style="187" bestFit="1" customWidth="1"/>
    <col min="1799" max="1799" width="9.5703125" style="187" bestFit="1" customWidth="1"/>
    <col min="1800" max="1800" width="11.28515625" style="187" customWidth="1"/>
    <col min="1801" max="1801" width="17.28515625" style="187" customWidth="1"/>
    <col min="1802" max="1806" width="14.85546875" style="187" bestFit="1" customWidth="1"/>
    <col min="1807" max="1807" width="9.140625" style="187"/>
    <col min="1808" max="1808" width="11.140625" style="187" bestFit="1" customWidth="1"/>
    <col min="1809" max="1811" width="11.42578125" style="187" bestFit="1" customWidth="1"/>
    <col min="1812" max="2053" width="9.140625" style="187"/>
    <col min="2054" max="2054" width="9.28515625" style="187" bestFit="1" customWidth="1"/>
    <col min="2055" max="2055" width="9.5703125" style="187" bestFit="1" customWidth="1"/>
    <col min="2056" max="2056" width="11.28515625" style="187" customWidth="1"/>
    <col min="2057" max="2057" width="17.28515625" style="187" customWidth="1"/>
    <col min="2058" max="2062" width="14.85546875" style="187" bestFit="1" customWidth="1"/>
    <col min="2063" max="2063" width="9.140625" style="187"/>
    <col min="2064" max="2064" width="11.140625" style="187" bestFit="1" customWidth="1"/>
    <col min="2065" max="2067" width="11.42578125" style="187" bestFit="1" customWidth="1"/>
    <col min="2068" max="2309" width="9.140625" style="187"/>
    <col min="2310" max="2310" width="9.28515625" style="187" bestFit="1" customWidth="1"/>
    <col min="2311" max="2311" width="9.5703125" style="187" bestFit="1" customWidth="1"/>
    <col min="2312" max="2312" width="11.28515625" style="187" customWidth="1"/>
    <col min="2313" max="2313" width="17.28515625" style="187" customWidth="1"/>
    <col min="2314" max="2318" width="14.85546875" style="187" bestFit="1" customWidth="1"/>
    <col min="2319" max="2319" width="9.140625" style="187"/>
    <col min="2320" max="2320" width="11.140625" style="187" bestFit="1" customWidth="1"/>
    <col min="2321" max="2323" width="11.42578125" style="187" bestFit="1" customWidth="1"/>
    <col min="2324" max="2565" width="9.140625" style="187"/>
    <col min="2566" max="2566" width="9.28515625" style="187" bestFit="1" customWidth="1"/>
    <col min="2567" max="2567" width="9.5703125" style="187" bestFit="1" customWidth="1"/>
    <col min="2568" max="2568" width="11.28515625" style="187" customWidth="1"/>
    <col min="2569" max="2569" width="17.28515625" style="187" customWidth="1"/>
    <col min="2570" max="2574" width="14.85546875" style="187" bestFit="1" customWidth="1"/>
    <col min="2575" max="2575" width="9.140625" style="187"/>
    <col min="2576" max="2576" width="11.140625" style="187" bestFit="1" customWidth="1"/>
    <col min="2577" max="2579" width="11.42578125" style="187" bestFit="1" customWidth="1"/>
    <col min="2580" max="2821" width="9.140625" style="187"/>
    <col min="2822" max="2822" width="9.28515625" style="187" bestFit="1" customWidth="1"/>
    <col min="2823" max="2823" width="9.5703125" style="187" bestFit="1" customWidth="1"/>
    <col min="2824" max="2824" width="11.28515625" style="187" customWidth="1"/>
    <col min="2825" max="2825" width="17.28515625" style="187" customWidth="1"/>
    <col min="2826" max="2830" width="14.85546875" style="187" bestFit="1" customWidth="1"/>
    <col min="2831" max="2831" width="9.140625" style="187"/>
    <col min="2832" max="2832" width="11.140625" style="187" bestFit="1" customWidth="1"/>
    <col min="2833" max="2835" width="11.42578125" style="187" bestFit="1" customWidth="1"/>
    <col min="2836" max="3077" width="9.140625" style="187"/>
    <col min="3078" max="3078" width="9.28515625" style="187" bestFit="1" customWidth="1"/>
    <col min="3079" max="3079" width="9.5703125" style="187" bestFit="1" customWidth="1"/>
    <col min="3080" max="3080" width="11.28515625" style="187" customWidth="1"/>
    <col min="3081" max="3081" width="17.28515625" style="187" customWidth="1"/>
    <col min="3082" max="3086" width="14.85546875" style="187" bestFit="1" customWidth="1"/>
    <col min="3087" max="3087" width="9.140625" style="187"/>
    <col min="3088" max="3088" width="11.140625" style="187" bestFit="1" customWidth="1"/>
    <col min="3089" max="3091" width="11.42578125" style="187" bestFit="1" customWidth="1"/>
    <col min="3092" max="3333" width="9.140625" style="187"/>
    <col min="3334" max="3334" width="9.28515625" style="187" bestFit="1" customWidth="1"/>
    <col min="3335" max="3335" width="9.5703125" style="187" bestFit="1" customWidth="1"/>
    <col min="3336" max="3336" width="11.28515625" style="187" customWidth="1"/>
    <col min="3337" max="3337" width="17.28515625" style="187" customWidth="1"/>
    <col min="3338" max="3342" width="14.85546875" style="187" bestFit="1" customWidth="1"/>
    <col min="3343" max="3343" width="9.140625" style="187"/>
    <col min="3344" max="3344" width="11.140625" style="187" bestFit="1" customWidth="1"/>
    <col min="3345" max="3347" width="11.42578125" style="187" bestFit="1" customWidth="1"/>
    <col min="3348" max="3589" width="9.140625" style="187"/>
    <col min="3590" max="3590" width="9.28515625" style="187" bestFit="1" customWidth="1"/>
    <col min="3591" max="3591" width="9.5703125" style="187" bestFit="1" customWidth="1"/>
    <col min="3592" max="3592" width="11.28515625" style="187" customWidth="1"/>
    <col min="3593" max="3593" width="17.28515625" style="187" customWidth="1"/>
    <col min="3594" max="3598" width="14.85546875" style="187" bestFit="1" customWidth="1"/>
    <col min="3599" max="3599" width="9.140625" style="187"/>
    <col min="3600" max="3600" width="11.140625" style="187" bestFit="1" customWidth="1"/>
    <col min="3601" max="3603" width="11.42578125" style="187" bestFit="1" customWidth="1"/>
    <col min="3604" max="3845" width="9.140625" style="187"/>
    <col min="3846" max="3846" width="9.28515625" style="187" bestFit="1" customWidth="1"/>
    <col min="3847" max="3847" width="9.5703125" style="187" bestFit="1" customWidth="1"/>
    <col min="3848" max="3848" width="11.28515625" style="187" customWidth="1"/>
    <col min="3849" max="3849" width="17.28515625" style="187" customWidth="1"/>
    <col min="3850" max="3854" width="14.85546875" style="187" bestFit="1" customWidth="1"/>
    <col min="3855" max="3855" width="9.140625" style="187"/>
    <col min="3856" max="3856" width="11.140625" style="187" bestFit="1" customWidth="1"/>
    <col min="3857" max="3859" width="11.42578125" style="187" bestFit="1" customWidth="1"/>
    <col min="3860" max="4101" width="9.140625" style="187"/>
    <col min="4102" max="4102" width="9.28515625" style="187" bestFit="1" customWidth="1"/>
    <col min="4103" max="4103" width="9.5703125" style="187" bestFit="1" customWidth="1"/>
    <col min="4104" max="4104" width="11.28515625" style="187" customWidth="1"/>
    <col min="4105" max="4105" width="17.28515625" style="187" customWidth="1"/>
    <col min="4106" max="4110" width="14.85546875" style="187" bestFit="1" customWidth="1"/>
    <col min="4111" max="4111" width="9.140625" style="187"/>
    <col min="4112" max="4112" width="11.140625" style="187" bestFit="1" customWidth="1"/>
    <col min="4113" max="4115" width="11.42578125" style="187" bestFit="1" customWidth="1"/>
    <col min="4116" max="4357" width="9.140625" style="187"/>
    <col min="4358" max="4358" width="9.28515625" style="187" bestFit="1" customWidth="1"/>
    <col min="4359" max="4359" width="9.5703125" style="187" bestFit="1" customWidth="1"/>
    <col min="4360" max="4360" width="11.28515625" style="187" customWidth="1"/>
    <col min="4361" max="4361" width="17.28515625" style="187" customWidth="1"/>
    <col min="4362" max="4366" width="14.85546875" style="187" bestFit="1" customWidth="1"/>
    <col min="4367" max="4367" width="9.140625" style="187"/>
    <col min="4368" max="4368" width="11.140625" style="187" bestFit="1" customWidth="1"/>
    <col min="4369" max="4371" width="11.42578125" style="187" bestFit="1" customWidth="1"/>
    <col min="4372" max="4613" width="9.140625" style="187"/>
    <col min="4614" max="4614" width="9.28515625" style="187" bestFit="1" customWidth="1"/>
    <col min="4615" max="4615" width="9.5703125" style="187" bestFit="1" customWidth="1"/>
    <col min="4616" max="4616" width="11.28515625" style="187" customWidth="1"/>
    <col min="4617" max="4617" width="17.28515625" style="187" customWidth="1"/>
    <col min="4618" max="4622" width="14.85546875" style="187" bestFit="1" customWidth="1"/>
    <col min="4623" max="4623" width="9.140625" style="187"/>
    <col min="4624" max="4624" width="11.140625" style="187" bestFit="1" customWidth="1"/>
    <col min="4625" max="4627" width="11.42578125" style="187" bestFit="1" customWidth="1"/>
    <col min="4628" max="4869" width="9.140625" style="187"/>
    <col min="4870" max="4870" width="9.28515625" style="187" bestFit="1" customWidth="1"/>
    <col min="4871" max="4871" width="9.5703125" style="187" bestFit="1" customWidth="1"/>
    <col min="4872" max="4872" width="11.28515625" style="187" customWidth="1"/>
    <col min="4873" max="4873" width="17.28515625" style="187" customWidth="1"/>
    <col min="4874" max="4878" width="14.85546875" style="187" bestFit="1" customWidth="1"/>
    <col min="4879" max="4879" width="9.140625" style="187"/>
    <col min="4880" max="4880" width="11.140625" style="187" bestFit="1" customWidth="1"/>
    <col min="4881" max="4883" width="11.42578125" style="187" bestFit="1" customWidth="1"/>
    <col min="4884" max="5125" width="9.140625" style="187"/>
    <col min="5126" max="5126" width="9.28515625" style="187" bestFit="1" customWidth="1"/>
    <col min="5127" max="5127" width="9.5703125" style="187" bestFit="1" customWidth="1"/>
    <col min="5128" max="5128" width="11.28515625" style="187" customWidth="1"/>
    <col min="5129" max="5129" width="17.28515625" style="187" customWidth="1"/>
    <col min="5130" max="5134" width="14.85546875" style="187" bestFit="1" customWidth="1"/>
    <col min="5135" max="5135" width="9.140625" style="187"/>
    <col min="5136" max="5136" width="11.140625" style="187" bestFit="1" customWidth="1"/>
    <col min="5137" max="5139" width="11.42578125" style="187" bestFit="1" customWidth="1"/>
    <col min="5140" max="5381" width="9.140625" style="187"/>
    <col min="5382" max="5382" width="9.28515625" style="187" bestFit="1" customWidth="1"/>
    <col min="5383" max="5383" width="9.5703125" style="187" bestFit="1" customWidth="1"/>
    <col min="5384" max="5384" width="11.28515625" style="187" customWidth="1"/>
    <col min="5385" max="5385" width="17.28515625" style="187" customWidth="1"/>
    <col min="5386" max="5390" width="14.85546875" style="187" bestFit="1" customWidth="1"/>
    <col min="5391" max="5391" width="9.140625" style="187"/>
    <col min="5392" max="5392" width="11.140625" style="187" bestFit="1" customWidth="1"/>
    <col min="5393" max="5395" width="11.42578125" style="187" bestFit="1" customWidth="1"/>
    <col min="5396" max="5637" width="9.140625" style="187"/>
    <col min="5638" max="5638" width="9.28515625" style="187" bestFit="1" customWidth="1"/>
    <col min="5639" max="5639" width="9.5703125" style="187" bestFit="1" customWidth="1"/>
    <col min="5640" max="5640" width="11.28515625" style="187" customWidth="1"/>
    <col min="5641" max="5641" width="17.28515625" style="187" customWidth="1"/>
    <col min="5642" max="5646" width="14.85546875" style="187" bestFit="1" customWidth="1"/>
    <col min="5647" max="5647" width="9.140625" style="187"/>
    <col min="5648" max="5648" width="11.140625" style="187" bestFit="1" customWidth="1"/>
    <col min="5649" max="5651" width="11.42578125" style="187" bestFit="1" customWidth="1"/>
    <col min="5652" max="5893" width="9.140625" style="187"/>
    <col min="5894" max="5894" width="9.28515625" style="187" bestFit="1" customWidth="1"/>
    <col min="5895" max="5895" width="9.5703125" style="187" bestFit="1" customWidth="1"/>
    <col min="5896" max="5896" width="11.28515625" style="187" customWidth="1"/>
    <col min="5897" max="5897" width="17.28515625" style="187" customWidth="1"/>
    <col min="5898" max="5902" width="14.85546875" style="187" bestFit="1" customWidth="1"/>
    <col min="5903" max="5903" width="9.140625" style="187"/>
    <col min="5904" max="5904" width="11.140625" style="187" bestFit="1" customWidth="1"/>
    <col min="5905" max="5907" width="11.42578125" style="187" bestFit="1" customWidth="1"/>
    <col min="5908" max="6149" width="9.140625" style="187"/>
    <col min="6150" max="6150" width="9.28515625" style="187" bestFit="1" customWidth="1"/>
    <col min="6151" max="6151" width="9.5703125" style="187" bestFit="1" customWidth="1"/>
    <col min="6152" max="6152" width="11.28515625" style="187" customWidth="1"/>
    <col min="6153" max="6153" width="17.28515625" style="187" customWidth="1"/>
    <col min="6154" max="6158" width="14.85546875" style="187" bestFit="1" customWidth="1"/>
    <col min="6159" max="6159" width="9.140625" style="187"/>
    <col min="6160" max="6160" width="11.140625" style="187" bestFit="1" customWidth="1"/>
    <col min="6161" max="6163" width="11.42578125" style="187" bestFit="1" customWidth="1"/>
    <col min="6164" max="6405" width="9.140625" style="187"/>
    <col min="6406" max="6406" width="9.28515625" style="187" bestFit="1" customWidth="1"/>
    <col min="6407" max="6407" width="9.5703125" style="187" bestFit="1" customWidth="1"/>
    <col min="6408" max="6408" width="11.28515625" style="187" customWidth="1"/>
    <col min="6409" max="6409" width="17.28515625" style="187" customWidth="1"/>
    <col min="6410" max="6414" width="14.85546875" style="187" bestFit="1" customWidth="1"/>
    <col min="6415" max="6415" width="9.140625" style="187"/>
    <col min="6416" max="6416" width="11.140625" style="187" bestFit="1" customWidth="1"/>
    <col min="6417" max="6419" width="11.42578125" style="187" bestFit="1" customWidth="1"/>
    <col min="6420" max="6661" width="9.140625" style="187"/>
    <col min="6662" max="6662" width="9.28515625" style="187" bestFit="1" customWidth="1"/>
    <col min="6663" max="6663" width="9.5703125" style="187" bestFit="1" customWidth="1"/>
    <col min="6664" max="6664" width="11.28515625" style="187" customWidth="1"/>
    <col min="6665" max="6665" width="17.28515625" style="187" customWidth="1"/>
    <col min="6666" max="6670" width="14.85546875" style="187" bestFit="1" customWidth="1"/>
    <col min="6671" max="6671" width="9.140625" style="187"/>
    <col min="6672" max="6672" width="11.140625" style="187" bestFit="1" customWidth="1"/>
    <col min="6673" max="6675" width="11.42578125" style="187" bestFit="1" customWidth="1"/>
    <col min="6676" max="6917" width="9.140625" style="187"/>
    <col min="6918" max="6918" width="9.28515625" style="187" bestFit="1" customWidth="1"/>
    <col min="6919" max="6919" width="9.5703125" style="187" bestFit="1" customWidth="1"/>
    <col min="6920" max="6920" width="11.28515625" style="187" customWidth="1"/>
    <col min="6921" max="6921" width="17.28515625" style="187" customWidth="1"/>
    <col min="6922" max="6926" width="14.85546875" style="187" bestFit="1" customWidth="1"/>
    <col min="6927" max="6927" width="9.140625" style="187"/>
    <col min="6928" max="6928" width="11.140625" style="187" bestFit="1" customWidth="1"/>
    <col min="6929" max="6931" width="11.42578125" style="187" bestFit="1" customWidth="1"/>
    <col min="6932" max="7173" width="9.140625" style="187"/>
    <col min="7174" max="7174" width="9.28515625" style="187" bestFit="1" customWidth="1"/>
    <col min="7175" max="7175" width="9.5703125" style="187" bestFit="1" customWidth="1"/>
    <col min="7176" max="7176" width="11.28515625" style="187" customWidth="1"/>
    <col min="7177" max="7177" width="17.28515625" style="187" customWidth="1"/>
    <col min="7178" max="7182" width="14.85546875" style="187" bestFit="1" customWidth="1"/>
    <col min="7183" max="7183" width="9.140625" style="187"/>
    <col min="7184" max="7184" width="11.140625" style="187" bestFit="1" customWidth="1"/>
    <col min="7185" max="7187" width="11.42578125" style="187" bestFit="1" customWidth="1"/>
    <col min="7188" max="7429" width="9.140625" style="187"/>
    <col min="7430" max="7430" width="9.28515625" style="187" bestFit="1" customWidth="1"/>
    <col min="7431" max="7431" width="9.5703125" style="187" bestFit="1" customWidth="1"/>
    <col min="7432" max="7432" width="11.28515625" style="187" customWidth="1"/>
    <col min="7433" max="7433" width="17.28515625" style="187" customWidth="1"/>
    <col min="7434" max="7438" width="14.85546875" style="187" bestFit="1" customWidth="1"/>
    <col min="7439" max="7439" width="9.140625" style="187"/>
    <col min="7440" max="7440" width="11.140625" style="187" bestFit="1" customWidth="1"/>
    <col min="7441" max="7443" width="11.42578125" style="187" bestFit="1" customWidth="1"/>
    <col min="7444" max="7685" width="9.140625" style="187"/>
    <col min="7686" max="7686" width="9.28515625" style="187" bestFit="1" customWidth="1"/>
    <col min="7687" max="7687" width="9.5703125" style="187" bestFit="1" customWidth="1"/>
    <col min="7688" max="7688" width="11.28515625" style="187" customWidth="1"/>
    <col min="7689" max="7689" width="17.28515625" style="187" customWidth="1"/>
    <col min="7690" max="7694" width="14.85546875" style="187" bestFit="1" customWidth="1"/>
    <col min="7695" max="7695" width="9.140625" style="187"/>
    <col min="7696" max="7696" width="11.140625" style="187" bestFit="1" customWidth="1"/>
    <col min="7697" max="7699" width="11.42578125" style="187" bestFit="1" customWidth="1"/>
    <col min="7700" max="7941" width="9.140625" style="187"/>
    <col min="7942" max="7942" width="9.28515625" style="187" bestFit="1" customWidth="1"/>
    <col min="7943" max="7943" width="9.5703125" style="187" bestFit="1" customWidth="1"/>
    <col min="7944" max="7944" width="11.28515625" style="187" customWidth="1"/>
    <col min="7945" max="7945" width="17.28515625" style="187" customWidth="1"/>
    <col min="7946" max="7950" width="14.85546875" style="187" bestFit="1" customWidth="1"/>
    <col min="7951" max="7951" width="9.140625" style="187"/>
    <col min="7952" max="7952" width="11.140625" style="187" bestFit="1" customWidth="1"/>
    <col min="7953" max="7955" width="11.42578125" style="187" bestFit="1" customWidth="1"/>
    <col min="7956" max="8197" width="9.140625" style="187"/>
    <col min="8198" max="8198" width="9.28515625" style="187" bestFit="1" customWidth="1"/>
    <col min="8199" max="8199" width="9.5703125" style="187" bestFit="1" customWidth="1"/>
    <col min="8200" max="8200" width="11.28515625" style="187" customWidth="1"/>
    <col min="8201" max="8201" width="17.28515625" style="187" customWidth="1"/>
    <col min="8202" max="8206" width="14.85546875" style="187" bestFit="1" customWidth="1"/>
    <col min="8207" max="8207" width="9.140625" style="187"/>
    <col min="8208" max="8208" width="11.140625" style="187" bestFit="1" customWidth="1"/>
    <col min="8209" max="8211" width="11.42578125" style="187" bestFit="1" customWidth="1"/>
    <col min="8212" max="8453" width="9.140625" style="187"/>
    <col min="8454" max="8454" width="9.28515625" style="187" bestFit="1" customWidth="1"/>
    <col min="8455" max="8455" width="9.5703125" style="187" bestFit="1" customWidth="1"/>
    <col min="8456" max="8456" width="11.28515625" style="187" customWidth="1"/>
    <col min="8457" max="8457" width="17.28515625" style="187" customWidth="1"/>
    <col min="8458" max="8462" width="14.85546875" style="187" bestFit="1" customWidth="1"/>
    <col min="8463" max="8463" width="9.140625" style="187"/>
    <col min="8464" max="8464" width="11.140625" style="187" bestFit="1" customWidth="1"/>
    <col min="8465" max="8467" width="11.42578125" style="187" bestFit="1" customWidth="1"/>
    <col min="8468" max="8709" width="9.140625" style="187"/>
    <col min="8710" max="8710" width="9.28515625" style="187" bestFit="1" customWidth="1"/>
    <col min="8711" max="8711" width="9.5703125" style="187" bestFit="1" customWidth="1"/>
    <col min="8712" max="8712" width="11.28515625" style="187" customWidth="1"/>
    <col min="8713" max="8713" width="17.28515625" style="187" customWidth="1"/>
    <col min="8714" max="8718" width="14.85546875" style="187" bestFit="1" customWidth="1"/>
    <col min="8719" max="8719" width="9.140625" style="187"/>
    <col min="8720" max="8720" width="11.140625" style="187" bestFit="1" customWidth="1"/>
    <col min="8721" max="8723" width="11.42578125" style="187" bestFit="1" customWidth="1"/>
    <col min="8724" max="8965" width="9.140625" style="187"/>
    <col min="8966" max="8966" width="9.28515625" style="187" bestFit="1" customWidth="1"/>
    <col min="8967" max="8967" width="9.5703125" style="187" bestFit="1" customWidth="1"/>
    <col min="8968" max="8968" width="11.28515625" style="187" customWidth="1"/>
    <col min="8969" max="8969" width="17.28515625" style="187" customWidth="1"/>
    <col min="8970" max="8974" width="14.85546875" style="187" bestFit="1" customWidth="1"/>
    <col min="8975" max="8975" width="9.140625" style="187"/>
    <col min="8976" max="8976" width="11.140625" style="187" bestFit="1" customWidth="1"/>
    <col min="8977" max="8979" width="11.42578125" style="187" bestFit="1" customWidth="1"/>
    <col min="8980" max="9221" width="9.140625" style="187"/>
    <col min="9222" max="9222" width="9.28515625" style="187" bestFit="1" customWidth="1"/>
    <col min="9223" max="9223" width="9.5703125" style="187" bestFit="1" customWidth="1"/>
    <col min="9224" max="9224" width="11.28515625" style="187" customWidth="1"/>
    <col min="9225" max="9225" width="17.28515625" style="187" customWidth="1"/>
    <col min="9226" max="9230" width="14.85546875" style="187" bestFit="1" customWidth="1"/>
    <col min="9231" max="9231" width="9.140625" style="187"/>
    <col min="9232" max="9232" width="11.140625" style="187" bestFit="1" customWidth="1"/>
    <col min="9233" max="9235" width="11.42578125" style="187" bestFit="1" customWidth="1"/>
    <col min="9236" max="9477" width="9.140625" style="187"/>
    <col min="9478" max="9478" width="9.28515625" style="187" bestFit="1" customWidth="1"/>
    <col min="9479" max="9479" width="9.5703125" style="187" bestFit="1" customWidth="1"/>
    <col min="9480" max="9480" width="11.28515625" style="187" customWidth="1"/>
    <col min="9481" max="9481" width="17.28515625" style="187" customWidth="1"/>
    <col min="9482" max="9486" width="14.85546875" style="187" bestFit="1" customWidth="1"/>
    <col min="9487" max="9487" width="9.140625" style="187"/>
    <col min="9488" max="9488" width="11.140625" style="187" bestFit="1" customWidth="1"/>
    <col min="9489" max="9491" width="11.42578125" style="187" bestFit="1" customWidth="1"/>
    <col min="9492" max="9733" width="9.140625" style="187"/>
    <col min="9734" max="9734" width="9.28515625" style="187" bestFit="1" customWidth="1"/>
    <col min="9735" max="9735" width="9.5703125" style="187" bestFit="1" customWidth="1"/>
    <col min="9736" max="9736" width="11.28515625" style="187" customWidth="1"/>
    <col min="9737" max="9737" width="17.28515625" style="187" customWidth="1"/>
    <col min="9738" max="9742" width="14.85546875" style="187" bestFit="1" customWidth="1"/>
    <col min="9743" max="9743" width="9.140625" style="187"/>
    <col min="9744" max="9744" width="11.140625" style="187" bestFit="1" customWidth="1"/>
    <col min="9745" max="9747" width="11.42578125" style="187" bestFit="1" customWidth="1"/>
    <col min="9748" max="9989" width="9.140625" style="187"/>
    <col min="9990" max="9990" width="9.28515625" style="187" bestFit="1" customWidth="1"/>
    <col min="9991" max="9991" width="9.5703125" style="187" bestFit="1" customWidth="1"/>
    <col min="9992" max="9992" width="11.28515625" style="187" customWidth="1"/>
    <col min="9993" max="9993" width="17.28515625" style="187" customWidth="1"/>
    <col min="9994" max="9998" width="14.85546875" style="187" bestFit="1" customWidth="1"/>
    <col min="9999" max="9999" width="9.140625" style="187"/>
    <col min="10000" max="10000" width="11.140625" style="187" bestFit="1" customWidth="1"/>
    <col min="10001" max="10003" width="11.42578125" style="187" bestFit="1" customWidth="1"/>
    <col min="10004" max="10245" width="9.140625" style="187"/>
    <col min="10246" max="10246" width="9.28515625" style="187" bestFit="1" customWidth="1"/>
    <col min="10247" max="10247" width="9.5703125" style="187" bestFit="1" customWidth="1"/>
    <col min="10248" max="10248" width="11.28515625" style="187" customWidth="1"/>
    <col min="10249" max="10249" width="17.28515625" style="187" customWidth="1"/>
    <col min="10250" max="10254" width="14.85546875" style="187" bestFit="1" customWidth="1"/>
    <col min="10255" max="10255" width="9.140625" style="187"/>
    <col min="10256" max="10256" width="11.140625" style="187" bestFit="1" customWidth="1"/>
    <col min="10257" max="10259" width="11.42578125" style="187" bestFit="1" customWidth="1"/>
    <col min="10260" max="10501" width="9.140625" style="187"/>
    <col min="10502" max="10502" width="9.28515625" style="187" bestFit="1" customWidth="1"/>
    <col min="10503" max="10503" width="9.5703125" style="187" bestFit="1" customWidth="1"/>
    <col min="10504" max="10504" width="11.28515625" style="187" customWidth="1"/>
    <col min="10505" max="10505" width="17.28515625" style="187" customWidth="1"/>
    <col min="10506" max="10510" width="14.85546875" style="187" bestFit="1" customWidth="1"/>
    <col min="10511" max="10511" width="9.140625" style="187"/>
    <col min="10512" max="10512" width="11.140625" style="187" bestFit="1" customWidth="1"/>
    <col min="10513" max="10515" width="11.42578125" style="187" bestFit="1" customWidth="1"/>
    <col min="10516" max="10757" width="9.140625" style="187"/>
    <col min="10758" max="10758" width="9.28515625" style="187" bestFit="1" customWidth="1"/>
    <col min="10759" max="10759" width="9.5703125" style="187" bestFit="1" customWidth="1"/>
    <col min="10760" max="10760" width="11.28515625" style="187" customWidth="1"/>
    <col min="10761" max="10761" width="17.28515625" style="187" customWidth="1"/>
    <col min="10762" max="10766" width="14.85546875" style="187" bestFit="1" customWidth="1"/>
    <col min="10767" max="10767" width="9.140625" style="187"/>
    <col min="10768" max="10768" width="11.140625" style="187" bestFit="1" customWidth="1"/>
    <col min="10769" max="10771" width="11.42578125" style="187" bestFit="1" customWidth="1"/>
    <col min="10772" max="11013" width="9.140625" style="187"/>
    <col min="11014" max="11014" width="9.28515625" style="187" bestFit="1" customWidth="1"/>
    <col min="11015" max="11015" width="9.5703125" style="187" bestFit="1" customWidth="1"/>
    <col min="11016" max="11016" width="11.28515625" style="187" customWidth="1"/>
    <col min="11017" max="11017" width="17.28515625" style="187" customWidth="1"/>
    <col min="11018" max="11022" width="14.85546875" style="187" bestFit="1" customWidth="1"/>
    <col min="11023" max="11023" width="9.140625" style="187"/>
    <col min="11024" max="11024" width="11.140625" style="187" bestFit="1" customWidth="1"/>
    <col min="11025" max="11027" width="11.42578125" style="187" bestFit="1" customWidth="1"/>
    <col min="11028" max="11269" width="9.140625" style="187"/>
    <col min="11270" max="11270" width="9.28515625" style="187" bestFit="1" customWidth="1"/>
    <col min="11271" max="11271" width="9.5703125" style="187" bestFit="1" customWidth="1"/>
    <col min="11272" max="11272" width="11.28515625" style="187" customWidth="1"/>
    <col min="11273" max="11273" width="17.28515625" style="187" customWidth="1"/>
    <col min="11274" max="11278" width="14.85546875" style="187" bestFit="1" customWidth="1"/>
    <col min="11279" max="11279" width="9.140625" style="187"/>
    <col min="11280" max="11280" width="11.140625" style="187" bestFit="1" customWidth="1"/>
    <col min="11281" max="11283" width="11.42578125" style="187" bestFit="1" customWidth="1"/>
    <col min="11284" max="11525" width="9.140625" style="187"/>
    <col min="11526" max="11526" width="9.28515625" style="187" bestFit="1" customWidth="1"/>
    <col min="11527" max="11527" width="9.5703125" style="187" bestFit="1" customWidth="1"/>
    <col min="11528" max="11528" width="11.28515625" style="187" customWidth="1"/>
    <col min="11529" max="11529" width="17.28515625" style="187" customWidth="1"/>
    <col min="11530" max="11534" width="14.85546875" style="187" bestFit="1" customWidth="1"/>
    <col min="11535" max="11535" width="9.140625" style="187"/>
    <col min="11536" max="11536" width="11.140625" style="187" bestFit="1" customWidth="1"/>
    <col min="11537" max="11539" width="11.42578125" style="187" bestFit="1" customWidth="1"/>
    <col min="11540" max="11781" width="9.140625" style="187"/>
    <col min="11782" max="11782" width="9.28515625" style="187" bestFit="1" customWidth="1"/>
    <col min="11783" max="11783" width="9.5703125" style="187" bestFit="1" customWidth="1"/>
    <col min="11784" max="11784" width="11.28515625" style="187" customWidth="1"/>
    <col min="11785" max="11785" width="17.28515625" style="187" customWidth="1"/>
    <col min="11786" max="11790" width="14.85546875" style="187" bestFit="1" customWidth="1"/>
    <col min="11791" max="11791" width="9.140625" style="187"/>
    <col min="11792" max="11792" width="11.140625" style="187" bestFit="1" customWidth="1"/>
    <col min="11793" max="11795" width="11.42578125" style="187" bestFit="1" customWidth="1"/>
    <col min="11796" max="12037" width="9.140625" style="187"/>
    <col min="12038" max="12038" width="9.28515625" style="187" bestFit="1" customWidth="1"/>
    <col min="12039" max="12039" width="9.5703125" style="187" bestFit="1" customWidth="1"/>
    <col min="12040" max="12040" width="11.28515625" style="187" customWidth="1"/>
    <col min="12041" max="12041" width="17.28515625" style="187" customWidth="1"/>
    <col min="12042" max="12046" width="14.85546875" style="187" bestFit="1" customWidth="1"/>
    <col min="12047" max="12047" width="9.140625" style="187"/>
    <col min="12048" max="12048" width="11.140625" style="187" bestFit="1" customWidth="1"/>
    <col min="12049" max="12051" width="11.42578125" style="187" bestFit="1" customWidth="1"/>
    <col min="12052" max="12293" width="9.140625" style="187"/>
    <col min="12294" max="12294" width="9.28515625" style="187" bestFit="1" customWidth="1"/>
    <col min="12295" max="12295" width="9.5703125" style="187" bestFit="1" customWidth="1"/>
    <col min="12296" max="12296" width="11.28515625" style="187" customWidth="1"/>
    <col min="12297" max="12297" width="17.28515625" style="187" customWidth="1"/>
    <col min="12298" max="12302" width="14.85546875" style="187" bestFit="1" customWidth="1"/>
    <col min="12303" max="12303" width="9.140625" style="187"/>
    <col min="12304" max="12304" width="11.140625" style="187" bestFit="1" customWidth="1"/>
    <col min="12305" max="12307" width="11.42578125" style="187" bestFit="1" customWidth="1"/>
    <col min="12308" max="12549" width="9.140625" style="187"/>
    <col min="12550" max="12550" width="9.28515625" style="187" bestFit="1" customWidth="1"/>
    <col min="12551" max="12551" width="9.5703125" style="187" bestFit="1" customWidth="1"/>
    <col min="12552" max="12552" width="11.28515625" style="187" customWidth="1"/>
    <col min="12553" max="12553" width="17.28515625" style="187" customWidth="1"/>
    <col min="12554" max="12558" width="14.85546875" style="187" bestFit="1" customWidth="1"/>
    <col min="12559" max="12559" width="9.140625" style="187"/>
    <col min="12560" max="12560" width="11.140625" style="187" bestFit="1" customWidth="1"/>
    <col min="12561" max="12563" width="11.42578125" style="187" bestFit="1" customWidth="1"/>
    <col min="12564" max="12805" width="9.140625" style="187"/>
    <col min="12806" max="12806" width="9.28515625" style="187" bestFit="1" customWidth="1"/>
    <col min="12807" max="12807" width="9.5703125" style="187" bestFit="1" customWidth="1"/>
    <col min="12808" max="12808" width="11.28515625" style="187" customWidth="1"/>
    <col min="12809" max="12809" width="17.28515625" style="187" customWidth="1"/>
    <col min="12810" max="12814" width="14.85546875" style="187" bestFit="1" customWidth="1"/>
    <col min="12815" max="12815" width="9.140625" style="187"/>
    <col min="12816" max="12816" width="11.140625" style="187" bestFit="1" customWidth="1"/>
    <col min="12817" max="12819" width="11.42578125" style="187" bestFit="1" customWidth="1"/>
    <col min="12820" max="13061" width="9.140625" style="187"/>
    <col min="13062" max="13062" width="9.28515625" style="187" bestFit="1" customWidth="1"/>
    <col min="13063" max="13063" width="9.5703125" style="187" bestFit="1" customWidth="1"/>
    <col min="13064" max="13064" width="11.28515625" style="187" customWidth="1"/>
    <col min="13065" max="13065" width="17.28515625" style="187" customWidth="1"/>
    <col min="13066" max="13070" width="14.85546875" style="187" bestFit="1" customWidth="1"/>
    <col min="13071" max="13071" width="9.140625" style="187"/>
    <col min="13072" max="13072" width="11.140625" style="187" bestFit="1" customWidth="1"/>
    <col min="13073" max="13075" width="11.42578125" style="187" bestFit="1" customWidth="1"/>
    <col min="13076" max="13317" width="9.140625" style="187"/>
    <col min="13318" max="13318" width="9.28515625" style="187" bestFit="1" customWidth="1"/>
    <col min="13319" max="13319" width="9.5703125" style="187" bestFit="1" customWidth="1"/>
    <col min="13320" max="13320" width="11.28515625" style="187" customWidth="1"/>
    <col min="13321" max="13321" width="17.28515625" style="187" customWidth="1"/>
    <col min="13322" max="13326" width="14.85546875" style="187" bestFit="1" customWidth="1"/>
    <col min="13327" max="13327" width="9.140625" style="187"/>
    <col min="13328" max="13328" width="11.140625" style="187" bestFit="1" customWidth="1"/>
    <col min="13329" max="13331" width="11.42578125" style="187" bestFit="1" customWidth="1"/>
    <col min="13332" max="13573" width="9.140625" style="187"/>
    <col min="13574" max="13574" width="9.28515625" style="187" bestFit="1" customWidth="1"/>
    <col min="13575" max="13575" width="9.5703125" style="187" bestFit="1" customWidth="1"/>
    <col min="13576" max="13576" width="11.28515625" style="187" customWidth="1"/>
    <col min="13577" max="13577" width="17.28515625" style="187" customWidth="1"/>
    <col min="13578" max="13582" width="14.85546875" style="187" bestFit="1" customWidth="1"/>
    <col min="13583" max="13583" width="9.140625" style="187"/>
    <col min="13584" max="13584" width="11.140625" style="187" bestFit="1" customWidth="1"/>
    <col min="13585" max="13587" width="11.42578125" style="187" bestFit="1" customWidth="1"/>
    <col min="13588" max="13829" width="9.140625" style="187"/>
    <col min="13830" max="13830" width="9.28515625" style="187" bestFit="1" customWidth="1"/>
    <col min="13831" max="13831" width="9.5703125" style="187" bestFit="1" customWidth="1"/>
    <col min="13832" max="13832" width="11.28515625" style="187" customWidth="1"/>
    <col min="13833" max="13833" width="17.28515625" style="187" customWidth="1"/>
    <col min="13834" max="13838" width="14.85546875" style="187" bestFit="1" customWidth="1"/>
    <col min="13839" max="13839" width="9.140625" style="187"/>
    <col min="13840" max="13840" width="11.140625" style="187" bestFit="1" customWidth="1"/>
    <col min="13841" max="13843" width="11.42578125" style="187" bestFit="1" customWidth="1"/>
    <col min="13844" max="14085" width="9.140625" style="187"/>
    <col min="14086" max="14086" width="9.28515625" style="187" bestFit="1" customWidth="1"/>
    <col min="14087" max="14087" width="9.5703125" style="187" bestFit="1" customWidth="1"/>
    <col min="14088" max="14088" width="11.28515625" style="187" customWidth="1"/>
    <col min="14089" max="14089" width="17.28515625" style="187" customWidth="1"/>
    <col min="14090" max="14094" width="14.85546875" style="187" bestFit="1" customWidth="1"/>
    <col min="14095" max="14095" width="9.140625" style="187"/>
    <col min="14096" max="14096" width="11.140625" style="187" bestFit="1" customWidth="1"/>
    <col min="14097" max="14099" width="11.42578125" style="187" bestFit="1" customWidth="1"/>
    <col min="14100" max="14341" width="9.140625" style="187"/>
    <col min="14342" max="14342" width="9.28515625" style="187" bestFit="1" customWidth="1"/>
    <col min="14343" max="14343" width="9.5703125" style="187" bestFit="1" customWidth="1"/>
    <col min="14344" max="14344" width="11.28515625" style="187" customWidth="1"/>
    <col min="14345" max="14345" width="17.28515625" style="187" customWidth="1"/>
    <col min="14346" max="14350" width="14.85546875" style="187" bestFit="1" customWidth="1"/>
    <col min="14351" max="14351" width="9.140625" style="187"/>
    <col min="14352" max="14352" width="11.140625" style="187" bestFit="1" customWidth="1"/>
    <col min="14353" max="14355" width="11.42578125" style="187" bestFit="1" customWidth="1"/>
    <col min="14356" max="14597" width="9.140625" style="187"/>
    <col min="14598" max="14598" width="9.28515625" style="187" bestFit="1" customWidth="1"/>
    <col min="14599" max="14599" width="9.5703125" style="187" bestFit="1" customWidth="1"/>
    <col min="14600" max="14600" width="11.28515625" style="187" customWidth="1"/>
    <col min="14601" max="14601" width="17.28515625" style="187" customWidth="1"/>
    <col min="14602" max="14606" width="14.85546875" style="187" bestFit="1" customWidth="1"/>
    <col min="14607" max="14607" width="9.140625" style="187"/>
    <col min="14608" max="14608" width="11.140625" style="187" bestFit="1" customWidth="1"/>
    <col min="14609" max="14611" width="11.42578125" style="187" bestFit="1" customWidth="1"/>
    <col min="14612" max="14853" width="9.140625" style="187"/>
    <col min="14854" max="14854" width="9.28515625" style="187" bestFit="1" customWidth="1"/>
    <col min="14855" max="14855" width="9.5703125" style="187" bestFit="1" customWidth="1"/>
    <col min="14856" max="14856" width="11.28515625" style="187" customWidth="1"/>
    <col min="14857" max="14857" width="17.28515625" style="187" customWidth="1"/>
    <col min="14858" max="14862" width="14.85546875" style="187" bestFit="1" customWidth="1"/>
    <col min="14863" max="14863" width="9.140625" style="187"/>
    <col min="14864" max="14864" width="11.140625" style="187" bestFit="1" customWidth="1"/>
    <col min="14865" max="14867" width="11.42578125" style="187" bestFit="1" customWidth="1"/>
    <col min="14868" max="15109" width="9.140625" style="187"/>
    <col min="15110" max="15110" width="9.28515625" style="187" bestFit="1" customWidth="1"/>
    <col min="15111" max="15111" width="9.5703125" style="187" bestFit="1" customWidth="1"/>
    <col min="15112" max="15112" width="11.28515625" style="187" customWidth="1"/>
    <col min="15113" max="15113" width="17.28515625" style="187" customWidth="1"/>
    <col min="15114" max="15118" width="14.85546875" style="187" bestFit="1" customWidth="1"/>
    <col min="15119" max="15119" width="9.140625" style="187"/>
    <col min="15120" max="15120" width="11.140625" style="187" bestFit="1" customWidth="1"/>
    <col min="15121" max="15123" width="11.42578125" style="187" bestFit="1" customWidth="1"/>
    <col min="15124" max="15365" width="9.140625" style="187"/>
    <col min="15366" max="15366" width="9.28515625" style="187" bestFit="1" customWidth="1"/>
    <col min="15367" max="15367" width="9.5703125" style="187" bestFit="1" customWidth="1"/>
    <col min="15368" max="15368" width="11.28515625" style="187" customWidth="1"/>
    <col min="15369" max="15369" width="17.28515625" style="187" customWidth="1"/>
    <col min="15370" max="15374" width="14.85546875" style="187" bestFit="1" customWidth="1"/>
    <col min="15375" max="15375" width="9.140625" style="187"/>
    <col min="15376" max="15376" width="11.140625" style="187" bestFit="1" customWidth="1"/>
    <col min="15377" max="15379" width="11.42578125" style="187" bestFit="1" customWidth="1"/>
    <col min="15380" max="15621" width="9.140625" style="187"/>
    <col min="15622" max="15622" width="9.28515625" style="187" bestFit="1" customWidth="1"/>
    <col min="15623" max="15623" width="9.5703125" style="187" bestFit="1" customWidth="1"/>
    <col min="15624" max="15624" width="11.28515625" style="187" customWidth="1"/>
    <col min="15625" max="15625" width="17.28515625" style="187" customWidth="1"/>
    <col min="15626" max="15630" width="14.85546875" style="187" bestFit="1" customWidth="1"/>
    <col min="15631" max="15631" width="9.140625" style="187"/>
    <col min="15632" max="15632" width="11.140625" style="187" bestFit="1" customWidth="1"/>
    <col min="15633" max="15635" width="11.42578125" style="187" bestFit="1" customWidth="1"/>
    <col min="15636" max="15877" width="9.140625" style="187"/>
    <col min="15878" max="15878" width="9.28515625" style="187" bestFit="1" customWidth="1"/>
    <col min="15879" max="15879" width="9.5703125" style="187" bestFit="1" customWidth="1"/>
    <col min="15880" max="15880" width="11.28515625" style="187" customWidth="1"/>
    <col min="15881" max="15881" width="17.28515625" style="187" customWidth="1"/>
    <col min="15882" max="15886" width="14.85546875" style="187" bestFit="1" customWidth="1"/>
    <col min="15887" max="15887" width="9.140625" style="187"/>
    <col min="15888" max="15888" width="11.140625" style="187" bestFit="1" customWidth="1"/>
    <col min="15889" max="15891" width="11.42578125" style="187" bestFit="1" customWidth="1"/>
    <col min="15892" max="16133" width="9.140625" style="187"/>
    <col min="16134" max="16134" width="9.28515625" style="187" bestFit="1" customWidth="1"/>
    <col min="16135" max="16135" width="9.5703125" style="187" bestFit="1" customWidth="1"/>
    <col min="16136" max="16136" width="11.28515625" style="187" customWidth="1"/>
    <col min="16137" max="16137" width="17.28515625" style="187" customWidth="1"/>
    <col min="16138" max="16142" width="14.85546875" style="187" bestFit="1" customWidth="1"/>
    <col min="16143" max="16143" width="9.140625" style="187"/>
    <col min="16144" max="16144" width="11.140625" style="187" bestFit="1" customWidth="1"/>
    <col min="16145" max="16147" width="11.42578125" style="187" bestFit="1" customWidth="1"/>
    <col min="16148" max="16384" width="9.140625" style="187"/>
  </cols>
  <sheetData>
    <row r="2" spans="1:13" ht="15.75" x14ac:dyDescent="0.25">
      <c r="A2" s="185" t="s">
        <v>292</v>
      </c>
      <c r="B2" s="186"/>
      <c r="C2" s="186"/>
      <c r="D2" s="186"/>
      <c r="E2" s="186"/>
      <c r="F2" s="186"/>
      <c r="G2" s="186"/>
      <c r="M2" s="188" t="s">
        <v>293</v>
      </c>
    </row>
    <row r="3" spans="1:13" x14ac:dyDescent="0.2">
      <c r="A3" s="185"/>
      <c r="B3" s="185"/>
      <c r="C3" s="185"/>
      <c r="D3" s="185"/>
      <c r="E3" s="185"/>
      <c r="F3" s="185"/>
      <c r="G3" s="185"/>
    </row>
    <row r="4" spans="1:13" x14ac:dyDescent="0.2">
      <c r="A4" s="188" t="s">
        <v>294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M4" s="188" t="s">
        <v>295</v>
      </c>
    </row>
    <row r="5" spans="1:13" x14ac:dyDescent="0.2">
      <c r="A5" s="187" t="s">
        <v>296</v>
      </c>
      <c r="M5" s="188" t="s">
        <v>297</v>
      </c>
    </row>
    <row r="6" spans="1:13" x14ac:dyDescent="0.2">
      <c r="M6" s="188" t="s">
        <v>298</v>
      </c>
    </row>
    <row r="8" spans="1:13" x14ac:dyDescent="0.2">
      <c r="J8" s="188" t="s">
        <v>299</v>
      </c>
    </row>
    <row r="9" spans="1:13" x14ac:dyDescent="0.2">
      <c r="J9" s="188" t="s">
        <v>300</v>
      </c>
    </row>
    <row r="10" spans="1:13" x14ac:dyDescent="0.2">
      <c r="J10" s="188" t="s">
        <v>301</v>
      </c>
    </row>
    <row r="11" spans="1:13" x14ac:dyDescent="0.2">
      <c r="A11" s="187" t="s">
        <v>194</v>
      </c>
      <c r="B11" s="187" t="s">
        <v>302</v>
      </c>
    </row>
    <row r="12" spans="1:13" x14ac:dyDescent="0.2">
      <c r="B12" s="187" t="s">
        <v>303</v>
      </c>
    </row>
    <row r="13" spans="1:13" x14ac:dyDescent="0.2">
      <c r="B13" s="187" t="s">
        <v>304</v>
      </c>
    </row>
    <row r="14" spans="1:13" x14ac:dyDescent="0.2">
      <c r="B14" s="187" t="s">
        <v>305</v>
      </c>
    </row>
    <row r="15" spans="1:13" x14ac:dyDescent="0.2">
      <c r="B15" s="187" t="s">
        <v>306</v>
      </c>
    </row>
    <row r="16" spans="1:13" x14ac:dyDescent="0.2">
      <c r="B16" s="187" t="s">
        <v>307</v>
      </c>
    </row>
    <row r="17" spans="2:16" x14ac:dyDescent="0.2">
      <c r="B17" s="187" t="s">
        <v>308</v>
      </c>
    </row>
    <row r="18" spans="2:16" x14ac:dyDescent="0.2">
      <c r="B18" s="188" t="s">
        <v>311</v>
      </c>
    </row>
    <row r="19" spans="2:16" x14ac:dyDescent="0.2">
      <c r="B19" s="187" t="s">
        <v>313</v>
      </c>
    </row>
    <row r="21" spans="2:16" x14ac:dyDescent="0.2">
      <c r="B21" s="187" t="s">
        <v>359</v>
      </c>
      <c r="K21" s="187" t="s">
        <v>361</v>
      </c>
    </row>
    <row r="22" spans="2:16" x14ac:dyDescent="0.2">
      <c r="B22" s="187" t="s">
        <v>360</v>
      </c>
      <c r="K22" s="187" t="s">
        <v>363</v>
      </c>
    </row>
    <row r="23" spans="2:16" x14ac:dyDescent="0.2">
      <c r="K23" s="187" t="s">
        <v>379</v>
      </c>
    </row>
    <row r="25" spans="2:16" x14ac:dyDescent="0.2">
      <c r="B25" s="191" t="s">
        <v>316</v>
      </c>
      <c r="C25" s="191"/>
      <c r="D25" s="191"/>
      <c r="E25" s="191"/>
      <c r="F25" s="191"/>
      <c r="G25" s="191"/>
      <c r="H25" s="191"/>
      <c r="J25" s="192" t="s">
        <v>317</v>
      </c>
      <c r="K25" s="193"/>
      <c r="L25" s="193"/>
      <c r="M25" s="193"/>
    </row>
    <row r="26" spans="2:16" ht="14.25" x14ac:dyDescent="0.2">
      <c r="B26" s="191" t="s">
        <v>318</v>
      </c>
      <c r="C26" s="191" t="s">
        <v>319</v>
      </c>
      <c r="D26" s="191" t="s">
        <v>320</v>
      </c>
      <c r="E26" s="191" t="s">
        <v>321</v>
      </c>
      <c r="F26" s="191" t="s">
        <v>322</v>
      </c>
      <c r="G26" s="191" t="s">
        <v>183</v>
      </c>
      <c r="H26" s="194" t="s">
        <v>323</v>
      </c>
      <c r="J26" s="189" t="s">
        <v>319</v>
      </c>
      <c r="K26" s="195">
        <v>1</v>
      </c>
      <c r="L26" s="196" t="s">
        <v>324</v>
      </c>
      <c r="M26" s="197" t="s">
        <v>325</v>
      </c>
    </row>
    <row r="27" spans="2:16" ht="14.25" x14ac:dyDescent="0.2">
      <c r="B27" s="198">
        <v>2002</v>
      </c>
      <c r="C27" s="198">
        <v>1.3</v>
      </c>
      <c r="D27" s="198">
        <v>0.2</v>
      </c>
      <c r="E27" s="198">
        <v>1</v>
      </c>
      <c r="F27" s="198">
        <v>6.5</v>
      </c>
      <c r="G27" s="198">
        <v>0</v>
      </c>
      <c r="H27" s="198">
        <v>2.2999999999999998</v>
      </c>
      <c r="J27" s="192" t="s">
        <v>320</v>
      </c>
      <c r="K27" s="199">
        <v>0</v>
      </c>
      <c r="L27" s="200">
        <v>1</v>
      </c>
      <c r="M27" s="201">
        <v>0</v>
      </c>
      <c r="O27" s="188" t="s">
        <v>309</v>
      </c>
      <c r="P27" s="188" t="s">
        <v>310</v>
      </c>
    </row>
    <row r="28" spans="2:16" x14ac:dyDescent="0.2">
      <c r="B28" s="198">
        <v>2003</v>
      </c>
      <c r="C28" s="198">
        <v>2.2000000000000002</v>
      </c>
      <c r="D28" s="198">
        <v>1.3</v>
      </c>
      <c r="E28" s="198">
        <v>4</v>
      </c>
      <c r="F28" s="198">
        <v>8</v>
      </c>
      <c r="G28" s="198">
        <v>1</v>
      </c>
      <c r="H28" s="198">
        <v>2.5</v>
      </c>
      <c r="J28" s="192" t="s">
        <v>321</v>
      </c>
      <c r="K28" s="202">
        <v>0</v>
      </c>
      <c r="L28" s="203">
        <v>0</v>
      </c>
      <c r="M28" s="204">
        <v>1</v>
      </c>
      <c r="O28" s="189" t="s">
        <v>312</v>
      </c>
    </row>
    <row r="29" spans="2:16" x14ac:dyDescent="0.2">
      <c r="B29" s="198">
        <v>2004</v>
      </c>
      <c r="C29" s="198">
        <v>2.4</v>
      </c>
      <c r="D29" s="198">
        <v>2.4</v>
      </c>
      <c r="E29" s="198">
        <v>3</v>
      </c>
      <c r="F29" s="198">
        <v>8.4</v>
      </c>
      <c r="G29" s="198">
        <v>3</v>
      </c>
      <c r="H29" s="198">
        <v>2.6</v>
      </c>
      <c r="J29" s="193"/>
      <c r="K29" s="193"/>
      <c r="L29" s="193"/>
      <c r="M29" s="193"/>
      <c r="O29" s="190" t="s">
        <v>314</v>
      </c>
    </row>
    <row r="30" spans="2:16" x14ac:dyDescent="0.2">
      <c r="B30" s="198">
        <v>2005</v>
      </c>
      <c r="C30" s="198">
        <v>3.5</v>
      </c>
      <c r="D30" s="198">
        <v>3.8</v>
      </c>
      <c r="E30" s="198">
        <v>5</v>
      </c>
      <c r="F30" s="198">
        <v>9.1999999999999993</v>
      </c>
      <c r="G30" s="198">
        <v>5</v>
      </c>
      <c r="H30" s="198">
        <v>2.8</v>
      </c>
      <c r="J30" s="192" t="s">
        <v>326</v>
      </c>
      <c r="K30" s="193"/>
      <c r="L30" s="193"/>
      <c r="M30" s="193"/>
      <c r="O30" s="190" t="s">
        <v>315</v>
      </c>
    </row>
    <row r="31" spans="2:16" x14ac:dyDescent="0.2">
      <c r="B31" s="198">
        <v>2006</v>
      </c>
      <c r="C31" s="198">
        <v>4.2</v>
      </c>
      <c r="D31" s="198">
        <v>6.5</v>
      </c>
      <c r="E31" s="198">
        <v>6</v>
      </c>
      <c r="F31" s="198">
        <v>10.5</v>
      </c>
      <c r="G31" s="198">
        <v>8</v>
      </c>
      <c r="H31" s="198">
        <v>3.1</v>
      </c>
      <c r="J31" s="192" t="s">
        <v>322</v>
      </c>
      <c r="K31" s="205" t="s">
        <v>327</v>
      </c>
      <c r="L31" s="196" t="s">
        <v>328</v>
      </c>
      <c r="M31" s="206">
        <v>0</v>
      </c>
    </row>
    <row r="32" spans="2:16" x14ac:dyDescent="0.2">
      <c r="B32" s="198">
        <v>2007</v>
      </c>
      <c r="C32" s="198">
        <v>5.4</v>
      </c>
      <c r="D32" s="198">
        <v>7.8</v>
      </c>
      <c r="E32" s="198">
        <v>6</v>
      </c>
      <c r="F32" s="198">
        <v>11</v>
      </c>
      <c r="G32" s="198">
        <v>8</v>
      </c>
      <c r="H32" s="198">
        <v>3.4</v>
      </c>
      <c r="J32" s="192" t="s">
        <v>183</v>
      </c>
      <c r="K32" s="199">
        <v>0</v>
      </c>
      <c r="L32" s="207" t="s">
        <v>329</v>
      </c>
      <c r="M32" s="201">
        <v>0</v>
      </c>
    </row>
    <row r="33" spans="2:14" x14ac:dyDescent="0.2">
      <c r="B33" s="198">
        <v>2008</v>
      </c>
      <c r="C33" s="198">
        <v>5.7</v>
      </c>
      <c r="D33" s="198">
        <v>8.1</v>
      </c>
      <c r="E33" s="198">
        <v>8</v>
      </c>
      <c r="F33" s="198">
        <v>11.6</v>
      </c>
      <c r="G33" s="198">
        <v>9</v>
      </c>
      <c r="H33" s="198">
        <v>4.5</v>
      </c>
      <c r="J33" s="192" t="s">
        <v>330</v>
      </c>
      <c r="K33" s="199">
        <v>0</v>
      </c>
      <c r="L33" s="200">
        <v>0</v>
      </c>
      <c r="M33" s="208" t="s">
        <v>331</v>
      </c>
    </row>
    <row r="34" spans="2:14" x14ac:dyDescent="0.2">
      <c r="B34" s="198">
        <v>2009</v>
      </c>
      <c r="C34" s="198">
        <v>5.8</v>
      </c>
      <c r="D34" s="198">
        <v>8.3000000000000007</v>
      </c>
      <c r="E34" s="198">
        <v>7</v>
      </c>
      <c r="F34" s="198">
        <v>11.3</v>
      </c>
      <c r="G34" s="198">
        <v>9</v>
      </c>
      <c r="H34" s="198">
        <v>4.4000000000000004</v>
      </c>
      <c r="J34" s="192" t="s">
        <v>332</v>
      </c>
      <c r="K34" s="209" t="s">
        <v>333</v>
      </c>
      <c r="L34" s="200">
        <v>0</v>
      </c>
      <c r="M34" s="201">
        <v>0</v>
      </c>
    </row>
    <row r="35" spans="2:14" x14ac:dyDescent="0.2">
      <c r="J35" s="193">
        <v>1</v>
      </c>
      <c r="K35" s="202" t="s">
        <v>334</v>
      </c>
      <c r="L35" s="210" t="s">
        <v>335</v>
      </c>
      <c r="M35" s="211" t="s">
        <v>336</v>
      </c>
    </row>
    <row r="38" spans="2:14" x14ac:dyDescent="0.2">
      <c r="B38" s="187" t="s">
        <v>362</v>
      </c>
    </row>
    <row r="39" spans="2:14" x14ac:dyDescent="0.2">
      <c r="K39" s="188" t="s">
        <v>337</v>
      </c>
    </row>
    <row r="40" spans="2:14" x14ac:dyDescent="0.2">
      <c r="K40" s="212" t="s">
        <v>338</v>
      </c>
    </row>
    <row r="41" spans="2:14" x14ac:dyDescent="0.2">
      <c r="K41" s="213" t="s">
        <v>339</v>
      </c>
      <c r="L41" s="190" t="s">
        <v>340</v>
      </c>
      <c r="M41" s="188" t="s">
        <v>341</v>
      </c>
    </row>
    <row r="42" spans="2:14" x14ac:dyDescent="0.2">
      <c r="J42" s="214" t="s">
        <v>73</v>
      </c>
      <c r="K42" s="215">
        <v>2</v>
      </c>
      <c r="L42" s="215">
        <v>1</v>
      </c>
      <c r="M42" s="188" t="s">
        <v>342</v>
      </c>
      <c r="N42" s="188" t="s">
        <v>364</v>
      </c>
    </row>
    <row r="43" spans="2:14" x14ac:dyDescent="0.2">
      <c r="J43" s="214" t="s">
        <v>74</v>
      </c>
      <c r="K43" s="215">
        <v>2</v>
      </c>
      <c r="L43" s="215">
        <v>2</v>
      </c>
      <c r="M43" s="188" t="s">
        <v>343</v>
      </c>
      <c r="N43" s="188" t="s">
        <v>364</v>
      </c>
    </row>
    <row r="44" spans="2:14" x14ac:dyDescent="0.2">
      <c r="J44" s="214" t="s">
        <v>75</v>
      </c>
      <c r="K44" s="215">
        <v>3</v>
      </c>
      <c r="L44" s="215">
        <v>2</v>
      </c>
      <c r="M44" s="188" t="s">
        <v>344</v>
      </c>
      <c r="N44" s="188" t="s">
        <v>364</v>
      </c>
    </row>
    <row r="46" spans="2:14" x14ac:dyDescent="0.2">
      <c r="K46" s="185" t="s">
        <v>365</v>
      </c>
    </row>
    <row r="47" spans="2:14" x14ac:dyDescent="0.2">
      <c r="K47" s="187" t="s">
        <v>366</v>
      </c>
    </row>
    <row r="51" spans="1:10" x14ac:dyDescent="0.2">
      <c r="B51" s="187" t="s">
        <v>367</v>
      </c>
    </row>
    <row r="52" spans="1:10" x14ac:dyDescent="0.2">
      <c r="A52" s="191" t="s">
        <v>316</v>
      </c>
      <c r="B52" s="216"/>
      <c r="C52" s="216"/>
      <c r="D52" s="216"/>
      <c r="E52" s="217"/>
      <c r="F52" s="216"/>
      <c r="G52" s="216"/>
      <c r="H52" s="218" t="s">
        <v>345</v>
      </c>
      <c r="I52" s="216"/>
    </row>
    <row r="53" spans="1:10" ht="14.25" x14ac:dyDescent="0.2">
      <c r="A53" s="191" t="s">
        <v>318</v>
      </c>
      <c r="B53" s="219" t="s">
        <v>319</v>
      </c>
      <c r="C53" s="219" t="s">
        <v>320</v>
      </c>
      <c r="D53" s="219" t="s">
        <v>321</v>
      </c>
      <c r="E53" s="220" t="s">
        <v>332</v>
      </c>
      <c r="F53" s="219" t="s">
        <v>322</v>
      </c>
      <c r="G53" s="219" t="s">
        <v>183</v>
      </c>
      <c r="H53" s="221" t="s">
        <v>319</v>
      </c>
      <c r="I53" s="222" t="s">
        <v>323</v>
      </c>
    </row>
    <row r="54" spans="1:10" x14ac:dyDescent="0.2">
      <c r="A54" s="198">
        <v>2002</v>
      </c>
      <c r="B54" s="223">
        <v>1.3</v>
      </c>
      <c r="C54" s="224">
        <v>0.2</v>
      </c>
      <c r="D54" s="224">
        <v>1</v>
      </c>
      <c r="E54" s="224"/>
      <c r="F54" s="224">
        <v>6.5</v>
      </c>
      <c r="G54" s="224">
        <v>0</v>
      </c>
      <c r="H54" s="224"/>
      <c r="I54" s="225">
        <v>2.2999999999999998</v>
      </c>
    </row>
    <row r="55" spans="1:10" x14ac:dyDescent="0.2">
      <c r="A55" s="198">
        <v>2003</v>
      </c>
      <c r="B55" s="226">
        <v>2.2000000000000002</v>
      </c>
      <c r="C55" s="227">
        <v>1.3</v>
      </c>
      <c r="D55" s="227">
        <v>4</v>
      </c>
      <c r="E55" s="227">
        <f>D54</f>
        <v>1</v>
      </c>
      <c r="F55" s="227">
        <v>8</v>
      </c>
      <c r="G55" s="227">
        <v>1</v>
      </c>
      <c r="H55" s="228">
        <f>$E$66+$C$66*F55+E55*$D$66</f>
        <v>2.0562690317320342</v>
      </c>
      <c r="I55" s="229">
        <v>2.5</v>
      </c>
    </row>
    <row r="56" spans="1:10" x14ac:dyDescent="0.2">
      <c r="A56" s="198">
        <v>2004</v>
      </c>
      <c r="B56" s="226">
        <v>2.4</v>
      </c>
      <c r="C56" s="227">
        <v>2.4</v>
      </c>
      <c r="D56" s="227">
        <v>3</v>
      </c>
      <c r="E56" s="227">
        <f t="shared" ref="E56:E61" si="0">D55</f>
        <v>4</v>
      </c>
      <c r="F56" s="227">
        <v>8.4</v>
      </c>
      <c r="G56" s="227">
        <v>3</v>
      </c>
      <c r="H56" s="228">
        <f t="shared" ref="H56:H61" si="1">$E$66+$C$66*F56+E56*$D$66</f>
        <v>2.5986688187430325</v>
      </c>
      <c r="I56" s="229">
        <v>2.6</v>
      </c>
    </row>
    <row r="57" spans="1:10" x14ac:dyDescent="0.2">
      <c r="A57" s="198">
        <v>2005</v>
      </c>
      <c r="B57" s="226">
        <v>3.5</v>
      </c>
      <c r="C57" s="227">
        <v>3.8</v>
      </c>
      <c r="D57" s="227">
        <v>5</v>
      </c>
      <c r="E57" s="227">
        <f t="shared" si="0"/>
        <v>3</v>
      </c>
      <c r="F57" s="227">
        <v>9.1999999999999993</v>
      </c>
      <c r="G57" s="227">
        <v>5</v>
      </c>
      <c r="H57" s="228">
        <f t="shared" si="1"/>
        <v>3.3132768690616832</v>
      </c>
      <c r="I57" s="229">
        <v>2.8</v>
      </c>
    </row>
    <row r="58" spans="1:10" x14ac:dyDescent="0.2">
      <c r="A58" s="198">
        <v>2006</v>
      </c>
      <c r="B58" s="226">
        <v>4.2</v>
      </c>
      <c r="C58" s="227">
        <v>6.5</v>
      </c>
      <c r="D58" s="227">
        <v>6</v>
      </c>
      <c r="E58" s="227">
        <f t="shared" si="0"/>
        <v>5</v>
      </c>
      <c r="F58" s="227">
        <v>10.5</v>
      </c>
      <c r="G58" s="227">
        <v>8</v>
      </c>
      <c r="H58" s="228">
        <f t="shared" si="1"/>
        <v>4.6662212756044408</v>
      </c>
      <c r="I58" s="229">
        <v>3.1</v>
      </c>
    </row>
    <row r="59" spans="1:10" x14ac:dyDescent="0.2">
      <c r="A59" s="198">
        <v>2007</v>
      </c>
      <c r="B59" s="226">
        <v>5.4</v>
      </c>
      <c r="C59" s="227">
        <v>7.8</v>
      </c>
      <c r="D59" s="227">
        <v>6</v>
      </c>
      <c r="E59" s="227">
        <f t="shared" si="0"/>
        <v>6</v>
      </c>
      <c r="F59" s="227">
        <v>11</v>
      </c>
      <c r="G59" s="227">
        <v>8</v>
      </c>
      <c r="H59" s="228">
        <f t="shared" si="1"/>
        <v>5.1987886250561601</v>
      </c>
      <c r="I59" s="229">
        <v>3.4</v>
      </c>
    </row>
    <row r="60" spans="1:10" x14ac:dyDescent="0.2">
      <c r="A60" s="198">
        <v>2008</v>
      </c>
      <c r="B60" s="226">
        <v>5.7</v>
      </c>
      <c r="C60" s="227">
        <v>8.1</v>
      </c>
      <c r="D60" s="227">
        <v>8</v>
      </c>
      <c r="E60" s="227">
        <f t="shared" si="0"/>
        <v>6</v>
      </c>
      <c r="F60" s="227">
        <v>11.6</v>
      </c>
      <c r="G60" s="227">
        <v>9</v>
      </c>
      <c r="H60" s="228">
        <f t="shared" si="1"/>
        <v>5.7744080403347926</v>
      </c>
      <c r="I60" s="229">
        <v>4.5</v>
      </c>
    </row>
    <row r="61" spans="1:10" x14ac:dyDescent="0.2">
      <c r="A61" s="198">
        <v>2009</v>
      </c>
      <c r="B61" s="230">
        <v>5.8</v>
      </c>
      <c r="C61" s="231">
        <v>8.3000000000000007</v>
      </c>
      <c r="D61" s="231">
        <v>7</v>
      </c>
      <c r="E61" s="231">
        <f t="shared" si="0"/>
        <v>8</v>
      </c>
      <c r="F61" s="231">
        <v>11.3</v>
      </c>
      <c r="G61" s="231">
        <v>9</v>
      </c>
      <c r="H61" s="228">
        <f t="shared" si="1"/>
        <v>5.5923673394678612</v>
      </c>
      <c r="I61" s="232">
        <v>4.4000000000000004</v>
      </c>
    </row>
    <row r="63" spans="1:10" x14ac:dyDescent="0.2">
      <c r="C63" s="188" t="s">
        <v>346</v>
      </c>
      <c r="G63" s="188" t="s">
        <v>347</v>
      </c>
    </row>
    <row r="64" spans="1:10" x14ac:dyDescent="0.2">
      <c r="C64" s="188" t="s">
        <v>348</v>
      </c>
      <c r="D64" s="188" t="s">
        <v>349</v>
      </c>
      <c r="E64" s="188" t="s">
        <v>350</v>
      </c>
      <c r="G64" s="188" t="s">
        <v>274</v>
      </c>
      <c r="H64" s="188" t="s">
        <v>12</v>
      </c>
      <c r="I64" s="188" t="s">
        <v>11</v>
      </c>
      <c r="J64" s="188" t="s">
        <v>10</v>
      </c>
    </row>
    <row r="65" spans="1:19" x14ac:dyDescent="0.2">
      <c r="C65" s="185" t="s">
        <v>322</v>
      </c>
      <c r="D65" s="185" t="s">
        <v>332</v>
      </c>
      <c r="E65" s="185" t="s">
        <v>350</v>
      </c>
      <c r="G65" s="185" t="s">
        <v>319</v>
      </c>
      <c r="H65" s="185" t="s">
        <v>183</v>
      </c>
      <c r="I65" s="185" t="s">
        <v>322</v>
      </c>
      <c r="J65" s="185" t="s">
        <v>10</v>
      </c>
      <c r="L65" s="192" t="s">
        <v>317</v>
      </c>
      <c r="M65" s="193"/>
      <c r="N65" s="193"/>
      <c r="O65" s="193"/>
    </row>
    <row r="66" spans="1:19" x14ac:dyDescent="0.2">
      <c r="C66" s="185">
        <f t="array" ref="C66:E70">LINEST(B55:B61,E55:F61,1,1)</f>
        <v>0.95936569213105516</v>
      </c>
      <c r="D66" s="185">
        <v>5.2884503386192015E-2</v>
      </c>
      <c r="E66" s="185">
        <v>-5.671541008702599</v>
      </c>
      <c r="G66" s="185">
        <f t="array" ref="G66:J70">LINEST(C55:C61,F55:H61,1,1)</f>
        <v>3.0900519807453986</v>
      </c>
      <c r="H66" s="185">
        <v>9.7827573824872477E-2</v>
      </c>
      <c r="I66" s="185">
        <v>-1.408832657700682</v>
      </c>
      <c r="J66" s="185">
        <v>6.0545975038303688</v>
      </c>
      <c r="L66" s="189" t="s">
        <v>319</v>
      </c>
      <c r="M66" s="195">
        <v>1</v>
      </c>
      <c r="N66" s="196" t="s">
        <v>351</v>
      </c>
      <c r="O66" s="197" t="s">
        <v>325</v>
      </c>
    </row>
    <row r="67" spans="1:19" x14ac:dyDescent="0.2">
      <c r="C67" s="187">
        <v>0.19168674991015822</v>
      </c>
      <c r="D67" s="187">
        <v>0.12185171161368318</v>
      </c>
      <c r="E67" s="187">
        <v>1.4379183799730084</v>
      </c>
      <c r="G67" s="187">
        <v>2.4127366520916542</v>
      </c>
      <c r="H67" s="187">
        <v>0.22505823500784791</v>
      </c>
      <c r="I67" s="187">
        <v>2.3823694951812469</v>
      </c>
      <c r="J67" s="187">
        <v>14.156482200533187</v>
      </c>
      <c r="L67" s="192" t="s">
        <v>320</v>
      </c>
      <c r="M67" s="199">
        <v>0</v>
      </c>
      <c r="N67" s="200">
        <v>1</v>
      </c>
      <c r="O67" s="201">
        <v>0</v>
      </c>
    </row>
    <row r="68" spans="1:19" x14ac:dyDescent="0.2">
      <c r="C68" s="187">
        <v>0.97126940152539532</v>
      </c>
      <c r="D68" s="187">
        <v>0.31681603172288619</v>
      </c>
      <c r="E68" s="187" t="e">
        <v>#N/A</v>
      </c>
      <c r="G68" s="187">
        <v>0.99420302023519447</v>
      </c>
      <c r="H68" s="187">
        <v>0.31397735841991931</v>
      </c>
      <c r="I68" s="187" t="e">
        <v>#N/A</v>
      </c>
      <c r="J68" s="187" t="e">
        <v>#N/A</v>
      </c>
      <c r="L68" s="192" t="s">
        <v>321</v>
      </c>
      <c r="M68" s="202">
        <v>0</v>
      </c>
      <c r="N68" s="203">
        <v>0</v>
      </c>
      <c r="O68" s="204">
        <v>1</v>
      </c>
    </row>
    <row r="69" spans="1:19" x14ac:dyDescent="0.2">
      <c r="C69" s="187">
        <v>67.612194182722064</v>
      </c>
      <c r="D69" s="187">
        <v>4</v>
      </c>
      <c r="E69" s="187" t="e">
        <v>#N/A</v>
      </c>
      <c r="G69" s="187">
        <v>171.50362094951052</v>
      </c>
      <c r="H69" s="187">
        <v>3</v>
      </c>
      <c r="I69" s="187" t="e">
        <v>#N/A</v>
      </c>
      <c r="J69" s="187" t="e">
        <v>#N/A</v>
      </c>
      <c r="L69" s="193"/>
      <c r="M69" s="193"/>
      <c r="N69" s="193"/>
      <c r="O69" s="193"/>
    </row>
    <row r="70" spans="1:19" x14ac:dyDescent="0.2">
      <c r="C70" s="187">
        <v>13.572796122459168</v>
      </c>
      <c r="D70" s="187">
        <v>0.40148959182654731</v>
      </c>
      <c r="E70" s="187" t="e">
        <v>#N/A</v>
      </c>
      <c r="G70" s="187">
        <v>50.721397512341809</v>
      </c>
      <c r="H70" s="187">
        <v>0.29574534480105136</v>
      </c>
      <c r="I70" s="187" t="e">
        <v>#N/A</v>
      </c>
      <c r="J70" s="187" t="e">
        <v>#N/A</v>
      </c>
      <c r="L70" s="192" t="s">
        <v>326</v>
      </c>
      <c r="M70" s="193"/>
      <c r="N70" s="193"/>
      <c r="O70" s="193"/>
    </row>
    <row r="71" spans="1:19" ht="14.25" x14ac:dyDescent="0.2">
      <c r="L71" s="192" t="s">
        <v>322</v>
      </c>
      <c r="M71" s="205" t="s">
        <v>327</v>
      </c>
      <c r="N71" s="196" t="s">
        <v>328</v>
      </c>
      <c r="O71" s="206">
        <v>0</v>
      </c>
      <c r="Q71" s="188" t="s">
        <v>310</v>
      </c>
    </row>
    <row r="72" spans="1:19" x14ac:dyDescent="0.2">
      <c r="L72" s="192" t="s">
        <v>183</v>
      </c>
      <c r="M72" s="199">
        <v>0</v>
      </c>
      <c r="N72" s="207" t="s">
        <v>329</v>
      </c>
      <c r="O72" s="201">
        <v>0</v>
      </c>
    </row>
    <row r="73" spans="1:19" x14ac:dyDescent="0.2">
      <c r="A73" s="191" t="s">
        <v>316</v>
      </c>
      <c r="B73" s="216"/>
      <c r="C73" s="216"/>
      <c r="D73" s="218" t="s">
        <v>345</v>
      </c>
      <c r="F73" s="188" t="s">
        <v>352</v>
      </c>
      <c r="L73" s="192" t="s">
        <v>330</v>
      </c>
      <c r="M73" s="199">
        <v>0</v>
      </c>
      <c r="N73" s="200">
        <v>0</v>
      </c>
      <c r="O73" s="208" t="s">
        <v>331</v>
      </c>
    </row>
    <row r="74" spans="1:19" ht="14.25" x14ac:dyDescent="0.2">
      <c r="A74" s="191" t="s">
        <v>318</v>
      </c>
      <c r="B74" s="219" t="s">
        <v>321</v>
      </c>
      <c r="C74" s="222" t="s">
        <v>323</v>
      </c>
      <c r="D74" s="221" t="s">
        <v>319</v>
      </c>
      <c r="F74" s="233" t="s">
        <v>353</v>
      </c>
      <c r="G74" s="233" t="s">
        <v>354</v>
      </c>
      <c r="H74" s="233" t="s">
        <v>355</v>
      </c>
      <c r="L74" s="192" t="s">
        <v>332</v>
      </c>
      <c r="M74" s="209" t="s">
        <v>333</v>
      </c>
      <c r="N74" s="200">
        <v>0</v>
      </c>
      <c r="O74" s="201">
        <v>0</v>
      </c>
    </row>
    <row r="75" spans="1:19" x14ac:dyDescent="0.2">
      <c r="A75" s="198">
        <v>2002</v>
      </c>
      <c r="B75" s="224">
        <v>1</v>
      </c>
      <c r="C75" s="225">
        <v>2.2999999999999998</v>
      </c>
      <c r="D75" s="224"/>
      <c r="F75" s="185" t="s">
        <v>319</v>
      </c>
      <c r="G75" s="185" t="s">
        <v>330</v>
      </c>
      <c r="H75" s="185" t="s">
        <v>355</v>
      </c>
      <c r="L75" s="193">
        <v>1</v>
      </c>
      <c r="M75" s="202" t="s">
        <v>334</v>
      </c>
      <c r="N75" s="210" t="s">
        <v>335</v>
      </c>
      <c r="O75" s="211" t="s">
        <v>336</v>
      </c>
    </row>
    <row r="76" spans="1:19" x14ac:dyDescent="0.2">
      <c r="A76" s="198">
        <v>2003</v>
      </c>
      <c r="B76" s="227">
        <v>4</v>
      </c>
      <c r="C76" s="229">
        <v>2.5</v>
      </c>
      <c r="D76" s="228">
        <f>H55</f>
        <v>2.0562690317320342</v>
      </c>
      <c r="F76" s="185">
        <f t="array" ref="F76:H80">LINEST(B76:B82,C76:D82,1,1)</f>
        <v>0.6390691657772436</v>
      </c>
      <c r="G76" s="185">
        <v>0.85805205489607372</v>
      </c>
      <c r="H76" s="185">
        <v>4.9509640032280977E-2</v>
      </c>
    </row>
    <row r="77" spans="1:19" x14ac:dyDescent="0.2">
      <c r="A77" s="198">
        <v>2004</v>
      </c>
      <c r="B77" s="227">
        <v>3</v>
      </c>
      <c r="C77" s="229">
        <v>2.6</v>
      </c>
      <c r="D77" s="228">
        <f t="shared" ref="D77:D82" si="2">H56</f>
        <v>2.5986688187430325</v>
      </c>
      <c r="F77" s="187">
        <v>0.42423799034804671</v>
      </c>
      <c r="G77" s="187">
        <v>0.77431643802850647</v>
      </c>
      <c r="H77" s="187">
        <v>1.2668579750544744</v>
      </c>
      <c r="L77" s="189" t="s">
        <v>356</v>
      </c>
      <c r="Q77" s="188" t="s">
        <v>357</v>
      </c>
    </row>
    <row r="78" spans="1:19" x14ac:dyDescent="0.2">
      <c r="A78" s="198">
        <v>2005</v>
      </c>
      <c r="B78" s="227">
        <v>5</v>
      </c>
      <c r="C78" s="229">
        <v>2.8</v>
      </c>
      <c r="D78" s="228">
        <f t="shared" si="2"/>
        <v>3.3132768690616832</v>
      </c>
      <c r="F78" s="187">
        <v>0.89784299644728982</v>
      </c>
      <c r="G78" s="187">
        <v>0.67261399566319047</v>
      </c>
      <c r="H78" s="187" t="e">
        <v>#N/A</v>
      </c>
      <c r="M78" s="234">
        <v>1</v>
      </c>
      <c r="N78" s="235">
        <f>-G66</f>
        <v>-3.0900519807453986</v>
      </c>
      <c r="O78" s="236">
        <f>-F76</f>
        <v>-0.6390691657772436</v>
      </c>
      <c r="Q78" s="234">
        <f t="array" ref="Q78:S80">MINVERSE(M78:O80)</f>
        <v>1</v>
      </c>
      <c r="R78" s="235">
        <v>3.0900519807453986</v>
      </c>
      <c r="S78" s="236">
        <v>0.6390691657772436</v>
      </c>
    </row>
    <row r="79" spans="1:19" x14ac:dyDescent="0.2">
      <c r="A79" s="198">
        <v>2006</v>
      </c>
      <c r="B79" s="227">
        <v>6</v>
      </c>
      <c r="C79" s="229">
        <v>3.1</v>
      </c>
      <c r="D79" s="228">
        <f t="shared" si="2"/>
        <v>4.6662212756044408</v>
      </c>
      <c r="F79" s="187">
        <v>17.577708139883477</v>
      </c>
      <c r="G79" s="187">
        <v>4</v>
      </c>
      <c r="H79" s="187" t="e">
        <v>#N/A</v>
      </c>
      <c r="M79" s="237">
        <v>0</v>
      </c>
      <c r="N79" s="238">
        <v>1</v>
      </c>
      <c r="O79" s="239">
        <v>0</v>
      </c>
      <c r="Q79" s="237">
        <v>0</v>
      </c>
      <c r="R79" s="238">
        <v>1</v>
      </c>
      <c r="S79" s="239">
        <v>0</v>
      </c>
    </row>
    <row r="80" spans="1:19" x14ac:dyDescent="0.2">
      <c r="A80" s="198">
        <v>2007</v>
      </c>
      <c r="B80" s="227">
        <v>6</v>
      </c>
      <c r="C80" s="229">
        <v>3.4</v>
      </c>
      <c r="D80" s="228">
        <f t="shared" si="2"/>
        <v>5.1987886250561601</v>
      </c>
      <c r="F80" s="187">
        <v>15.904647365637706</v>
      </c>
      <c r="G80" s="187">
        <v>1.8096383486480097</v>
      </c>
      <c r="H80" s="187" t="e">
        <v>#N/A</v>
      </c>
      <c r="M80" s="240">
        <v>0</v>
      </c>
      <c r="N80" s="241">
        <v>0</v>
      </c>
      <c r="O80" s="242">
        <v>1</v>
      </c>
      <c r="Q80" s="240">
        <v>0</v>
      </c>
      <c r="R80" s="241">
        <v>0</v>
      </c>
      <c r="S80" s="242">
        <v>1</v>
      </c>
    </row>
    <row r="81" spans="1:19" x14ac:dyDescent="0.2">
      <c r="A81" s="198">
        <v>2008</v>
      </c>
      <c r="B81" s="227">
        <v>8</v>
      </c>
      <c r="C81" s="229">
        <v>4.5</v>
      </c>
      <c r="D81" s="228">
        <f t="shared" si="2"/>
        <v>5.7744080403347926</v>
      </c>
      <c r="Q81" s="188" t="s">
        <v>358</v>
      </c>
    </row>
    <row r="82" spans="1:19" x14ac:dyDescent="0.2">
      <c r="A82" s="198">
        <v>2009</v>
      </c>
      <c r="B82" s="231">
        <v>7</v>
      </c>
      <c r="C82" s="232">
        <v>4.4000000000000004</v>
      </c>
      <c r="D82" s="228">
        <f t="shared" si="2"/>
        <v>5.5923673394678612</v>
      </c>
      <c r="L82" s="188" t="s">
        <v>326</v>
      </c>
      <c r="M82" s="243">
        <f>-C66</f>
        <v>-0.95936569213105516</v>
      </c>
      <c r="N82" s="244">
        <f>-I66</f>
        <v>1.408832657700682</v>
      </c>
      <c r="O82" s="206">
        <v>0</v>
      </c>
      <c r="Q82" s="245">
        <f t="shared" ref="Q82:S86" si="3">-M82</f>
        <v>0.95936569213105516</v>
      </c>
      <c r="R82" s="235">
        <f t="shared" si="3"/>
        <v>-1.408832657700682</v>
      </c>
      <c r="S82" s="246">
        <f t="shared" si="3"/>
        <v>0</v>
      </c>
    </row>
    <row r="83" spans="1:19" x14ac:dyDescent="0.2">
      <c r="M83" s="199">
        <v>0</v>
      </c>
      <c r="N83" s="247">
        <f>-H66</f>
        <v>-9.7827573824872477E-2</v>
      </c>
      <c r="O83" s="201">
        <v>0</v>
      </c>
      <c r="Q83" s="237">
        <f t="shared" si="3"/>
        <v>0</v>
      </c>
      <c r="R83" s="248">
        <f t="shared" si="3"/>
        <v>9.7827573824872477E-2</v>
      </c>
      <c r="S83" s="239">
        <f t="shared" si="3"/>
        <v>0</v>
      </c>
    </row>
    <row r="84" spans="1:19" x14ac:dyDescent="0.2">
      <c r="M84" s="199">
        <v>0</v>
      </c>
      <c r="N84" s="200">
        <v>0</v>
      </c>
      <c r="O84" s="249">
        <f>-G76</f>
        <v>-0.85805205489607372</v>
      </c>
      <c r="Q84" s="237">
        <f t="shared" si="3"/>
        <v>0</v>
      </c>
      <c r="R84" s="238">
        <f t="shared" si="3"/>
        <v>0</v>
      </c>
      <c r="S84" s="250">
        <f t="shared" si="3"/>
        <v>0.85805205489607372</v>
      </c>
    </row>
    <row r="85" spans="1:19" x14ac:dyDescent="0.2">
      <c r="M85" s="251">
        <f>-D66</f>
        <v>-5.2884503386192015E-2</v>
      </c>
      <c r="N85" s="200">
        <v>0</v>
      </c>
      <c r="O85" s="201">
        <v>0</v>
      </c>
      <c r="Q85" s="252">
        <f t="shared" si="3"/>
        <v>5.2884503386192015E-2</v>
      </c>
      <c r="R85" s="238">
        <f t="shared" si="3"/>
        <v>0</v>
      </c>
      <c r="S85" s="239">
        <f t="shared" si="3"/>
        <v>0</v>
      </c>
    </row>
    <row r="86" spans="1:19" x14ac:dyDescent="0.2">
      <c r="M86" s="253">
        <f>-E66</f>
        <v>5.671541008702599</v>
      </c>
      <c r="N86" s="254">
        <f>-J66</f>
        <v>-6.0545975038303688</v>
      </c>
      <c r="O86" s="255">
        <f>-H76</f>
        <v>-4.9509640032280977E-2</v>
      </c>
      <c r="Q86" s="256">
        <f t="shared" si="3"/>
        <v>-5.671541008702599</v>
      </c>
      <c r="R86" s="257">
        <f t="shared" si="3"/>
        <v>6.0545975038303688</v>
      </c>
      <c r="S86" s="258">
        <f t="shared" si="3"/>
        <v>4.9509640032280977E-2</v>
      </c>
    </row>
    <row r="87" spans="1:19" ht="15" x14ac:dyDescent="0.25">
      <c r="A87"/>
      <c r="B87" s="24" t="s">
        <v>311</v>
      </c>
      <c r="C87"/>
      <c r="D87"/>
      <c r="E87"/>
      <c r="F87"/>
      <c r="G87"/>
      <c r="H87"/>
      <c r="I87"/>
      <c r="J87"/>
      <c r="K87"/>
      <c r="L87"/>
    </row>
    <row r="88" spans="1:19" ht="15" x14ac:dyDescent="0.25">
      <c r="A88"/>
      <c r="B88"/>
      <c r="C88"/>
      <c r="D88"/>
      <c r="E88"/>
      <c r="F88"/>
      <c r="G88"/>
      <c r="H88"/>
      <c r="I88"/>
      <c r="J88"/>
      <c r="K88"/>
      <c r="L88" s="24"/>
      <c r="Q88" s="188" t="s">
        <v>309</v>
      </c>
    </row>
    <row r="89" spans="1:19" ht="15" x14ac:dyDescent="0.25">
      <c r="A89"/>
      <c r="B89"/>
      <c r="C89"/>
      <c r="D89"/>
      <c r="E89"/>
      <c r="F89"/>
      <c r="G89"/>
      <c r="H89"/>
      <c r="I89"/>
      <c r="J89"/>
      <c r="K89"/>
      <c r="L89"/>
      <c r="Q89" s="245">
        <f t="array" ref="Q89:S93">MMULT(Q82:S86,Q78:S80)</f>
        <v>0.95936569213105516</v>
      </c>
      <c r="R89" s="235">
        <v>1.555657199528065</v>
      </c>
      <c r="S89" s="236">
        <v>0.6131010325455013</v>
      </c>
    </row>
    <row r="90" spans="1:19" ht="15" x14ac:dyDescent="0.25">
      <c r="A90"/>
      <c r="B90"/>
      <c r="C90"/>
      <c r="D90"/>
      <c r="E90"/>
      <c r="F90"/>
      <c r="G90"/>
      <c r="H90"/>
      <c r="I90"/>
      <c r="J90"/>
      <c r="K90"/>
      <c r="L90"/>
      <c r="Q90" s="237">
        <v>0</v>
      </c>
      <c r="R90" s="248">
        <v>9.7827573824872477E-2</v>
      </c>
      <c r="S90" s="239">
        <v>0</v>
      </c>
    </row>
    <row r="91" spans="1:19" ht="15" x14ac:dyDescent="0.25">
      <c r="A91"/>
      <c r="B91"/>
      <c r="C91"/>
      <c r="D91"/>
      <c r="E91"/>
      <c r="F91"/>
      <c r="G91"/>
      <c r="H91"/>
      <c r="I91"/>
      <c r="J91"/>
      <c r="K91"/>
      <c r="L91"/>
      <c r="Q91" s="237">
        <v>0</v>
      </c>
      <c r="R91" s="238">
        <v>0</v>
      </c>
      <c r="S91" s="250">
        <v>0.85805205489607372</v>
      </c>
    </row>
    <row r="92" spans="1:19" ht="15" x14ac:dyDescent="0.25">
      <c r="A92"/>
      <c r="B92"/>
      <c r="C92"/>
      <c r="D92"/>
      <c r="E92"/>
      <c r="F92"/>
      <c r="G92"/>
      <c r="H92"/>
      <c r="I92"/>
      <c r="J92"/>
      <c r="K92"/>
      <c r="L92"/>
      <c r="Q92" s="252">
        <v>5.2884503386192015E-2</v>
      </c>
      <c r="R92" s="248">
        <v>0.16341586443923936</v>
      </c>
      <c r="S92" s="250">
        <v>3.3796855461557543E-2</v>
      </c>
    </row>
    <row r="93" spans="1:19" ht="15" x14ac:dyDescent="0.25">
      <c r="A93"/>
      <c r="B93"/>
      <c r="C93"/>
      <c r="D93"/>
      <c r="E93"/>
      <c r="F93"/>
      <c r="G93"/>
      <c r="H93"/>
      <c r="I93"/>
      <c r="J93"/>
      <c r="K93"/>
      <c r="L93"/>
      <c r="Q93" s="256">
        <v>-5.671541008702599</v>
      </c>
      <c r="R93" s="257">
        <v>-11.470759023989853</v>
      </c>
      <c r="S93" s="258">
        <v>-3.5749973410707159</v>
      </c>
    </row>
    <row r="94" spans="1:19" ht="15" x14ac:dyDescent="0.25">
      <c r="A94"/>
      <c r="B94" s="24" t="s">
        <v>368</v>
      </c>
      <c r="C94"/>
      <c r="D94"/>
      <c r="E94"/>
      <c r="F94"/>
      <c r="G94"/>
      <c r="H94"/>
      <c r="I94"/>
      <c r="J94"/>
      <c r="K94"/>
      <c r="L94"/>
    </row>
    <row r="95" spans="1:19" ht="15" x14ac:dyDescent="0.25">
      <c r="A95"/>
      <c r="B95" s="24" t="s">
        <v>369</v>
      </c>
      <c r="C95"/>
      <c r="D95"/>
      <c r="E95"/>
      <c r="F95"/>
      <c r="G95"/>
      <c r="H95"/>
      <c r="I95"/>
      <c r="J95"/>
      <c r="K95"/>
      <c r="L95"/>
    </row>
    <row r="96" spans="1:19" ht="15" x14ac:dyDescent="0.25">
      <c r="A96"/>
      <c r="B96" s="24" t="s">
        <v>370</v>
      </c>
      <c r="C96"/>
      <c r="D96"/>
      <c r="E96"/>
      <c r="F96"/>
      <c r="G96"/>
      <c r="H96"/>
      <c r="I96"/>
      <c r="J96"/>
      <c r="K96"/>
      <c r="L96"/>
    </row>
    <row r="97" spans="1:12" ht="15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ht="15" x14ac:dyDescent="0.25">
      <c r="A98" s="168" t="s">
        <v>316</v>
      </c>
      <c r="B98" s="259"/>
      <c r="C98" s="260"/>
      <c r="D98" s="260"/>
      <c r="E98" s="260"/>
      <c r="F98"/>
      <c r="G98"/>
      <c r="H98" s="24" t="s">
        <v>371</v>
      </c>
      <c r="I98"/>
      <c r="J98"/>
      <c r="K98"/>
      <c r="L98"/>
    </row>
    <row r="99" spans="1:12" ht="15" x14ac:dyDescent="0.25">
      <c r="A99" s="168" t="s">
        <v>318</v>
      </c>
      <c r="B99" s="261" t="s">
        <v>321</v>
      </c>
      <c r="C99" s="168" t="s">
        <v>322</v>
      </c>
      <c r="D99" s="168" t="s">
        <v>183</v>
      </c>
      <c r="E99" s="262" t="s">
        <v>323</v>
      </c>
      <c r="F99"/>
      <c r="G99"/>
      <c r="H99" s="274" t="s">
        <v>372</v>
      </c>
      <c r="I99" s="275" t="s">
        <v>373</v>
      </c>
      <c r="J99" s="275" t="s">
        <v>374</v>
      </c>
      <c r="K99" s="276" t="s">
        <v>375</v>
      </c>
      <c r="L99"/>
    </row>
    <row r="100" spans="1:12" ht="15" x14ac:dyDescent="0.25">
      <c r="A100" s="169">
        <v>2002</v>
      </c>
      <c r="B100" s="263">
        <v>1</v>
      </c>
      <c r="C100" s="264">
        <v>6.5</v>
      </c>
      <c r="D100" s="264">
        <v>0</v>
      </c>
      <c r="E100" s="265">
        <v>2.2999999999999998</v>
      </c>
      <c r="F100"/>
      <c r="G100"/>
      <c r="H100" s="277" t="s">
        <v>330</v>
      </c>
      <c r="I100" s="278" t="s">
        <v>183</v>
      </c>
      <c r="J100" s="278" t="s">
        <v>322</v>
      </c>
      <c r="K100" s="279"/>
      <c r="L100"/>
    </row>
    <row r="101" spans="1:12" ht="15" x14ac:dyDescent="0.25">
      <c r="A101" s="169">
        <v>2003</v>
      </c>
      <c r="B101" s="266">
        <v>4</v>
      </c>
      <c r="C101" s="267">
        <v>8</v>
      </c>
      <c r="D101" s="267">
        <v>1</v>
      </c>
      <c r="E101" s="268">
        <v>2.5</v>
      </c>
      <c r="F101"/>
      <c r="G101"/>
      <c r="H101" s="280">
        <f t="array" ref="H101:K105">LINEST(B100:B107,C100:E107,1,1)</f>
        <v>0.28374282667952433</v>
      </c>
      <c r="I101" s="281">
        <v>-0.41907741958255651</v>
      </c>
      <c r="J101" s="281">
        <v>1.9085178123445359</v>
      </c>
      <c r="K101" s="282">
        <v>-11.905637495662861</v>
      </c>
      <c r="L101"/>
    </row>
    <row r="102" spans="1:12" ht="15" x14ac:dyDescent="0.25">
      <c r="A102" s="169">
        <v>2004</v>
      </c>
      <c r="B102" s="266">
        <v>3</v>
      </c>
      <c r="C102" s="267">
        <v>8.4</v>
      </c>
      <c r="D102" s="267">
        <v>3</v>
      </c>
      <c r="E102" s="268">
        <v>2.6</v>
      </c>
      <c r="F102"/>
      <c r="G102"/>
      <c r="H102" s="283">
        <v>0.62435085490873476</v>
      </c>
      <c r="I102" s="284">
        <v>0.36438787395081323</v>
      </c>
      <c r="J102" s="284">
        <v>0.79186509604987576</v>
      </c>
      <c r="K102" s="285">
        <v>5.1215166567126769</v>
      </c>
      <c r="L102"/>
    </row>
    <row r="103" spans="1:12" ht="15" x14ac:dyDescent="0.25">
      <c r="A103" s="169">
        <v>2005</v>
      </c>
      <c r="B103" s="266">
        <v>5</v>
      </c>
      <c r="C103" s="267">
        <v>9.1999999999999993</v>
      </c>
      <c r="D103" s="267">
        <v>5</v>
      </c>
      <c r="E103" s="268">
        <v>2.8</v>
      </c>
      <c r="F103"/>
      <c r="G103"/>
      <c r="H103" s="283">
        <v>0.95488081963638216</v>
      </c>
      <c r="I103" s="284">
        <v>0.63723827825434343</v>
      </c>
      <c r="J103" s="284" t="e">
        <v>#N/A</v>
      </c>
      <c r="K103" s="285" t="e">
        <v>#N/A</v>
      </c>
      <c r="L103"/>
    </row>
    <row r="104" spans="1:12" ht="15" x14ac:dyDescent="0.25">
      <c r="A104" s="169">
        <v>2006</v>
      </c>
      <c r="B104" s="266">
        <v>6</v>
      </c>
      <c r="C104" s="267">
        <v>10.5</v>
      </c>
      <c r="D104" s="267">
        <v>8</v>
      </c>
      <c r="E104" s="268">
        <v>3.1</v>
      </c>
      <c r="F104"/>
      <c r="G104"/>
      <c r="H104" s="283">
        <v>28.218030911050803</v>
      </c>
      <c r="I104" s="284">
        <v>4</v>
      </c>
      <c r="J104" s="284" t="e">
        <v>#N/A</v>
      </c>
      <c r="K104" s="285" t="e">
        <v>#N/A</v>
      </c>
      <c r="L104"/>
    </row>
    <row r="105" spans="1:12" ht="15" x14ac:dyDescent="0.25">
      <c r="A105" s="169">
        <v>2007</v>
      </c>
      <c r="B105" s="266">
        <v>6</v>
      </c>
      <c r="C105" s="267">
        <v>11</v>
      </c>
      <c r="D105" s="267">
        <v>8</v>
      </c>
      <c r="E105" s="268">
        <v>3.4</v>
      </c>
      <c r="F105"/>
      <c r="G105"/>
      <c r="H105" s="286">
        <v>34.375709506909757</v>
      </c>
      <c r="I105" s="287">
        <v>1.62429049309024</v>
      </c>
      <c r="J105" s="287" t="e">
        <v>#N/A</v>
      </c>
      <c r="K105" s="279" t="e">
        <v>#N/A</v>
      </c>
      <c r="L105"/>
    </row>
    <row r="106" spans="1:12" ht="15" x14ac:dyDescent="0.25">
      <c r="A106" s="169">
        <v>2008</v>
      </c>
      <c r="B106" s="266">
        <v>8</v>
      </c>
      <c r="C106" s="267">
        <v>11.6</v>
      </c>
      <c r="D106" s="267">
        <v>9</v>
      </c>
      <c r="E106" s="268">
        <v>4.5</v>
      </c>
      <c r="F106"/>
      <c r="G106"/>
      <c r="H106" s="28"/>
      <c r="I106" s="28"/>
      <c r="J106" s="28"/>
      <c r="K106" s="28"/>
      <c r="L106"/>
    </row>
    <row r="107" spans="1:12" ht="15" x14ac:dyDescent="0.25">
      <c r="A107" s="169">
        <v>2009</v>
      </c>
      <c r="B107" s="269">
        <v>7</v>
      </c>
      <c r="C107" s="270">
        <v>11.3</v>
      </c>
      <c r="D107" s="270">
        <v>9</v>
      </c>
      <c r="E107" s="271">
        <v>4.4000000000000004</v>
      </c>
      <c r="F107"/>
      <c r="G107"/>
      <c r="H107" s="28"/>
      <c r="I107" s="28"/>
      <c r="J107" s="28"/>
      <c r="K107" s="28"/>
      <c r="L107"/>
    </row>
    <row r="108" spans="1:12" ht="15" x14ac:dyDescent="0.25">
      <c r="A108"/>
      <c r="B108"/>
      <c r="C108"/>
      <c r="D108"/>
      <c r="E108"/>
      <c r="F108"/>
      <c r="G108"/>
      <c r="H108" s="28"/>
      <c r="I108" s="28"/>
      <c r="J108" s="28"/>
      <c r="K108" s="28"/>
      <c r="L108"/>
    </row>
    <row r="109" spans="1:12" ht="15" x14ac:dyDescent="0.25">
      <c r="A109"/>
      <c r="B109"/>
      <c r="C109"/>
      <c r="D109"/>
      <c r="E109"/>
      <c r="F109"/>
      <c r="G109"/>
      <c r="H109" s="28"/>
      <c r="I109" s="28"/>
      <c r="J109" s="28"/>
      <c r="K109" s="28"/>
      <c r="L109"/>
    </row>
    <row r="110" spans="1:12" ht="15" x14ac:dyDescent="0.25">
      <c r="A110"/>
      <c r="B110"/>
      <c r="C110"/>
      <c r="D110"/>
      <c r="E110"/>
      <c r="F110"/>
      <c r="G110"/>
      <c r="H110" s="28"/>
      <c r="I110" s="28"/>
      <c r="J110" s="28"/>
      <c r="K110" s="28"/>
      <c r="L110"/>
    </row>
    <row r="111" spans="1:12" ht="15" x14ac:dyDescent="0.25">
      <c r="A111" s="168" t="s">
        <v>316</v>
      </c>
      <c r="B111" s="260"/>
      <c r="C111" s="260"/>
      <c r="D111" s="272" t="s">
        <v>345</v>
      </c>
      <c r="E111"/>
      <c r="F111"/>
      <c r="G111"/>
      <c r="H111" s="288" t="s">
        <v>371</v>
      </c>
      <c r="I111" s="28"/>
      <c r="J111" s="28"/>
      <c r="K111" s="28"/>
      <c r="L111"/>
    </row>
    <row r="112" spans="1:12" ht="15" x14ac:dyDescent="0.25">
      <c r="A112" s="168" t="s">
        <v>318</v>
      </c>
      <c r="B112" s="168" t="s">
        <v>319</v>
      </c>
      <c r="C112" s="168" t="s">
        <v>322</v>
      </c>
      <c r="D112" s="273" t="s">
        <v>321</v>
      </c>
      <c r="E112"/>
      <c r="F112"/>
      <c r="G112"/>
      <c r="H112" s="289" t="s">
        <v>349</v>
      </c>
      <c r="I112" s="275" t="s">
        <v>348</v>
      </c>
      <c r="J112" s="276" t="s">
        <v>350</v>
      </c>
      <c r="K112" s="28"/>
      <c r="L112"/>
    </row>
    <row r="113" spans="1:12" ht="15" x14ac:dyDescent="0.25">
      <c r="A113" s="169">
        <v>2002</v>
      </c>
      <c r="B113" s="263">
        <v>1.3</v>
      </c>
      <c r="C113" s="264">
        <v>6.5</v>
      </c>
      <c r="D113" s="265">
        <f>$K$93+$J$93*C100+$I$93*D100+$H$93*E100</f>
        <v>0</v>
      </c>
      <c r="E113"/>
      <c r="F113"/>
      <c r="G113"/>
      <c r="H113" s="290" t="s">
        <v>321</v>
      </c>
      <c r="I113" s="291" t="s">
        <v>322</v>
      </c>
      <c r="J113" s="285"/>
      <c r="K113" s="28"/>
      <c r="L113"/>
    </row>
    <row r="114" spans="1:12" ht="15" x14ac:dyDescent="0.25">
      <c r="A114" s="169">
        <v>2003</v>
      </c>
      <c r="B114" s="266">
        <v>2.2000000000000002</v>
      </c>
      <c r="C114" s="267">
        <v>8</v>
      </c>
      <c r="D114" s="268">
        <f t="shared" ref="D114:D120" si="4">$K$93+$J$93*C101+$I$93*D101+$H$93*E101</f>
        <v>0</v>
      </c>
      <c r="E114"/>
      <c r="F114"/>
      <c r="G114"/>
      <c r="H114" s="280">
        <f t="array" ref="H114:J118">LINEST(B113:B120,C113:D120,1,1)</f>
        <v>0</v>
      </c>
      <c r="I114" s="281">
        <v>0.93573525487056308</v>
      </c>
      <c r="J114" s="282">
        <v>-5.1354683746997587</v>
      </c>
      <c r="K114" s="28"/>
      <c r="L114"/>
    </row>
    <row r="115" spans="1:12" ht="15" x14ac:dyDescent="0.25">
      <c r="A115" s="169">
        <v>2004</v>
      </c>
      <c r="B115" s="266">
        <v>2.4</v>
      </c>
      <c r="C115" s="267">
        <v>8.4</v>
      </c>
      <c r="D115" s="268">
        <f t="shared" si="4"/>
        <v>0</v>
      </c>
      <c r="E115"/>
      <c r="F115"/>
      <c r="G115"/>
      <c r="H115" s="283">
        <v>0</v>
      </c>
      <c r="I115" s="284">
        <v>6.6785590297739728E-2</v>
      </c>
      <c r="J115" s="285">
        <v>0.64877912874554977</v>
      </c>
      <c r="K115" s="28"/>
      <c r="L115"/>
    </row>
    <row r="116" spans="1:12" ht="15" x14ac:dyDescent="0.25">
      <c r="A116" s="169">
        <v>2005</v>
      </c>
      <c r="B116" s="266">
        <v>3.5</v>
      </c>
      <c r="C116" s="267">
        <v>9.1999999999999993</v>
      </c>
      <c r="D116" s="268">
        <f t="shared" si="4"/>
        <v>0</v>
      </c>
      <c r="E116"/>
      <c r="F116"/>
      <c r="G116"/>
      <c r="H116" s="283">
        <v>0.97535130586307373</v>
      </c>
      <c r="I116" s="284">
        <v>0.32319499312142763</v>
      </c>
      <c r="J116" s="285" t="e">
        <v>#N/A</v>
      </c>
      <c r="K116" s="28"/>
      <c r="L116"/>
    </row>
    <row r="117" spans="1:12" ht="15" x14ac:dyDescent="0.25">
      <c r="A117" s="169">
        <v>2006</v>
      </c>
      <c r="B117" s="266">
        <v>4.2</v>
      </c>
      <c r="C117" s="267">
        <v>10.5</v>
      </c>
      <c r="D117" s="268">
        <f>$K$93+$J$93*C104+$I$93*D104+$H$93*E104</f>
        <v>0</v>
      </c>
      <c r="E117"/>
      <c r="F117"/>
      <c r="G117"/>
      <c r="H117" s="283">
        <v>98.925251419495495</v>
      </c>
      <c r="I117" s="284">
        <v>5</v>
      </c>
      <c r="J117" s="285" t="e">
        <v>#N/A</v>
      </c>
      <c r="K117" s="28"/>
      <c r="L117"/>
    </row>
    <row r="118" spans="1:12" ht="15" x14ac:dyDescent="0.25">
      <c r="A118" s="169">
        <v>2007</v>
      </c>
      <c r="B118" s="266">
        <v>5.4</v>
      </c>
      <c r="C118" s="267">
        <v>11</v>
      </c>
      <c r="D118" s="268">
        <f t="shared" si="4"/>
        <v>0</v>
      </c>
      <c r="E118"/>
      <c r="F118"/>
      <c r="G118"/>
      <c r="H118" s="286">
        <v>20.666474982106205</v>
      </c>
      <c r="I118" s="287">
        <v>0.52227501789379838</v>
      </c>
      <c r="J118" s="279" t="e">
        <v>#N/A</v>
      </c>
      <c r="K118" s="28"/>
      <c r="L118"/>
    </row>
    <row r="119" spans="1:12" ht="15" x14ac:dyDescent="0.25">
      <c r="A119" s="169">
        <v>2008</v>
      </c>
      <c r="B119" s="266">
        <v>5.7</v>
      </c>
      <c r="C119" s="267">
        <v>11.6</v>
      </c>
      <c r="D119" s="268">
        <f t="shared" si="4"/>
        <v>0</v>
      </c>
      <c r="E119"/>
      <c r="F119"/>
      <c r="G119"/>
      <c r="H119"/>
      <c r="I119"/>
      <c r="J119"/>
      <c r="K119"/>
      <c r="L119"/>
    </row>
    <row r="120" spans="1:12" ht="15" x14ac:dyDescent="0.25">
      <c r="A120" s="169">
        <v>2009</v>
      </c>
      <c r="B120" s="269">
        <v>5.8</v>
      </c>
      <c r="C120" s="270">
        <v>11.3</v>
      </c>
      <c r="D120" s="271">
        <f t="shared" si="4"/>
        <v>0</v>
      </c>
      <c r="E120"/>
      <c r="F120"/>
      <c r="G120"/>
      <c r="H120" s="24" t="s">
        <v>376</v>
      </c>
      <c r="I120"/>
      <c r="J120"/>
      <c r="K120"/>
      <c r="L120"/>
    </row>
    <row r="121" spans="1:12" ht="15" x14ac:dyDescent="0.25">
      <c r="A121"/>
      <c r="B121"/>
      <c r="C121"/>
      <c r="D121"/>
      <c r="E121"/>
      <c r="F121"/>
      <c r="G121"/>
      <c r="H121" s="24" t="s">
        <v>377</v>
      </c>
      <c r="I121"/>
      <c r="J121"/>
      <c r="K121"/>
      <c r="L121"/>
    </row>
    <row r="122" spans="1:12" ht="15" x14ac:dyDescent="0.25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ht="15" x14ac:dyDescent="0.25">
      <c r="A123"/>
      <c r="B123"/>
      <c r="C123"/>
      <c r="D123"/>
      <c r="E123"/>
      <c r="F123"/>
      <c r="G123"/>
      <c r="H123" s="24" t="s">
        <v>378</v>
      </c>
      <c r="I123"/>
      <c r="J123"/>
      <c r="K123"/>
      <c r="L123"/>
    </row>
    <row r="124" spans="1:12" ht="15" x14ac:dyDescent="0.25">
      <c r="A124"/>
      <c r="B124"/>
      <c r="C124"/>
      <c r="D124"/>
      <c r="E124"/>
      <c r="F124"/>
      <c r="G124"/>
      <c r="H124"/>
      <c r="I124"/>
      <c r="J124"/>
      <c r="K124"/>
      <c r="L124"/>
    </row>
  </sheetData>
  <conditionalFormatting sqref="J25:M35 O28 L65:O75 L77 M82:O86">
    <cfRule type="cellIs" dxfId="0" priority="1" stopIfTrue="1" operator="equal">
      <formula>0</formula>
    </cfRule>
  </conditionalFormatting>
  <pageMargins left="0.75" right="0.75" top="1" bottom="1" header="0.4921259845" footer="0.492125984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5121" r:id="rId4">
          <objectPr defaultSize="0" autoPict="0" r:id="rId5">
            <anchor moveWithCells="1" sizeWithCells="1">
              <from>
                <xdr:col>0</xdr:col>
                <xdr:colOff>600075</xdr:colOff>
                <xdr:row>4</xdr:row>
                <xdr:rowOff>152400</xdr:rowOff>
              </from>
              <to>
                <xdr:col>5</xdr:col>
                <xdr:colOff>209550</xdr:colOff>
                <xdr:row>9</xdr:row>
                <xdr:rowOff>152400</xdr:rowOff>
              </to>
            </anchor>
          </objectPr>
        </oleObject>
      </mc:Choice>
      <mc:Fallback>
        <oleObject progId="Equation.3" shapeId="5121" r:id="rId4"/>
      </mc:Fallback>
    </mc:AlternateContent>
    <mc:AlternateContent xmlns:mc="http://schemas.openxmlformats.org/markup-compatibility/2006">
      <mc:Choice Requires="x14">
        <oleObject progId="Equation.3" shapeId="5122" r:id="rId6">
          <objectPr defaultSize="0" r:id="rId5">
            <anchor moveWithCells="1" sizeWithCells="1">
              <from>
                <xdr:col>10</xdr:col>
                <xdr:colOff>600075</xdr:colOff>
                <xdr:row>51</xdr:row>
                <xdr:rowOff>152400</xdr:rowOff>
              </from>
              <to>
                <xdr:col>15</xdr:col>
                <xdr:colOff>209550</xdr:colOff>
                <xdr:row>56</xdr:row>
                <xdr:rowOff>133350</xdr:rowOff>
              </to>
            </anchor>
          </objectPr>
        </oleObject>
      </mc:Choice>
      <mc:Fallback>
        <oleObject progId="Equation.3" shapeId="5122" r:id="rId6"/>
      </mc:Fallback>
    </mc:AlternateContent>
    <mc:AlternateContent xmlns:mc="http://schemas.openxmlformats.org/markup-compatibility/2006">
      <mc:Choice Requires="x14">
        <oleObject progId="Equation.3" shapeId="5125" r:id="rId7">
          <objectPr defaultSize="0" r:id="rId8">
            <anchor moveWithCells="1" sizeWithCells="1">
              <from>
                <xdr:col>1</xdr:col>
                <xdr:colOff>581025</xdr:colOff>
                <xdr:row>87</xdr:row>
                <xdr:rowOff>76200</xdr:rowOff>
              </from>
              <to>
                <xdr:col>6</xdr:col>
                <xdr:colOff>180975</xdr:colOff>
                <xdr:row>92</xdr:row>
                <xdr:rowOff>76200</xdr:rowOff>
              </to>
            </anchor>
          </objectPr>
        </oleObject>
      </mc:Choice>
      <mc:Fallback>
        <oleObject progId="Equation.3" shapeId="5125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9</vt:i4>
      </vt:variant>
    </vt:vector>
  </HeadingPairs>
  <TitlesOfParts>
    <vt:vector size="9" baseType="lpstr">
      <vt:lpstr>cviko 1</vt:lpstr>
      <vt:lpstr>cviko 2 a 3</vt:lpstr>
      <vt:lpstr>cviko 4</vt:lpstr>
      <vt:lpstr>cviko 5</vt:lpstr>
      <vt:lpstr>cviko 6</vt:lpstr>
      <vt:lpstr>cviko 7 a</vt:lpstr>
      <vt:lpstr>cviko 7 b</vt:lpstr>
      <vt:lpstr>cviko8</vt:lpstr>
      <vt:lpstr>Cviko 9-11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StudentKMnT</dc:creator>
  <cp:lastModifiedBy>Martin</cp:lastModifiedBy>
  <dcterms:created xsi:type="dcterms:W3CDTF">2011-10-03T10:42:30Z</dcterms:created>
  <dcterms:modified xsi:type="dcterms:W3CDTF">2013-11-19T17:00:17Z</dcterms:modified>
</cp:coreProperties>
</file>