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 projects\Real_estimate_estimator\"/>
    </mc:Choice>
  </mc:AlternateContent>
  <xr:revisionPtr revIDLastSave="0" documentId="13_ncr:1_{6FCB2C45-1ECB-4E1C-8591-DBAB8E73062E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input_2024" sheetId="14" r:id="rId1"/>
  </sheets>
  <definedNames>
    <definedName name="_xlnm._FilterDatabase" localSheetId="0" hidden="1">input_2024!$A$1:$U$861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4" l="1"/>
  <c r="S2" i="14"/>
  <c r="P3" i="14"/>
  <c r="S3" i="14"/>
  <c r="P4" i="14"/>
  <c r="S4" i="14"/>
  <c r="P5" i="14"/>
  <c r="S5" i="14"/>
  <c r="P6" i="14"/>
  <c r="S6" i="14"/>
  <c r="G7" i="14"/>
  <c r="S7" i="14" s="1"/>
  <c r="H7" i="14"/>
  <c r="P7" i="14"/>
  <c r="P8" i="14"/>
  <c r="S8" i="14"/>
  <c r="P9" i="14"/>
  <c r="S9" i="14"/>
  <c r="P10" i="14"/>
  <c r="S10" i="14"/>
  <c r="P11" i="14"/>
  <c r="S11" i="14"/>
  <c r="P12" i="14"/>
  <c r="S12" i="14"/>
  <c r="P13" i="14"/>
  <c r="S13" i="14"/>
  <c r="P14" i="14"/>
  <c r="S14" i="14"/>
  <c r="P15" i="14"/>
  <c r="S15" i="14"/>
  <c r="G16" i="14"/>
  <c r="S16" i="14" s="1"/>
  <c r="H16" i="14"/>
  <c r="P16" i="14"/>
  <c r="P17" i="14"/>
  <c r="S17" i="14"/>
  <c r="P18" i="14"/>
  <c r="S18" i="14"/>
  <c r="P19" i="14"/>
  <c r="S19" i="14"/>
  <c r="P20" i="14"/>
  <c r="S20" i="14"/>
  <c r="P21" i="14"/>
  <c r="S21" i="14"/>
  <c r="P22" i="14"/>
  <c r="S22" i="14"/>
  <c r="P23" i="14"/>
  <c r="S23" i="14"/>
  <c r="P24" i="14"/>
  <c r="S24" i="14"/>
  <c r="P25" i="14"/>
  <c r="S25" i="14"/>
  <c r="P26" i="14"/>
  <c r="S26" i="14"/>
  <c r="P27" i="14"/>
  <c r="S27" i="14"/>
  <c r="G28" i="14"/>
  <c r="S28" i="14" s="1"/>
  <c r="H28" i="14"/>
  <c r="P28" i="14"/>
  <c r="P29" i="14"/>
  <c r="S29" i="14"/>
  <c r="P30" i="14"/>
  <c r="S30" i="14"/>
  <c r="P31" i="14"/>
  <c r="S31" i="14"/>
  <c r="P32" i="14"/>
  <c r="S32" i="14"/>
  <c r="P33" i="14"/>
  <c r="S33" i="14"/>
  <c r="P34" i="14"/>
  <c r="S34" i="14"/>
  <c r="P35" i="14"/>
  <c r="S35" i="14"/>
  <c r="P36" i="14"/>
  <c r="S36" i="14"/>
  <c r="P37" i="14"/>
  <c r="S37" i="14"/>
  <c r="P38" i="14"/>
  <c r="S38" i="14"/>
  <c r="P39" i="14"/>
  <c r="S39" i="14"/>
  <c r="P40" i="14"/>
  <c r="S40" i="14"/>
  <c r="P41" i="14"/>
  <c r="S41" i="14"/>
  <c r="P42" i="14"/>
  <c r="S42" i="14"/>
  <c r="P43" i="14"/>
  <c r="S43" i="14"/>
  <c r="P44" i="14"/>
  <c r="S44" i="14"/>
  <c r="P45" i="14"/>
  <c r="S45" i="14"/>
  <c r="P46" i="14"/>
  <c r="S46" i="14"/>
  <c r="P47" i="14"/>
  <c r="S47" i="14"/>
  <c r="P48" i="14"/>
  <c r="S48" i="14"/>
  <c r="P49" i="14"/>
  <c r="S49" i="14"/>
  <c r="R50" i="14"/>
  <c r="S50" i="14"/>
  <c r="G51" i="14"/>
  <c r="S51" i="14" s="1"/>
  <c r="H51" i="14"/>
  <c r="P51" i="14"/>
  <c r="P52" i="14"/>
  <c r="S52" i="14"/>
  <c r="P53" i="14"/>
  <c r="S53" i="14"/>
  <c r="P54" i="14"/>
  <c r="S54" i="14"/>
  <c r="P55" i="14"/>
  <c r="S55" i="14"/>
  <c r="P56" i="14"/>
  <c r="S56" i="14"/>
  <c r="P57" i="14"/>
  <c r="S57" i="14"/>
  <c r="P58" i="14"/>
  <c r="S58" i="14"/>
  <c r="P59" i="14"/>
  <c r="S59" i="14"/>
  <c r="P60" i="14"/>
  <c r="S60" i="14"/>
  <c r="P61" i="14"/>
  <c r="S61" i="14"/>
  <c r="P62" i="14"/>
  <c r="S62" i="14"/>
  <c r="G63" i="14"/>
  <c r="S63" i="14" s="1"/>
  <c r="H63" i="14"/>
  <c r="P63" i="14"/>
  <c r="P64" i="14"/>
  <c r="S64" i="14"/>
  <c r="P65" i="14"/>
  <c r="S65" i="14"/>
  <c r="P66" i="14"/>
  <c r="S66" i="14"/>
  <c r="P67" i="14"/>
  <c r="S67" i="14"/>
  <c r="P68" i="14"/>
  <c r="S68" i="14"/>
  <c r="P69" i="14"/>
  <c r="S69" i="14"/>
  <c r="P70" i="14"/>
  <c r="S70" i="14"/>
  <c r="P71" i="14"/>
  <c r="S71" i="14"/>
  <c r="P72" i="14"/>
  <c r="S72" i="14"/>
  <c r="P73" i="14"/>
  <c r="S73" i="14"/>
  <c r="P74" i="14"/>
  <c r="S74" i="14"/>
  <c r="P75" i="14"/>
  <c r="S75" i="14"/>
  <c r="P76" i="14"/>
  <c r="S76" i="14"/>
  <c r="P77" i="14"/>
  <c r="S77" i="14"/>
  <c r="P78" i="14"/>
  <c r="S78" i="14"/>
  <c r="P79" i="14"/>
  <c r="S79" i="14"/>
  <c r="P80" i="14"/>
  <c r="S80" i="14"/>
  <c r="P81" i="14"/>
  <c r="S81" i="14"/>
  <c r="P82" i="14"/>
  <c r="S82" i="14"/>
  <c r="P83" i="14"/>
  <c r="S83" i="14"/>
  <c r="P84" i="14"/>
  <c r="S84" i="14"/>
  <c r="P85" i="14"/>
  <c r="S85" i="14"/>
  <c r="P86" i="14"/>
  <c r="S86" i="14"/>
  <c r="P87" i="14"/>
  <c r="S87" i="14"/>
  <c r="P88" i="14"/>
  <c r="S88" i="14"/>
  <c r="P89" i="14"/>
  <c r="S89" i="14"/>
  <c r="P90" i="14"/>
  <c r="S90" i="14"/>
  <c r="P91" i="14"/>
  <c r="S91" i="14"/>
  <c r="P92" i="14"/>
  <c r="S92" i="14"/>
  <c r="P93" i="14"/>
  <c r="S93" i="14"/>
  <c r="P94" i="14"/>
  <c r="S94" i="14"/>
  <c r="P95" i="14"/>
  <c r="S95" i="14"/>
  <c r="P96" i="14"/>
  <c r="S96" i="14"/>
  <c r="P97" i="14"/>
  <c r="S97" i="14"/>
  <c r="G98" i="14"/>
  <c r="S98" i="14" s="1"/>
  <c r="P98" i="14"/>
  <c r="P99" i="14"/>
  <c r="S99" i="14"/>
  <c r="P100" i="14"/>
  <c r="S100" i="14"/>
  <c r="G101" i="14"/>
  <c r="S101" i="14" s="1"/>
  <c r="P101" i="14"/>
  <c r="G102" i="14"/>
  <c r="S102" i="14" s="1"/>
  <c r="P102" i="14"/>
  <c r="P103" i="14"/>
  <c r="S103" i="14"/>
  <c r="P104" i="14"/>
  <c r="S104" i="14"/>
  <c r="P105" i="14"/>
  <c r="S105" i="14"/>
  <c r="P106" i="14"/>
  <c r="S106" i="14"/>
  <c r="G107" i="14"/>
  <c r="S107" i="14" s="1"/>
  <c r="P107" i="14"/>
  <c r="G108" i="14"/>
  <c r="S108" i="14" s="1"/>
  <c r="P108" i="14"/>
  <c r="P109" i="14"/>
  <c r="S109" i="14"/>
  <c r="P110" i="14"/>
  <c r="S110" i="14"/>
  <c r="P111" i="14"/>
  <c r="S111" i="14"/>
  <c r="P112" i="14"/>
  <c r="S112" i="14"/>
  <c r="P113" i="14"/>
  <c r="S113" i="14"/>
  <c r="P114" i="14"/>
  <c r="S114" i="14"/>
  <c r="P115" i="14"/>
  <c r="S115" i="14"/>
  <c r="G116" i="14"/>
  <c r="S116" i="14" s="1"/>
  <c r="P116" i="14"/>
  <c r="P117" i="14"/>
  <c r="S117" i="14"/>
  <c r="P118" i="14"/>
  <c r="S118" i="14"/>
  <c r="P119" i="14"/>
  <c r="S119" i="14"/>
  <c r="G120" i="14"/>
  <c r="S120" i="14" s="1"/>
  <c r="P120" i="14"/>
  <c r="P121" i="14"/>
  <c r="S121" i="14"/>
  <c r="P122" i="14"/>
  <c r="S122" i="14"/>
  <c r="P123" i="14"/>
  <c r="S123" i="14"/>
  <c r="P124" i="14"/>
  <c r="S124" i="14"/>
  <c r="P125" i="14"/>
  <c r="S125" i="14"/>
  <c r="P126" i="14"/>
  <c r="S126" i="14"/>
  <c r="P127" i="14"/>
  <c r="S127" i="14"/>
  <c r="P128" i="14"/>
  <c r="S128" i="14"/>
  <c r="P129" i="14"/>
  <c r="S129" i="14"/>
  <c r="P130" i="14"/>
  <c r="S130" i="14"/>
  <c r="P131" i="14"/>
  <c r="S131" i="14"/>
  <c r="P132" i="14"/>
  <c r="S132" i="14"/>
  <c r="P133" i="14"/>
  <c r="S133" i="14"/>
  <c r="P134" i="14"/>
  <c r="S134" i="14"/>
  <c r="P135" i="14"/>
  <c r="S135" i="14"/>
  <c r="P136" i="14"/>
  <c r="S136" i="14"/>
  <c r="P137" i="14"/>
  <c r="S137" i="14"/>
  <c r="P138" i="14"/>
  <c r="S138" i="14"/>
  <c r="G139" i="14"/>
  <c r="S139" i="14" s="1"/>
  <c r="P139" i="14"/>
  <c r="P140" i="14"/>
  <c r="S140" i="14"/>
  <c r="P141" i="14"/>
  <c r="S141" i="14"/>
  <c r="P142" i="14"/>
  <c r="S142" i="14"/>
  <c r="G143" i="14"/>
  <c r="S143" i="14" s="1"/>
  <c r="P143" i="14"/>
  <c r="P144" i="14"/>
  <c r="S144" i="14"/>
  <c r="G145" i="14"/>
  <c r="S145" i="14" s="1"/>
  <c r="P145" i="14"/>
  <c r="S146" i="14"/>
  <c r="T146" i="14" s="1"/>
  <c r="U146" i="14" s="1"/>
  <c r="P147" i="14"/>
  <c r="S147" i="14"/>
  <c r="P148" i="14"/>
  <c r="S148" i="14"/>
  <c r="G149" i="14"/>
  <c r="S149" i="14" s="1"/>
  <c r="P149" i="14"/>
  <c r="P150" i="14"/>
  <c r="S150" i="14"/>
  <c r="P151" i="14"/>
  <c r="S151" i="14"/>
  <c r="G152" i="14"/>
  <c r="S152" i="14" s="1"/>
  <c r="P152" i="14"/>
  <c r="P153" i="14"/>
  <c r="S153" i="14"/>
  <c r="G154" i="14"/>
  <c r="S154" i="14" s="1"/>
  <c r="H154" i="14"/>
  <c r="P154" i="14"/>
  <c r="G155" i="14"/>
  <c r="S155" i="14" s="1"/>
  <c r="P155" i="14"/>
  <c r="P156" i="14"/>
  <c r="S156" i="14"/>
  <c r="P157" i="14"/>
  <c r="S157" i="14"/>
  <c r="P158" i="14"/>
  <c r="S158" i="14"/>
  <c r="S159" i="14"/>
  <c r="T159" i="14" s="1"/>
  <c r="U159" i="14" s="1"/>
  <c r="P160" i="14"/>
  <c r="S160" i="14"/>
  <c r="P161" i="14"/>
  <c r="S161" i="14"/>
  <c r="P162" i="14"/>
  <c r="S162" i="14"/>
  <c r="P163" i="14"/>
  <c r="S163" i="14"/>
  <c r="P164" i="14"/>
  <c r="S164" i="14"/>
  <c r="P165" i="14"/>
  <c r="S165" i="14"/>
  <c r="P166" i="14"/>
  <c r="S166" i="14"/>
  <c r="P167" i="14"/>
  <c r="S167" i="14"/>
  <c r="P168" i="14"/>
  <c r="S168" i="14"/>
  <c r="P169" i="14"/>
  <c r="S169" i="14"/>
  <c r="P170" i="14"/>
  <c r="S170" i="14"/>
  <c r="P171" i="14"/>
  <c r="S171" i="14"/>
  <c r="P172" i="14"/>
  <c r="S172" i="14"/>
  <c r="P173" i="14"/>
  <c r="S173" i="14"/>
  <c r="P174" i="14"/>
  <c r="S174" i="14"/>
  <c r="P175" i="14"/>
  <c r="S175" i="14"/>
  <c r="G176" i="14"/>
  <c r="S176" i="14" s="1"/>
  <c r="H176" i="14"/>
  <c r="P176" i="14"/>
  <c r="P177" i="14"/>
  <c r="S177" i="14"/>
  <c r="G178" i="14"/>
  <c r="S178" i="14" s="1"/>
  <c r="P178" i="14"/>
  <c r="P179" i="14"/>
  <c r="S179" i="14"/>
  <c r="P180" i="14"/>
  <c r="S180" i="14"/>
  <c r="P181" i="14"/>
  <c r="S181" i="14"/>
  <c r="P182" i="14"/>
  <c r="S182" i="14"/>
  <c r="P183" i="14"/>
  <c r="S183" i="14"/>
  <c r="P184" i="14"/>
  <c r="S184" i="14"/>
  <c r="P185" i="14"/>
  <c r="S185" i="14"/>
  <c r="P186" i="14"/>
  <c r="S186" i="14"/>
  <c r="P187" i="14"/>
  <c r="S187" i="14"/>
  <c r="P188" i="14"/>
  <c r="S188" i="14"/>
  <c r="P189" i="14"/>
  <c r="S189" i="14"/>
  <c r="P190" i="14"/>
  <c r="S190" i="14"/>
  <c r="G191" i="14"/>
  <c r="S191" i="14" s="1"/>
  <c r="P191" i="14"/>
  <c r="P192" i="14"/>
  <c r="S192" i="14"/>
  <c r="P193" i="14"/>
  <c r="S193" i="14"/>
  <c r="P194" i="14"/>
  <c r="S194" i="14"/>
  <c r="P195" i="14"/>
  <c r="S195" i="14"/>
  <c r="P196" i="14"/>
  <c r="S196" i="14"/>
  <c r="P197" i="14"/>
  <c r="S197" i="14"/>
  <c r="P198" i="14"/>
  <c r="S198" i="14"/>
  <c r="P199" i="14"/>
  <c r="S199" i="14"/>
  <c r="P200" i="14"/>
  <c r="S200" i="14"/>
  <c r="P201" i="14"/>
  <c r="S201" i="14"/>
  <c r="P202" i="14"/>
  <c r="S202" i="14"/>
  <c r="P203" i="14"/>
  <c r="S203" i="14"/>
  <c r="P204" i="14"/>
  <c r="S204" i="14"/>
  <c r="P205" i="14"/>
  <c r="S205" i="14"/>
  <c r="P206" i="14"/>
  <c r="S206" i="14"/>
  <c r="P207" i="14"/>
  <c r="S207" i="14"/>
  <c r="P208" i="14"/>
  <c r="S208" i="14"/>
  <c r="P209" i="14"/>
  <c r="S209" i="14"/>
  <c r="P210" i="14"/>
  <c r="S210" i="14"/>
  <c r="P211" i="14"/>
  <c r="S211" i="14"/>
  <c r="P212" i="14"/>
  <c r="S212" i="14"/>
  <c r="P213" i="14"/>
  <c r="S213" i="14"/>
  <c r="G214" i="14"/>
  <c r="S214" i="14" s="1"/>
  <c r="P214" i="14"/>
  <c r="P215" i="14"/>
  <c r="S215" i="14"/>
  <c r="P216" i="14"/>
  <c r="S216" i="14"/>
  <c r="G217" i="14"/>
  <c r="S217" i="14" s="1"/>
  <c r="P217" i="14"/>
  <c r="P218" i="14"/>
  <c r="S218" i="14"/>
  <c r="P219" i="14"/>
  <c r="S219" i="14"/>
  <c r="P220" i="14"/>
  <c r="S220" i="14"/>
  <c r="P221" i="14"/>
  <c r="S221" i="14"/>
  <c r="P222" i="14"/>
  <c r="S222" i="14"/>
  <c r="P223" i="14"/>
  <c r="S223" i="14"/>
  <c r="P224" i="14"/>
  <c r="S224" i="14"/>
  <c r="P225" i="14"/>
  <c r="S225" i="14"/>
  <c r="P226" i="14"/>
  <c r="S226" i="14"/>
  <c r="P227" i="14"/>
  <c r="S227" i="14"/>
  <c r="P228" i="14"/>
  <c r="S228" i="14"/>
  <c r="P229" i="14"/>
  <c r="S229" i="14"/>
  <c r="P230" i="14"/>
  <c r="S230" i="14"/>
  <c r="P231" i="14"/>
  <c r="S231" i="14"/>
  <c r="P232" i="14"/>
  <c r="S232" i="14"/>
  <c r="P233" i="14"/>
  <c r="S233" i="14"/>
  <c r="P234" i="14"/>
  <c r="S234" i="14"/>
  <c r="P235" i="14"/>
  <c r="S235" i="14"/>
  <c r="P236" i="14"/>
  <c r="S236" i="14"/>
  <c r="P237" i="14"/>
  <c r="S237" i="14"/>
  <c r="P238" i="14"/>
  <c r="S238" i="14"/>
  <c r="P239" i="14"/>
  <c r="S239" i="14"/>
  <c r="P240" i="14"/>
  <c r="S240" i="14"/>
  <c r="P241" i="14"/>
  <c r="S241" i="14"/>
  <c r="P242" i="14"/>
  <c r="S242" i="14"/>
  <c r="P243" i="14"/>
  <c r="S243" i="14"/>
  <c r="P244" i="14"/>
  <c r="S244" i="14"/>
  <c r="P245" i="14"/>
  <c r="S245" i="14"/>
  <c r="P246" i="14"/>
  <c r="S246" i="14"/>
  <c r="P247" i="14"/>
  <c r="S247" i="14"/>
  <c r="G248" i="14"/>
  <c r="S248" i="14" s="1"/>
  <c r="P248" i="14"/>
  <c r="P249" i="14"/>
  <c r="S249" i="14"/>
  <c r="P250" i="14"/>
  <c r="S250" i="14"/>
  <c r="P251" i="14"/>
  <c r="S251" i="14"/>
  <c r="P252" i="14"/>
  <c r="S252" i="14"/>
  <c r="G253" i="14"/>
  <c r="S253" i="14" s="1"/>
  <c r="P253" i="14"/>
  <c r="P254" i="14"/>
  <c r="S254" i="14"/>
  <c r="P255" i="14"/>
  <c r="S255" i="14"/>
  <c r="P256" i="14"/>
  <c r="S256" i="14"/>
  <c r="P257" i="14"/>
  <c r="S257" i="14"/>
  <c r="P258" i="14"/>
  <c r="S258" i="14"/>
  <c r="P259" i="14"/>
  <c r="S259" i="14"/>
  <c r="G260" i="14"/>
  <c r="S260" i="14" s="1"/>
  <c r="P260" i="14"/>
  <c r="P261" i="14"/>
  <c r="S261" i="14"/>
  <c r="G262" i="14"/>
  <c r="S262" i="14" s="1"/>
  <c r="P262" i="14"/>
  <c r="P263" i="14"/>
  <c r="S263" i="14"/>
  <c r="G264" i="14"/>
  <c r="S264" i="14" s="1"/>
  <c r="P264" i="14"/>
  <c r="P265" i="14"/>
  <c r="S265" i="14"/>
  <c r="G266" i="14"/>
  <c r="S266" i="14" s="1"/>
  <c r="P266" i="14"/>
  <c r="G267" i="14"/>
  <c r="S267" i="14" s="1"/>
  <c r="P267" i="14"/>
  <c r="G268" i="14"/>
  <c r="S268" i="14" s="1"/>
  <c r="P268" i="14"/>
  <c r="P269" i="14"/>
  <c r="S269" i="14"/>
  <c r="G270" i="14"/>
  <c r="S270" i="14" s="1"/>
  <c r="P270" i="14"/>
  <c r="G271" i="14"/>
  <c r="S271" i="14" s="1"/>
  <c r="P271" i="14"/>
  <c r="G272" i="14"/>
  <c r="S272" i="14" s="1"/>
  <c r="P272" i="14"/>
  <c r="G273" i="14"/>
  <c r="S273" i="14" s="1"/>
  <c r="P273" i="14"/>
  <c r="G274" i="14"/>
  <c r="S274" i="14" s="1"/>
  <c r="P274" i="14"/>
  <c r="G275" i="14"/>
  <c r="S275" i="14" s="1"/>
  <c r="P275" i="14"/>
  <c r="G276" i="14"/>
  <c r="S276" i="14" s="1"/>
  <c r="P276" i="14"/>
  <c r="G277" i="14"/>
  <c r="S277" i="14" s="1"/>
  <c r="P277" i="14"/>
  <c r="G278" i="14"/>
  <c r="S278" i="14" s="1"/>
  <c r="P278" i="14"/>
  <c r="P279" i="14"/>
  <c r="S279" i="14"/>
  <c r="G280" i="14"/>
  <c r="S280" i="14" s="1"/>
  <c r="P280" i="14"/>
  <c r="P281" i="14"/>
  <c r="S281" i="14"/>
  <c r="P282" i="14"/>
  <c r="S282" i="14"/>
  <c r="P283" i="14"/>
  <c r="S283" i="14"/>
  <c r="G284" i="14"/>
  <c r="S284" i="14" s="1"/>
  <c r="P284" i="14"/>
  <c r="P285" i="14"/>
  <c r="S285" i="14"/>
  <c r="P286" i="14"/>
  <c r="S286" i="14"/>
  <c r="P287" i="14"/>
  <c r="S287" i="14"/>
  <c r="P288" i="14"/>
  <c r="S288" i="14"/>
  <c r="P289" i="14"/>
  <c r="S289" i="14"/>
  <c r="S290" i="14"/>
  <c r="T290" i="14" s="1"/>
  <c r="U290" i="14" s="1"/>
  <c r="P291" i="14"/>
  <c r="S291" i="14"/>
  <c r="P292" i="14"/>
  <c r="S292" i="14"/>
  <c r="P293" i="14"/>
  <c r="S293" i="14"/>
  <c r="P294" i="14"/>
  <c r="S294" i="14"/>
  <c r="P295" i="14"/>
  <c r="S295" i="14"/>
  <c r="P296" i="14"/>
  <c r="S296" i="14"/>
  <c r="P297" i="14"/>
  <c r="S297" i="14"/>
  <c r="P298" i="14"/>
  <c r="S298" i="14"/>
  <c r="P299" i="14"/>
  <c r="S299" i="14"/>
  <c r="P300" i="14"/>
  <c r="S300" i="14"/>
  <c r="P301" i="14"/>
  <c r="S301" i="14"/>
  <c r="P302" i="14"/>
  <c r="S302" i="14"/>
  <c r="G303" i="14"/>
  <c r="S303" i="14" s="1"/>
  <c r="P303" i="14"/>
  <c r="P304" i="14"/>
  <c r="S304" i="14"/>
  <c r="P305" i="14"/>
  <c r="S305" i="14"/>
  <c r="G306" i="14"/>
  <c r="S306" i="14" s="1"/>
  <c r="P306" i="14"/>
  <c r="P307" i="14"/>
  <c r="S307" i="14"/>
  <c r="P308" i="14"/>
  <c r="S308" i="14"/>
  <c r="G309" i="14"/>
  <c r="S309" i="14" s="1"/>
  <c r="P309" i="14"/>
  <c r="P310" i="14"/>
  <c r="S310" i="14"/>
  <c r="P311" i="14"/>
  <c r="S311" i="14"/>
  <c r="G312" i="14"/>
  <c r="S312" i="14" s="1"/>
  <c r="P312" i="14"/>
  <c r="P313" i="14"/>
  <c r="S313" i="14"/>
  <c r="P314" i="14"/>
  <c r="S314" i="14"/>
  <c r="G315" i="14"/>
  <c r="S315" i="14" s="1"/>
  <c r="P315" i="14"/>
  <c r="P316" i="14"/>
  <c r="S316" i="14"/>
  <c r="G317" i="14"/>
  <c r="S317" i="14" s="1"/>
  <c r="P317" i="14"/>
  <c r="P318" i="14"/>
  <c r="S318" i="14"/>
  <c r="G319" i="14"/>
  <c r="S319" i="14" s="1"/>
  <c r="P319" i="14"/>
  <c r="P320" i="14"/>
  <c r="S320" i="14"/>
  <c r="P321" i="14"/>
  <c r="S321" i="14"/>
  <c r="P322" i="14"/>
  <c r="S322" i="14"/>
  <c r="G323" i="14"/>
  <c r="S323" i="14" s="1"/>
  <c r="P323" i="14"/>
  <c r="G324" i="14"/>
  <c r="S324" i="14" s="1"/>
  <c r="P324" i="14"/>
  <c r="G325" i="14"/>
  <c r="S325" i="14" s="1"/>
  <c r="P325" i="14"/>
  <c r="G326" i="14"/>
  <c r="S326" i="14" s="1"/>
  <c r="T326" i="14" s="1"/>
  <c r="U326" i="14" s="1"/>
  <c r="G327" i="14"/>
  <c r="S327" i="14" s="1"/>
  <c r="P327" i="14"/>
  <c r="G328" i="14"/>
  <c r="S328" i="14" s="1"/>
  <c r="P328" i="14"/>
  <c r="G329" i="14"/>
  <c r="S329" i="14" s="1"/>
  <c r="P329" i="14"/>
  <c r="G330" i="14"/>
  <c r="S330" i="14" s="1"/>
  <c r="P330" i="14"/>
  <c r="P331" i="14"/>
  <c r="S331" i="14"/>
  <c r="P332" i="14"/>
  <c r="S332" i="14"/>
  <c r="P333" i="14"/>
  <c r="S333" i="14"/>
  <c r="P334" i="14"/>
  <c r="S334" i="14"/>
  <c r="P335" i="14"/>
  <c r="S335" i="14"/>
  <c r="P336" i="14"/>
  <c r="S336" i="14"/>
  <c r="P337" i="14"/>
  <c r="S337" i="14"/>
  <c r="P338" i="14"/>
  <c r="S338" i="14"/>
  <c r="G339" i="14"/>
  <c r="S339" i="14" s="1"/>
  <c r="P339" i="14"/>
  <c r="P340" i="14"/>
  <c r="S340" i="14"/>
  <c r="G341" i="14"/>
  <c r="S341" i="14" s="1"/>
  <c r="P341" i="14"/>
  <c r="P342" i="14"/>
  <c r="S342" i="14"/>
  <c r="G343" i="14"/>
  <c r="S343" i="14" s="1"/>
  <c r="P343" i="14"/>
  <c r="P344" i="14"/>
  <c r="S344" i="14"/>
  <c r="P345" i="14"/>
  <c r="S345" i="14"/>
  <c r="G346" i="14"/>
  <c r="S346" i="14" s="1"/>
  <c r="P346" i="14"/>
  <c r="P347" i="14"/>
  <c r="S347" i="14"/>
  <c r="G348" i="14"/>
  <c r="S348" i="14" s="1"/>
  <c r="P348" i="14"/>
  <c r="G349" i="14"/>
  <c r="S349" i="14" s="1"/>
  <c r="P349" i="14"/>
  <c r="G350" i="14"/>
  <c r="S350" i="14" s="1"/>
  <c r="P350" i="14"/>
  <c r="G351" i="14"/>
  <c r="S351" i="14" s="1"/>
  <c r="P351" i="14"/>
  <c r="P352" i="14"/>
  <c r="S352" i="14"/>
  <c r="P353" i="14"/>
  <c r="S353" i="14"/>
  <c r="G354" i="14"/>
  <c r="S354" i="14" s="1"/>
  <c r="P354" i="14"/>
  <c r="G355" i="14"/>
  <c r="S355" i="14" s="1"/>
  <c r="P355" i="14"/>
  <c r="G356" i="14"/>
  <c r="S356" i="14" s="1"/>
  <c r="P356" i="14"/>
  <c r="P357" i="14"/>
  <c r="S357" i="14"/>
  <c r="G358" i="14"/>
  <c r="S358" i="14" s="1"/>
  <c r="P358" i="14"/>
  <c r="G359" i="14"/>
  <c r="S359" i="14" s="1"/>
  <c r="P359" i="14"/>
  <c r="G360" i="14"/>
  <c r="S360" i="14" s="1"/>
  <c r="P360" i="14"/>
  <c r="P361" i="14"/>
  <c r="S361" i="14"/>
  <c r="P362" i="14"/>
  <c r="S362" i="14"/>
  <c r="P363" i="14"/>
  <c r="S363" i="14"/>
  <c r="P364" i="14"/>
  <c r="S364" i="14"/>
  <c r="P365" i="14"/>
  <c r="S365" i="14"/>
  <c r="G366" i="14"/>
  <c r="S366" i="14" s="1"/>
  <c r="H366" i="14"/>
  <c r="P366" i="14"/>
  <c r="P367" i="14"/>
  <c r="S367" i="14"/>
  <c r="P368" i="14"/>
  <c r="S368" i="14"/>
  <c r="P369" i="14"/>
  <c r="S369" i="14"/>
  <c r="P370" i="14"/>
  <c r="S370" i="14"/>
  <c r="P371" i="14"/>
  <c r="S371" i="14"/>
  <c r="P372" i="14"/>
  <c r="S372" i="14"/>
  <c r="P373" i="14"/>
  <c r="S373" i="14"/>
  <c r="P374" i="14"/>
  <c r="S374" i="14"/>
  <c r="P375" i="14"/>
  <c r="S375" i="14"/>
  <c r="P376" i="14"/>
  <c r="S376" i="14"/>
  <c r="P377" i="14"/>
  <c r="S377" i="14"/>
  <c r="P378" i="14"/>
  <c r="S378" i="14"/>
  <c r="P379" i="14"/>
  <c r="S379" i="14"/>
  <c r="P380" i="14"/>
  <c r="S380" i="14"/>
  <c r="P381" i="14"/>
  <c r="S381" i="14"/>
  <c r="P382" i="14"/>
  <c r="S382" i="14"/>
  <c r="P383" i="14"/>
  <c r="S383" i="14"/>
  <c r="P384" i="14"/>
  <c r="S384" i="14"/>
  <c r="P385" i="14"/>
  <c r="S385" i="14"/>
  <c r="P386" i="14"/>
  <c r="S386" i="14"/>
  <c r="P387" i="14"/>
  <c r="S387" i="14"/>
  <c r="P388" i="14"/>
  <c r="S388" i="14"/>
  <c r="P389" i="14"/>
  <c r="S389" i="14"/>
  <c r="P390" i="14"/>
  <c r="S390" i="14"/>
  <c r="P391" i="14"/>
  <c r="S391" i="14"/>
  <c r="P392" i="14"/>
  <c r="S392" i="14"/>
  <c r="G393" i="14"/>
  <c r="S393" i="14" s="1"/>
  <c r="P393" i="14"/>
  <c r="G394" i="14"/>
  <c r="S394" i="14" s="1"/>
  <c r="P394" i="14"/>
  <c r="P395" i="14"/>
  <c r="S395" i="14"/>
  <c r="G396" i="14"/>
  <c r="S396" i="14" s="1"/>
  <c r="P396" i="14"/>
  <c r="S397" i="14"/>
  <c r="T397" i="14" s="1"/>
  <c r="U397" i="14" s="1"/>
  <c r="S398" i="14"/>
  <c r="T398" i="14" s="1"/>
  <c r="U398" i="14" s="1"/>
  <c r="G399" i="14"/>
  <c r="S399" i="14" s="1"/>
  <c r="P399" i="14"/>
  <c r="P400" i="14"/>
  <c r="S400" i="14"/>
  <c r="G401" i="14"/>
  <c r="S401" i="14" s="1"/>
  <c r="P401" i="14"/>
  <c r="G402" i="14"/>
  <c r="S402" i="14" s="1"/>
  <c r="P402" i="14"/>
  <c r="G403" i="14"/>
  <c r="S403" i="14" s="1"/>
  <c r="P403" i="14"/>
  <c r="G404" i="14"/>
  <c r="S404" i="14" s="1"/>
  <c r="P404" i="14"/>
  <c r="G405" i="14"/>
  <c r="S405" i="14" s="1"/>
  <c r="P405" i="14"/>
  <c r="P406" i="14"/>
  <c r="S406" i="14"/>
  <c r="P407" i="14"/>
  <c r="S407" i="14"/>
  <c r="P408" i="14"/>
  <c r="S408" i="14"/>
  <c r="G409" i="14"/>
  <c r="S409" i="14" s="1"/>
  <c r="P409" i="14"/>
  <c r="S410" i="14"/>
  <c r="T410" i="14" s="1"/>
  <c r="U410" i="14" s="1"/>
  <c r="G411" i="14"/>
  <c r="S411" i="14" s="1"/>
  <c r="P411" i="14"/>
  <c r="G412" i="14"/>
  <c r="S412" i="14" s="1"/>
  <c r="P412" i="14"/>
  <c r="G413" i="14"/>
  <c r="S413" i="14" s="1"/>
  <c r="P413" i="14"/>
  <c r="P414" i="14"/>
  <c r="S414" i="14"/>
  <c r="G415" i="14"/>
  <c r="S415" i="14" s="1"/>
  <c r="P415" i="14"/>
  <c r="G416" i="14"/>
  <c r="S416" i="14" s="1"/>
  <c r="P416" i="14"/>
  <c r="S417" i="14"/>
  <c r="T417" i="14" s="1"/>
  <c r="U417" i="14" s="1"/>
  <c r="G418" i="14"/>
  <c r="S418" i="14" s="1"/>
  <c r="P418" i="14"/>
  <c r="G419" i="14"/>
  <c r="S419" i="14" s="1"/>
  <c r="P419" i="14"/>
  <c r="G420" i="14"/>
  <c r="S420" i="14" s="1"/>
  <c r="P420" i="14"/>
  <c r="P421" i="14"/>
  <c r="S421" i="14"/>
  <c r="G422" i="14"/>
  <c r="S422" i="14" s="1"/>
  <c r="T422" i="14" s="1"/>
  <c r="U422" i="14" s="1"/>
  <c r="G423" i="14"/>
  <c r="S423" i="14" s="1"/>
  <c r="P423" i="14"/>
  <c r="G424" i="14"/>
  <c r="S424" i="14" s="1"/>
  <c r="P424" i="14"/>
  <c r="G425" i="14"/>
  <c r="S425" i="14" s="1"/>
  <c r="P425" i="14"/>
  <c r="G426" i="14"/>
  <c r="S426" i="14" s="1"/>
  <c r="P426" i="14"/>
  <c r="G427" i="14"/>
  <c r="S427" i="14" s="1"/>
  <c r="P427" i="14"/>
  <c r="P428" i="14"/>
  <c r="S428" i="14"/>
  <c r="S429" i="14"/>
  <c r="T429" i="14" s="1"/>
  <c r="U429" i="14" s="1"/>
  <c r="P430" i="14"/>
  <c r="S430" i="14"/>
  <c r="P431" i="14"/>
  <c r="S431" i="14"/>
  <c r="S432" i="14"/>
  <c r="T432" i="14" s="1"/>
  <c r="U432" i="14" s="1"/>
  <c r="P433" i="14"/>
  <c r="S433" i="14"/>
  <c r="P434" i="14"/>
  <c r="S434" i="14"/>
  <c r="P435" i="14"/>
  <c r="S435" i="14"/>
  <c r="P436" i="14"/>
  <c r="S436" i="14"/>
  <c r="S437" i="14"/>
  <c r="T437" i="14" s="1"/>
  <c r="U437" i="14" s="1"/>
  <c r="P438" i="14"/>
  <c r="S438" i="14"/>
  <c r="P439" i="14"/>
  <c r="S439" i="14"/>
  <c r="P440" i="14"/>
  <c r="S440" i="14"/>
  <c r="P441" i="14"/>
  <c r="S441" i="14"/>
  <c r="S442" i="14"/>
  <c r="T442" i="14" s="1"/>
  <c r="U442" i="14" s="1"/>
  <c r="P443" i="14"/>
  <c r="S443" i="14"/>
  <c r="P444" i="14"/>
  <c r="S444" i="14"/>
  <c r="P445" i="14"/>
  <c r="S445" i="14"/>
  <c r="P446" i="14"/>
  <c r="S446" i="14"/>
  <c r="G447" i="14"/>
  <c r="S447" i="14" s="1"/>
  <c r="P447" i="14"/>
  <c r="G448" i="14"/>
  <c r="S448" i="14" s="1"/>
  <c r="T448" i="14" s="1"/>
  <c r="U448" i="14" s="1"/>
  <c r="S449" i="14"/>
  <c r="T449" i="14" s="1"/>
  <c r="U449" i="14" s="1"/>
  <c r="G450" i="14"/>
  <c r="S450" i="14" s="1"/>
  <c r="P450" i="14"/>
  <c r="S451" i="14"/>
  <c r="T451" i="14" s="1"/>
  <c r="U451" i="14" s="1"/>
  <c r="G452" i="14"/>
  <c r="S452" i="14" s="1"/>
  <c r="P452" i="14"/>
  <c r="P453" i="14"/>
  <c r="S453" i="14"/>
  <c r="S454" i="14"/>
  <c r="T454" i="14" s="1"/>
  <c r="U454" i="14" s="1"/>
  <c r="P455" i="14"/>
  <c r="S455" i="14"/>
  <c r="S456" i="14"/>
  <c r="T456" i="14" s="1"/>
  <c r="U456" i="14" s="1"/>
  <c r="P457" i="14"/>
  <c r="S457" i="14"/>
  <c r="G458" i="14"/>
  <c r="S458" i="14" s="1"/>
  <c r="P458" i="14"/>
  <c r="G459" i="14"/>
  <c r="S459" i="14" s="1"/>
  <c r="P459" i="14"/>
  <c r="G460" i="14"/>
  <c r="S460" i="14" s="1"/>
  <c r="P460" i="14"/>
  <c r="G461" i="14"/>
  <c r="S461" i="14" s="1"/>
  <c r="P461" i="14"/>
  <c r="G462" i="14"/>
  <c r="S462" i="14" s="1"/>
  <c r="P462" i="14"/>
  <c r="G463" i="14"/>
  <c r="S463" i="14" s="1"/>
  <c r="P463" i="14"/>
  <c r="G464" i="14"/>
  <c r="S464" i="14" s="1"/>
  <c r="P464" i="14"/>
  <c r="G465" i="14"/>
  <c r="S465" i="14" s="1"/>
  <c r="T465" i="14" s="1"/>
  <c r="U465" i="14" s="1"/>
  <c r="G466" i="14"/>
  <c r="S466" i="14" s="1"/>
  <c r="P466" i="14"/>
  <c r="G467" i="14"/>
  <c r="S467" i="14" s="1"/>
  <c r="P467" i="14"/>
  <c r="G468" i="14"/>
  <c r="S468" i="14" s="1"/>
  <c r="P468" i="14"/>
  <c r="P469" i="14"/>
  <c r="S469" i="14"/>
  <c r="P470" i="14"/>
  <c r="S470" i="14"/>
  <c r="P471" i="14"/>
  <c r="S471" i="14"/>
  <c r="P472" i="14"/>
  <c r="S472" i="14"/>
  <c r="P473" i="14"/>
  <c r="S473" i="14"/>
  <c r="P474" i="14"/>
  <c r="S474" i="14"/>
  <c r="P475" i="14"/>
  <c r="S475" i="14"/>
  <c r="P476" i="14"/>
  <c r="S476" i="14"/>
  <c r="G477" i="14"/>
  <c r="S477" i="14" s="1"/>
  <c r="T477" i="14" s="1"/>
  <c r="U477" i="14" s="1"/>
  <c r="H477" i="14"/>
  <c r="P478" i="14"/>
  <c r="S478" i="14"/>
  <c r="P479" i="14"/>
  <c r="S479" i="14"/>
  <c r="P480" i="14"/>
  <c r="S480" i="14"/>
  <c r="P481" i="14"/>
  <c r="S481" i="14"/>
  <c r="P482" i="14"/>
  <c r="S482" i="14"/>
  <c r="P483" i="14"/>
  <c r="S483" i="14"/>
  <c r="P484" i="14"/>
  <c r="S484" i="14"/>
  <c r="P485" i="14"/>
  <c r="S485" i="14"/>
  <c r="P486" i="14"/>
  <c r="S486" i="14"/>
  <c r="P487" i="14"/>
  <c r="S487" i="14"/>
  <c r="P488" i="14"/>
  <c r="S488" i="14"/>
  <c r="P489" i="14"/>
  <c r="S489" i="14"/>
  <c r="P490" i="14"/>
  <c r="S490" i="14"/>
  <c r="P491" i="14"/>
  <c r="S491" i="14"/>
  <c r="G492" i="14"/>
  <c r="S492" i="14" s="1"/>
  <c r="H492" i="14"/>
  <c r="P492" i="14"/>
  <c r="P493" i="14"/>
  <c r="S493" i="14"/>
  <c r="P494" i="14"/>
  <c r="S494" i="14"/>
  <c r="P495" i="14"/>
  <c r="S495" i="14"/>
  <c r="P496" i="14"/>
  <c r="S496" i="14"/>
  <c r="S497" i="14"/>
  <c r="T497" i="14" s="1"/>
  <c r="U497" i="14" s="1"/>
  <c r="P498" i="14"/>
  <c r="S498" i="14"/>
  <c r="P499" i="14"/>
  <c r="S499" i="14"/>
  <c r="S500" i="14"/>
  <c r="T500" i="14" s="1"/>
  <c r="U500" i="14" s="1"/>
  <c r="P501" i="14"/>
  <c r="S501" i="14"/>
  <c r="S502" i="14"/>
  <c r="T502" i="14" s="1"/>
  <c r="U502" i="14" s="1"/>
  <c r="P503" i="14"/>
  <c r="S503" i="14"/>
  <c r="P504" i="14"/>
  <c r="S504" i="14"/>
  <c r="P505" i="14"/>
  <c r="S505" i="14"/>
  <c r="P506" i="14"/>
  <c r="S506" i="14"/>
  <c r="P507" i="14"/>
  <c r="S507" i="14"/>
  <c r="P508" i="14"/>
  <c r="S508" i="14"/>
  <c r="P509" i="14"/>
  <c r="S509" i="14"/>
  <c r="P510" i="14"/>
  <c r="S510" i="14"/>
  <c r="P511" i="14"/>
  <c r="S511" i="14"/>
  <c r="P512" i="14"/>
  <c r="S512" i="14"/>
  <c r="P513" i="14"/>
  <c r="S513" i="14"/>
  <c r="P514" i="14"/>
  <c r="S514" i="14"/>
  <c r="P515" i="14"/>
  <c r="S515" i="14"/>
  <c r="P516" i="14"/>
  <c r="S516" i="14"/>
  <c r="P517" i="14"/>
  <c r="S517" i="14"/>
  <c r="P518" i="14"/>
  <c r="S518" i="14"/>
  <c r="P519" i="14"/>
  <c r="S519" i="14"/>
  <c r="P520" i="14"/>
  <c r="S520" i="14"/>
  <c r="P521" i="14"/>
  <c r="S521" i="14"/>
  <c r="P522" i="14"/>
  <c r="S522" i="14"/>
  <c r="P523" i="14"/>
  <c r="S523" i="14"/>
  <c r="P524" i="14"/>
  <c r="S524" i="14"/>
  <c r="P525" i="14"/>
  <c r="S525" i="14"/>
  <c r="P526" i="14"/>
  <c r="S526" i="14"/>
  <c r="P527" i="14"/>
  <c r="S527" i="14"/>
  <c r="P528" i="14"/>
  <c r="S528" i="14"/>
  <c r="S529" i="14"/>
  <c r="T529" i="14" s="1"/>
  <c r="U529" i="14" s="1"/>
  <c r="G530" i="14"/>
  <c r="S530" i="14" s="1"/>
  <c r="H530" i="14"/>
  <c r="P530" i="14"/>
  <c r="S531" i="14"/>
  <c r="T531" i="14" s="1"/>
  <c r="U531" i="14" s="1"/>
  <c r="P532" i="14"/>
  <c r="S532" i="14"/>
  <c r="P533" i="14"/>
  <c r="S533" i="14"/>
  <c r="G534" i="14"/>
  <c r="S534" i="14" s="1"/>
  <c r="H534" i="14"/>
  <c r="P534" i="14"/>
  <c r="S535" i="14"/>
  <c r="T535" i="14" s="1"/>
  <c r="U535" i="14" s="1"/>
  <c r="P536" i="14"/>
  <c r="S536" i="14"/>
  <c r="P537" i="14"/>
  <c r="S537" i="14"/>
  <c r="P538" i="14"/>
  <c r="S538" i="14"/>
  <c r="P539" i="14"/>
  <c r="S539" i="14"/>
  <c r="G540" i="14"/>
  <c r="S540" i="14" s="1"/>
  <c r="H540" i="14"/>
  <c r="P540" i="14"/>
  <c r="S541" i="14"/>
  <c r="T541" i="14" s="1"/>
  <c r="U541" i="14" s="1"/>
  <c r="P542" i="14"/>
  <c r="S542" i="14"/>
  <c r="P543" i="14"/>
  <c r="S543" i="14"/>
  <c r="P544" i="14"/>
  <c r="S544" i="14"/>
  <c r="G545" i="14"/>
  <c r="S545" i="14" s="1"/>
  <c r="P545" i="14"/>
  <c r="P546" i="14"/>
  <c r="S546" i="14"/>
  <c r="P547" i="14"/>
  <c r="S547" i="14"/>
  <c r="P548" i="14"/>
  <c r="S548" i="14"/>
  <c r="P549" i="14"/>
  <c r="S549" i="14"/>
  <c r="P550" i="14"/>
  <c r="S550" i="14"/>
  <c r="P551" i="14"/>
  <c r="S551" i="14"/>
  <c r="P552" i="14"/>
  <c r="S552" i="14"/>
  <c r="P553" i="14"/>
  <c r="S553" i="14"/>
  <c r="P554" i="14"/>
  <c r="S554" i="14"/>
  <c r="P555" i="14"/>
  <c r="S555" i="14"/>
  <c r="P556" i="14"/>
  <c r="S556" i="14"/>
  <c r="P557" i="14"/>
  <c r="S557" i="14"/>
  <c r="P558" i="14"/>
  <c r="S558" i="14"/>
  <c r="P559" i="14"/>
  <c r="S559" i="14"/>
  <c r="P560" i="14"/>
  <c r="S560" i="14"/>
  <c r="P561" i="14"/>
  <c r="S561" i="14"/>
  <c r="P562" i="14"/>
  <c r="S562" i="14"/>
  <c r="P563" i="14"/>
  <c r="S563" i="14"/>
  <c r="P564" i="14"/>
  <c r="S564" i="14"/>
  <c r="P565" i="14"/>
  <c r="S565" i="14"/>
  <c r="P566" i="14"/>
  <c r="S566" i="14"/>
  <c r="P567" i="14"/>
  <c r="S567" i="14"/>
  <c r="G568" i="14"/>
  <c r="S568" i="14" s="1"/>
  <c r="H568" i="14"/>
  <c r="P568" i="14"/>
  <c r="P569" i="14"/>
  <c r="S569" i="14"/>
  <c r="P570" i="14"/>
  <c r="S570" i="14"/>
  <c r="P571" i="14"/>
  <c r="S571" i="14"/>
  <c r="P572" i="14"/>
  <c r="S572" i="14"/>
  <c r="P573" i="14"/>
  <c r="S573" i="14"/>
  <c r="S574" i="14"/>
  <c r="T574" i="14" s="1"/>
  <c r="U574" i="14" s="1"/>
  <c r="S575" i="14"/>
  <c r="T575" i="14" s="1"/>
  <c r="U575" i="14" s="1"/>
  <c r="P576" i="14"/>
  <c r="S576" i="14"/>
  <c r="P577" i="14"/>
  <c r="S577" i="14"/>
  <c r="P578" i="14"/>
  <c r="S578" i="14"/>
  <c r="S579" i="14"/>
  <c r="T579" i="14" s="1"/>
  <c r="U579" i="14" s="1"/>
  <c r="P580" i="14"/>
  <c r="S580" i="14"/>
  <c r="S581" i="14"/>
  <c r="T581" i="14" s="1"/>
  <c r="U581" i="14" s="1"/>
  <c r="P582" i="14"/>
  <c r="S582" i="14"/>
  <c r="P583" i="14"/>
  <c r="S583" i="14"/>
  <c r="S584" i="14"/>
  <c r="T584" i="14" s="1"/>
  <c r="U584" i="14" s="1"/>
  <c r="S585" i="14"/>
  <c r="T585" i="14" s="1"/>
  <c r="U585" i="14" s="1"/>
  <c r="S586" i="14"/>
  <c r="T586" i="14" s="1"/>
  <c r="U586" i="14" s="1"/>
  <c r="S587" i="14"/>
  <c r="T587" i="14" s="1"/>
  <c r="U587" i="14" s="1"/>
  <c r="G588" i="14"/>
  <c r="S588" i="14" s="1"/>
  <c r="H588" i="14"/>
  <c r="P588" i="14"/>
  <c r="P589" i="14"/>
  <c r="S589" i="14"/>
  <c r="P590" i="14"/>
  <c r="S590" i="14"/>
  <c r="P591" i="14"/>
  <c r="S591" i="14"/>
  <c r="P592" i="14"/>
  <c r="S592" i="14"/>
  <c r="P593" i="14"/>
  <c r="S593" i="14"/>
  <c r="G594" i="14"/>
  <c r="S594" i="14" s="1"/>
  <c r="H594" i="14"/>
  <c r="P594" i="14"/>
  <c r="P595" i="14"/>
  <c r="S595" i="14"/>
  <c r="P596" i="14"/>
  <c r="S596" i="14"/>
  <c r="P597" i="14"/>
  <c r="S597" i="14"/>
  <c r="P598" i="14"/>
  <c r="S598" i="14"/>
  <c r="P599" i="14"/>
  <c r="S599" i="14"/>
  <c r="P600" i="14"/>
  <c r="S600" i="14"/>
  <c r="P601" i="14"/>
  <c r="S601" i="14"/>
  <c r="P602" i="14"/>
  <c r="S602" i="14"/>
  <c r="P603" i="14"/>
  <c r="S603" i="14"/>
  <c r="P604" i="14"/>
  <c r="S604" i="14"/>
  <c r="P605" i="14"/>
  <c r="S605" i="14"/>
  <c r="P606" i="14"/>
  <c r="S606" i="14"/>
  <c r="P607" i="14"/>
  <c r="S607" i="14"/>
  <c r="P608" i="14"/>
  <c r="S608" i="14"/>
  <c r="G609" i="14"/>
  <c r="S609" i="14" s="1"/>
  <c r="P609" i="14"/>
  <c r="P610" i="14"/>
  <c r="S610" i="14"/>
  <c r="P611" i="14"/>
  <c r="S611" i="14"/>
  <c r="P612" i="14"/>
  <c r="S612" i="14"/>
  <c r="P613" i="14"/>
  <c r="S613" i="14"/>
  <c r="P614" i="14"/>
  <c r="S614" i="14"/>
  <c r="P615" i="14"/>
  <c r="S615" i="14"/>
  <c r="P616" i="14"/>
  <c r="S616" i="14"/>
  <c r="P617" i="14"/>
  <c r="S617" i="14"/>
  <c r="P618" i="14"/>
  <c r="S618" i="14"/>
  <c r="P619" i="14"/>
  <c r="S619" i="14"/>
  <c r="P620" i="14"/>
  <c r="S620" i="14"/>
  <c r="G621" i="14"/>
  <c r="S621" i="14" s="1"/>
  <c r="H621" i="14"/>
  <c r="P621" i="14"/>
  <c r="P622" i="14"/>
  <c r="S622" i="14"/>
  <c r="P623" i="14"/>
  <c r="S623" i="14"/>
  <c r="P624" i="14"/>
  <c r="S624" i="14"/>
  <c r="P625" i="14"/>
  <c r="S625" i="14"/>
  <c r="P626" i="14"/>
  <c r="S626" i="14"/>
  <c r="P627" i="14"/>
  <c r="S627" i="14"/>
  <c r="P628" i="14"/>
  <c r="S628" i="14"/>
  <c r="P629" i="14"/>
  <c r="S629" i="14"/>
  <c r="P630" i="14"/>
  <c r="S630" i="14"/>
  <c r="P631" i="14"/>
  <c r="S631" i="14"/>
  <c r="P632" i="14"/>
  <c r="S632" i="14"/>
  <c r="P633" i="14"/>
  <c r="S633" i="14"/>
  <c r="P634" i="14"/>
  <c r="S634" i="14"/>
  <c r="P635" i="14"/>
  <c r="S635" i="14"/>
  <c r="P636" i="14"/>
  <c r="S636" i="14"/>
  <c r="P637" i="14"/>
  <c r="S637" i="14"/>
  <c r="P638" i="14"/>
  <c r="S638" i="14"/>
  <c r="P639" i="14"/>
  <c r="S639" i="14"/>
  <c r="P640" i="14"/>
  <c r="S640" i="14"/>
  <c r="P641" i="14"/>
  <c r="S641" i="14"/>
  <c r="P642" i="14"/>
  <c r="S642" i="14"/>
  <c r="P643" i="14"/>
  <c r="S643" i="14"/>
  <c r="P644" i="14"/>
  <c r="S644" i="14"/>
  <c r="P645" i="14"/>
  <c r="S645" i="14"/>
  <c r="P646" i="14"/>
  <c r="S646" i="14"/>
  <c r="P647" i="14"/>
  <c r="S647" i="14"/>
  <c r="P648" i="14"/>
  <c r="S648" i="14"/>
  <c r="P649" i="14"/>
  <c r="S649" i="14"/>
  <c r="S650" i="14"/>
  <c r="T650" i="14" s="1"/>
  <c r="U650" i="14" s="1"/>
  <c r="P651" i="14"/>
  <c r="S651" i="14"/>
  <c r="S652" i="14"/>
  <c r="T652" i="14" s="1"/>
  <c r="U652" i="14" s="1"/>
  <c r="P653" i="14"/>
  <c r="S653" i="14"/>
  <c r="S654" i="14"/>
  <c r="T654" i="14" s="1"/>
  <c r="U654" i="14" s="1"/>
  <c r="P655" i="14"/>
  <c r="S655" i="14"/>
  <c r="S656" i="14"/>
  <c r="T656" i="14" s="1"/>
  <c r="U656" i="14" s="1"/>
  <c r="P657" i="14"/>
  <c r="S657" i="14"/>
  <c r="P658" i="14"/>
  <c r="S658" i="14"/>
  <c r="P659" i="14"/>
  <c r="S659" i="14"/>
  <c r="S660" i="14"/>
  <c r="T660" i="14" s="1"/>
  <c r="U660" i="14" s="1"/>
  <c r="S661" i="14"/>
  <c r="T661" i="14" s="1"/>
  <c r="U661" i="14" s="1"/>
  <c r="P662" i="14"/>
  <c r="S662" i="14"/>
  <c r="S663" i="14"/>
  <c r="T663" i="14" s="1"/>
  <c r="U663" i="14" s="1"/>
  <c r="P664" i="14"/>
  <c r="S664" i="14"/>
  <c r="P665" i="14"/>
  <c r="S665" i="14"/>
  <c r="P666" i="14"/>
  <c r="S666" i="14"/>
  <c r="S667" i="14"/>
  <c r="T667" i="14" s="1"/>
  <c r="U667" i="14" s="1"/>
  <c r="P668" i="14"/>
  <c r="S668" i="14"/>
  <c r="P669" i="14"/>
  <c r="S669" i="14"/>
  <c r="P670" i="14"/>
  <c r="S670" i="14"/>
  <c r="S671" i="14"/>
  <c r="T671" i="14" s="1"/>
  <c r="U671" i="14" s="1"/>
  <c r="P672" i="14"/>
  <c r="S672" i="14"/>
  <c r="P673" i="14"/>
  <c r="S673" i="14"/>
  <c r="P674" i="14"/>
  <c r="S674" i="14"/>
  <c r="G675" i="14"/>
  <c r="S675" i="14" s="1"/>
  <c r="P675" i="14"/>
  <c r="R675" i="14"/>
  <c r="G676" i="14"/>
  <c r="S676" i="14" s="1"/>
  <c r="P676" i="14"/>
  <c r="R676" i="14"/>
  <c r="G677" i="14"/>
  <c r="S677" i="14" s="1"/>
  <c r="P677" i="14"/>
  <c r="R677" i="14"/>
  <c r="G678" i="14"/>
  <c r="S678" i="14" s="1"/>
  <c r="P678" i="14"/>
  <c r="R678" i="14"/>
  <c r="G679" i="14"/>
  <c r="S679" i="14" s="1"/>
  <c r="P679" i="14"/>
  <c r="R679" i="14"/>
  <c r="G680" i="14"/>
  <c r="S680" i="14" s="1"/>
  <c r="P680" i="14"/>
  <c r="R680" i="14"/>
  <c r="G681" i="14"/>
  <c r="S681" i="14" s="1"/>
  <c r="P681" i="14"/>
  <c r="R681" i="14"/>
  <c r="P682" i="14"/>
  <c r="S682" i="14"/>
  <c r="P683" i="14"/>
  <c r="S683" i="14"/>
  <c r="P684" i="14"/>
  <c r="S684" i="14"/>
  <c r="P685" i="14"/>
  <c r="S685" i="14"/>
  <c r="P686" i="14"/>
  <c r="S686" i="14"/>
  <c r="P687" i="14"/>
  <c r="S687" i="14"/>
  <c r="P688" i="14"/>
  <c r="S688" i="14"/>
  <c r="P689" i="14"/>
  <c r="S689" i="14"/>
  <c r="P690" i="14"/>
  <c r="S690" i="14"/>
  <c r="P691" i="14"/>
  <c r="S691" i="14"/>
  <c r="P692" i="14"/>
  <c r="S692" i="14"/>
  <c r="P693" i="14"/>
  <c r="S693" i="14"/>
  <c r="P694" i="14"/>
  <c r="S694" i="14"/>
  <c r="P695" i="14"/>
  <c r="S695" i="14"/>
  <c r="P696" i="14"/>
  <c r="S696" i="14"/>
  <c r="P697" i="14"/>
  <c r="S697" i="14"/>
  <c r="G698" i="14"/>
  <c r="S698" i="14" s="1"/>
  <c r="P698" i="14"/>
  <c r="P699" i="14"/>
  <c r="S699" i="14"/>
  <c r="P700" i="14"/>
  <c r="S700" i="14"/>
  <c r="P701" i="14"/>
  <c r="S701" i="14"/>
  <c r="G702" i="14"/>
  <c r="S702" i="14" s="1"/>
  <c r="P702" i="14"/>
  <c r="P703" i="14"/>
  <c r="S703" i="14"/>
  <c r="G704" i="14"/>
  <c r="S704" i="14" s="1"/>
  <c r="H704" i="14"/>
  <c r="P704" i="14"/>
  <c r="G705" i="14"/>
  <c r="S705" i="14" s="1"/>
  <c r="P705" i="14"/>
  <c r="G706" i="14"/>
  <c r="S706" i="14" s="1"/>
  <c r="P706" i="14"/>
  <c r="G707" i="14"/>
  <c r="S707" i="14" s="1"/>
  <c r="P707" i="14"/>
  <c r="P708" i="14"/>
  <c r="S708" i="14"/>
  <c r="G709" i="14"/>
  <c r="S709" i="14" s="1"/>
  <c r="P709" i="14"/>
  <c r="G710" i="14"/>
  <c r="S710" i="14" s="1"/>
  <c r="P710" i="14"/>
  <c r="G711" i="14"/>
  <c r="S711" i="14" s="1"/>
  <c r="P711" i="14"/>
  <c r="G712" i="14"/>
  <c r="S712" i="14" s="1"/>
  <c r="P712" i="14"/>
  <c r="P713" i="14"/>
  <c r="S713" i="14"/>
  <c r="G714" i="14"/>
  <c r="S714" i="14" s="1"/>
  <c r="P714" i="14"/>
  <c r="G715" i="14"/>
  <c r="S715" i="14" s="1"/>
  <c r="P715" i="14"/>
  <c r="G716" i="14"/>
  <c r="S716" i="14" s="1"/>
  <c r="P716" i="14"/>
  <c r="G717" i="14"/>
  <c r="S717" i="14" s="1"/>
  <c r="P717" i="14"/>
  <c r="P718" i="14"/>
  <c r="S718" i="14"/>
  <c r="G719" i="14"/>
  <c r="S719" i="14" s="1"/>
  <c r="P719" i="14"/>
  <c r="G720" i="14"/>
  <c r="S720" i="14" s="1"/>
  <c r="P720" i="14"/>
  <c r="G721" i="14"/>
  <c r="S721" i="14" s="1"/>
  <c r="P721" i="14"/>
  <c r="G722" i="14"/>
  <c r="S722" i="14" s="1"/>
  <c r="P722" i="14"/>
  <c r="P723" i="14"/>
  <c r="S723" i="14"/>
  <c r="P724" i="14"/>
  <c r="S724" i="14"/>
  <c r="P725" i="14"/>
  <c r="S725" i="14"/>
  <c r="G726" i="14"/>
  <c r="S726" i="14" s="1"/>
  <c r="P726" i="14"/>
  <c r="G727" i="14"/>
  <c r="S727" i="14" s="1"/>
  <c r="P727" i="14"/>
  <c r="G728" i="14"/>
  <c r="S728" i="14" s="1"/>
  <c r="P728" i="14"/>
  <c r="G729" i="14"/>
  <c r="S729" i="14" s="1"/>
  <c r="P729" i="14"/>
  <c r="G730" i="14"/>
  <c r="S730" i="14" s="1"/>
  <c r="P730" i="14"/>
  <c r="G731" i="14"/>
  <c r="S731" i="14" s="1"/>
  <c r="P731" i="14"/>
  <c r="G732" i="14"/>
  <c r="S732" i="14" s="1"/>
  <c r="P732" i="14"/>
  <c r="G733" i="14"/>
  <c r="S733" i="14" s="1"/>
  <c r="P733" i="14"/>
  <c r="G734" i="14"/>
  <c r="S734" i="14" s="1"/>
  <c r="P734" i="14"/>
  <c r="P735" i="14"/>
  <c r="S735" i="14"/>
  <c r="G736" i="14"/>
  <c r="S736" i="14" s="1"/>
  <c r="P736" i="14"/>
  <c r="G737" i="14"/>
  <c r="S737" i="14" s="1"/>
  <c r="P737" i="14"/>
  <c r="P738" i="14"/>
  <c r="S738" i="14"/>
  <c r="P739" i="14"/>
  <c r="S739" i="14"/>
  <c r="P740" i="14"/>
  <c r="S740" i="14"/>
  <c r="G741" i="14"/>
  <c r="S741" i="14" s="1"/>
  <c r="P741" i="14"/>
  <c r="P742" i="14"/>
  <c r="S742" i="14"/>
  <c r="S743" i="14"/>
  <c r="T743" i="14" s="1"/>
  <c r="U743" i="14" s="1"/>
  <c r="P744" i="14"/>
  <c r="S744" i="14"/>
  <c r="P745" i="14"/>
  <c r="S745" i="14"/>
  <c r="P746" i="14"/>
  <c r="S746" i="14"/>
  <c r="P747" i="14"/>
  <c r="S747" i="14"/>
  <c r="P748" i="14"/>
  <c r="S748" i="14"/>
  <c r="S749" i="14"/>
  <c r="T749" i="14" s="1"/>
  <c r="U749" i="14" s="1"/>
  <c r="P750" i="14"/>
  <c r="S750" i="14"/>
  <c r="P751" i="14"/>
  <c r="S751" i="14"/>
  <c r="P752" i="14"/>
  <c r="S752" i="14"/>
  <c r="S753" i="14"/>
  <c r="T753" i="14" s="1"/>
  <c r="U753" i="14" s="1"/>
  <c r="S754" i="14"/>
  <c r="T754" i="14" s="1"/>
  <c r="U754" i="14" s="1"/>
  <c r="P755" i="14"/>
  <c r="S755" i="14"/>
  <c r="P756" i="14"/>
  <c r="S756" i="14"/>
  <c r="P757" i="14"/>
  <c r="S757" i="14"/>
  <c r="P758" i="14"/>
  <c r="S758" i="14"/>
  <c r="S759" i="14"/>
  <c r="T759" i="14" s="1"/>
  <c r="U759" i="14" s="1"/>
  <c r="S760" i="14"/>
  <c r="T760" i="14" s="1"/>
  <c r="U760" i="14" s="1"/>
  <c r="P761" i="14"/>
  <c r="S761" i="14"/>
  <c r="P762" i="14"/>
  <c r="S762" i="14"/>
  <c r="P763" i="14"/>
  <c r="S763" i="14"/>
  <c r="P764" i="14"/>
  <c r="S764" i="14"/>
  <c r="P765" i="14"/>
  <c r="S765" i="14"/>
  <c r="P766" i="14"/>
  <c r="S766" i="14"/>
  <c r="P767" i="14"/>
  <c r="S767" i="14"/>
  <c r="S768" i="14"/>
  <c r="T768" i="14" s="1"/>
  <c r="U768" i="14" s="1"/>
  <c r="P769" i="14"/>
  <c r="S769" i="14"/>
  <c r="P770" i="14"/>
  <c r="S770" i="14"/>
  <c r="P771" i="14"/>
  <c r="S771" i="14"/>
  <c r="P772" i="14"/>
  <c r="S772" i="14"/>
  <c r="P773" i="14"/>
  <c r="S773" i="14"/>
  <c r="P774" i="14"/>
  <c r="S774" i="14"/>
  <c r="P775" i="14"/>
  <c r="S775" i="14"/>
  <c r="P776" i="14"/>
  <c r="S776" i="14"/>
  <c r="P777" i="14"/>
  <c r="S777" i="14"/>
  <c r="P778" i="14"/>
  <c r="S778" i="14"/>
  <c r="P779" i="14"/>
  <c r="S779" i="14"/>
  <c r="P780" i="14"/>
  <c r="S780" i="14"/>
  <c r="P781" i="14"/>
  <c r="S781" i="14"/>
  <c r="P782" i="14"/>
  <c r="S782" i="14"/>
  <c r="P783" i="14"/>
  <c r="S783" i="14"/>
  <c r="P784" i="14"/>
  <c r="S784" i="14"/>
  <c r="P785" i="14"/>
  <c r="S785" i="14"/>
  <c r="P786" i="14"/>
  <c r="S786" i="14"/>
  <c r="S787" i="14"/>
  <c r="T787" i="14" s="1"/>
  <c r="U787" i="14" s="1"/>
  <c r="P788" i="14"/>
  <c r="S788" i="14"/>
  <c r="P789" i="14"/>
  <c r="S789" i="14"/>
  <c r="P790" i="14"/>
  <c r="S790" i="14"/>
  <c r="P791" i="14"/>
  <c r="S791" i="14"/>
  <c r="P792" i="14"/>
  <c r="S792" i="14"/>
  <c r="P793" i="14"/>
  <c r="S793" i="14"/>
  <c r="P794" i="14"/>
  <c r="S794" i="14"/>
  <c r="P795" i="14"/>
  <c r="S795" i="14"/>
  <c r="P796" i="14"/>
  <c r="S796" i="14"/>
  <c r="P797" i="14"/>
  <c r="S797" i="14"/>
  <c r="P798" i="14"/>
  <c r="S798" i="14"/>
  <c r="P799" i="14"/>
  <c r="S799" i="14"/>
  <c r="P800" i="14"/>
  <c r="S800" i="14"/>
  <c r="P801" i="14"/>
  <c r="S801" i="14"/>
  <c r="P802" i="14"/>
  <c r="S802" i="14"/>
  <c r="P803" i="14"/>
  <c r="S803" i="14"/>
  <c r="P804" i="14"/>
  <c r="S804" i="14"/>
  <c r="P805" i="14"/>
  <c r="S805" i="14"/>
  <c r="P806" i="14"/>
  <c r="S806" i="14"/>
  <c r="G807" i="14"/>
  <c r="S807" i="14" s="1"/>
  <c r="P807" i="14"/>
  <c r="S808" i="14"/>
  <c r="T808" i="14" s="1"/>
  <c r="U808" i="14" s="1"/>
  <c r="S809" i="14"/>
  <c r="T809" i="14" s="1"/>
  <c r="U809" i="14" s="1"/>
  <c r="G810" i="14"/>
  <c r="S810" i="14" s="1"/>
  <c r="P810" i="14"/>
  <c r="G811" i="14"/>
  <c r="S811" i="14" s="1"/>
  <c r="P811" i="14"/>
  <c r="G812" i="14"/>
  <c r="S812" i="14" s="1"/>
  <c r="P812" i="14"/>
  <c r="P813" i="14"/>
  <c r="S813" i="14"/>
  <c r="P814" i="14"/>
  <c r="S814" i="14"/>
  <c r="P815" i="14"/>
  <c r="S815" i="14"/>
  <c r="G816" i="14"/>
  <c r="S816" i="14" s="1"/>
  <c r="P816" i="14"/>
  <c r="P817" i="14"/>
  <c r="S817" i="14"/>
  <c r="G818" i="14"/>
  <c r="S818" i="14" s="1"/>
  <c r="P818" i="14"/>
  <c r="S819" i="14"/>
  <c r="T819" i="14" s="1"/>
  <c r="U819" i="14" s="1"/>
  <c r="P820" i="14"/>
  <c r="S820" i="14"/>
  <c r="G821" i="14"/>
  <c r="S821" i="14" s="1"/>
  <c r="P821" i="14"/>
  <c r="P822" i="14"/>
  <c r="S822" i="14"/>
  <c r="P823" i="14"/>
  <c r="S823" i="14"/>
  <c r="P824" i="14"/>
  <c r="S824" i="14"/>
  <c r="S825" i="14"/>
  <c r="T825" i="14" s="1"/>
  <c r="U825" i="14" s="1"/>
  <c r="P826" i="14"/>
  <c r="S826" i="14"/>
  <c r="P827" i="14"/>
  <c r="S827" i="14"/>
  <c r="P828" i="14"/>
  <c r="S828" i="14"/>
  <c r="S829" i="14"/>
  <c r="T829" i="14" s="1"/>
  <c r="U829" i="14" s="1"/>
  <c r="P830" i="14"/>
  <c r="S830" i="14"/>
  <c r="P831" i="14"/>
  <c r="S831" i="14"/>
  <c r="G832" i="14"/>
  <c r="S832" i="14" s="1"/>
  <c r="P832" i="14"/>
  <c r="G833" i="14"/>
  <c r="S833" i="14" s="1"/>
  <c r="P833" i="14"/>
  <c r="G834" i="14"/>
  <c r="S834" i="14" s="1"/>
  <c r="P834" i="14"/>
  <c r="P835" i="14"/>
  <c r="S835" i="14"/>
  <c r="G836" i="14"/>
  <c r="S836" i="14" s="1"/>
  <c r="P836" i="14"/>
  <c r="P837" i="14"/>
  <c r="S837" i="14"/>
  <c r="G838" i="14"/>
  <c r="S838" i="14" s="1"/>
  <c r="H838" i="14"/>
  <c r="P838" i="14"/>
  <c r="P839" i="14"/>
  <c r="S839" i="14"/>
  <c r="G840" i="14"/>
  <c r="S840" i="14" s="1"/>
  <c r="P840" i="14"/>
  <c r="P841" i="14"/>
  <c r="S841" i="14"/>
  <c r="G842" i="14"/>
  <c r="S842" i="14" s="1"/>
  <c r="P842" i="14"/>
  <c r="P843" i="14"/>
  <c r="S843" i="14"/>
  <c r="G844" i="14"/>
  <c r="S844" i="14" s="1"/>
  <c r="P844" i="14"/>
  <c r="G845" i="14"/>
  <c r="S845" i="14" s="1"/>
  <c r="P845" i="14"/>
  <c r="G846" i="14"/>
  <c r="S846" i="14" s="1"/>
  <c r="P846" i="14"/>
  <c r="G847" i="14"/>
  <c r="S847" i="14" s="1"/>
  <c r="P847" i="14"/>
  <c r="G848" i="14"/>
  <c r="S848" i="14" s="1"/>
  <c r="P848" i="14"/>
  <c r="G849" i="14"/>
  <c r="S849" i="14" s="1"/>
  <c r="P849" i="14"/>
  <c r="G850" i="14"/>
  <c r="S850" i="14" s="1"/>
  <c r="P850" i="14"/>
  <c r="G851" i="14"/>
  <c r="S851" i="14" s="1"/>
  <c r="P851" i="14"/>
  <c r="G852" i="14"/>
  <c r="S852" i="14" s="1"/>
  <c r="P852" i="14"/>
  <c r="G853" i="14"/>
  <c r="S853" i="14" s="1"/>
  <c r="P853" i="14"/>
  <c r="G854" i="14"/>
  <c r="S854" i="14" s="1"/>
  <c r="P854" i="14"/>
  <c r="G855" i="14"/>
  <c r="S855" i="14" s="1"/>
  <c r="P855" i="14"/>
  <c r="G856" i="14"/>
  <c r="S856" i="14" s="1"/>
  <c r="P856" i="14"/>
  <c r="G857" i="14"/>
  <c r="S857" i="14" s="1"/>
  <c r="P857" i="14"/>
  <c r="G858" i="14"/>
  <c r="S858" i="14" s="1"/>
  <c r="P858" i="14"/>
  <c r="G859" i="14"/>
  <c r="S859" i="14" s="1"/>
  <c r="P859" i="14"/>
  <c r="G860" i="14"/>
  <c r="S860" i="14" s="1"/>
  <c r="P860" i="14"/>
  <c r="G861" i="14"/>
  <c r="S861" i="14" s="1"/>
  <c r="P861" i="14"/>
  <c r="T615" i="14" l="1"/>
  <c r="U615" i="14" s="1"/>
  <c r="T27" i="14"/>
  <c r="U27" i="14" s="1"/>
  <c r="T21" i="14"/>
  <c r="U21" i="14" s="1"/>
  <c r="T19" i="14"/>
  <c r="U19" i="14" s="1"/>
  <c r="T325" i="14"/>
  <c r="U325" i="14" s="1"/>
  <c r="T373" i="14"/>
  <c r="U373" i="14" s="1"/>
  <c r="T334" i="14"/>
  <c r="U334" i="14" s="1"/>
  <c r="T857" i="14"/>
  <c r="U857" i="14" s="1"/>
  <c r="T609" i="14"/>
  <c r="U609" i="14" s="1"/>
  <c r="T287" i="14"/>
  <c r="U287" i="14" s="1"/>
  <c r="T578" i="14"/>
  <c r="U578" i="14" s="1"/>
  <c r="T540" i="14"/>
  <c r="U540" i="14" s="1"/>
  <c r="T559" i="14"/>
  <c r="U559" i="14" s="1"/>
  <c r="T555" i="14"/>
  <c r="U555" i="14" s="1"/>
  <c r="T551" i="14"/>
  <c r="U551" i="14" s="1"/>
  <c r="T702" i="14"/>
  <c r="U702" i="14" s="1"/>
  <c r="T824" i="14"/>
  <c r="U824" i="14" s="1"/>
  <c r="T822" i="14"/>
  <c r="U822" i="14" s="1"/>
  <c r="T747" i="14"/>
  <c r="U747" i="14" s="1"/>
  <c r="T699" i="14"/>
  <c r="U699" i="14" s="1"/>
  <c r="T566" i="14"/>
  <c r="U566" i="14" s="1"/>
  <c r="T286" i="14"/>
  <c r="U286" i="14" s="1"/>
  <c r="T250" i="14"/>
  <c r="U250" i="14" s="1"/>
  <c r="T246" i="14"/>
  <c r="U246" i="14" s="1"/>
  <c r="T238" i="14"/>
  <c r="U238" i="14" s="1"/>
  <c r="T230" i="14"/>
  <c r="U230" i="14" s="1"/>
  <c r="T224" i="14"/>
  <c r="U224" i="14" s="1"/>
  <c r="T218" i="14"/>
  <c r="U218" i="14" s="1"/>
  <c r="T153" i="14"/>
  <c r="U153" i="14" s="1"/>
  <c r="T140" i="14"/>
  <c r="U140" i="14" s="1"/>
  <c r="T272" i="14"/>
  <c r="U272" i="14" s="1"/>
  <c r="T330" i="14"/>
  <c r="U330" i="14" s="1"/>
  <c r="T762" i="14"/>
  <c r="U762" i="14" s="1"/>
  <c r="T750" i="14"/>
  <c r="U750" i="14" s="1"/>
  <c r="T440" i="14"/>
  <c r="U440" i="14" s="1"/>
  <c r="T389" i="14"/>
  <c r="U389" i="14" s="1"/>
  <c r="T550" i="14"/>
  <c r="U550" i="14" s="1"/>
  <c r="T546" i="14"/>
  <c r="U546" i="14" s="1"/>
  <c r="T544" i="14"/>
  <c r="U544" i="14" s="1"/>
  <c r="T528" i="14"/>
  <c r="U528" i="14" s="1"/>
  <c r="T526" i="14"/>
  <c r="U526" i="14" s="1"/>
  <c r="T524" i="14"/>
  <c r="U524" i="14" s="1"/>
  <c r="T522" i="14"/>
  <c r="U522" i="14" s="1"/>
  <c r="T520" i="14"/>
  <c r="U520" i="14" s="1"/>
  <c r="T518" i="14"/>
  <c r="U518" i="14" s="1"/>
  <c r="T516" i="14"/>
  <c r="U516" i="14" s="1"/>
  <c r="T514" i="14"/>
  <c r="U514" i="14" s="1"/>
  <c r="T512" i="14"/>
  <c r="U512" i="14" s="1"/>
  <c r="T510" i="14"/>
  <c r="U510" i="14" s="1"/>
  <c r="T508" i="14"/>
  <c r="U508" i="14" s="1"/>
  <c r="T499" i="14"/>
  <c r="U499" i="14" s="1"/>
  <c r="T469" i="14"/>
  <c r="U469" i="14" s="1"/>
  <c r="T6" i="14"/>
  <c r="U6" i="14" s="1"/>
  <c r="T4" i="14"/>
  <c r="U4" i="14" s="1"/>
  <c r="T2" i="14"/>
  <c r="U2" i="14" s="1"/>
  <c r="T826" i="14"/>
  <c r="U826" i="14" s="1"/>
  <c r="T611" i="14"/>
  <c r="U611" i="14" s="1"/>
  <c r="T607" i="14"/>
  <c r="U607" i="14" s="1"/>
  <c r="T605" i="14"/>
  <c r="U605" i="14" s="1"/>
  <c r="T603" i="14"/>
  <c r="U603" i="14" s="1"/>
  <c r="T601" i="14"/>
  <c r="U601" i="14" s="1"/>
  <c r="T599" i="14"/>
  <c r="U599" i="14" s="1"/>
  <c r="T597" i="14"/>
  <c r="U597" i="14" s="1"/>
  <c r="T595" i="14"/>
  <c r="U595" i="14" s="1"/>
  <c r="T538" i="14"/>
  <c r="U538" i="14" s="1"/>
  <c r="T536" i="14"/>
  <c r="U536" i="14" s="1"/>
  <c r="T494" i="14"/>
  <c r="U494" i="14" s="1"/>
  <c r="T311" i="14"/>
  <c r="U311" i="14" s="1"/>
  <c r="T115" i="14"/>
  <c r="U115" i="14" s="1"/>
  <c r="T111" i="14"/>
  <c r="U111" i="14" s="1"/>
  <c r="T109" i="14"/>
  <c r="U109" i="14" s="1"/>
  <c r="T812" i="14"/>
  <c r="U812" i="14" s="1"/>
  <c r="T620" i="14"/>
  <c r="U620" i="14" s="1"/>
  <c r="T827" i="14"/>
  <c r="U827" i="14" s="1"/>
  <c r="T288" i="14"/>
  <c r="U288" i="14" s="1"/>
  <c r="T216" i="14"/>
  <c r="U216" i="14" s="1"/>
  <c r="T200" i="14"/>
  <c r="U200" i="14" s="1"/>
  <c r="T198" i="14"/>
  <c r="U198" i="14" s="1"/>
  <c r="T196" i="14"/>
  <c r="U196" i="14" s="1"/>
  <c r="T194" i="14"/>
  <c r="U194" i="14" s="1"/>
  <c r="T192" i="14"/>
  <c r="U192" i="14" s="1"/>
  <c r="T190" i="14"/>
  <c r="U190" i="14" s="1"/>
  <c r="T188" i="14"/>
  <c r="U188" i="14" s="1"/>
  <c r="T186" i="14"/>
  <c r="U186" i="14" s="1"/>
  <c r="T61" i="14"/>
  <c r="U61" i="14" s="1"/>
  <c r="T59" i="14"/>
  <c r="U59" i="14" s="1"/>
  <c r="T57" i="14"/>
  <c r="U57" i="14" s="1"/>
  <c r="T55" i="14"/>
  <c r="U55" i="14" s="1"/>
  <c r="T53" i="14"/>
  <c r="U53" i="14" s="1"/>
  <c r="T724" i="14"/>
  <c r="U724" i="14" s="1"/>
  <c r="T720" i="14"/>
  <c r="U720" i="14" s="1"/>
  <c r="T716" i="14"/>
  <c r="U716" i="14" s="1"/>
  <c r="T706" i="14"/>
  <c r="U706" i="14" s="1"/>
  <c r="T619" i="14"/>
  <c r="U619" i="14" s="1"/>
  <c r="T617" i="14"/>
  <c r="U617" i="14" s="1"/>
  <c r="T562" i="14"/>
  <c r="U562" i="14" s="1"/>
  <c r="T542" i="14"/>
  <c r="U542" i="14" s="1"/>
  <c r="T493" i="14"/>
  <c r="U493" i="14" s="1"/>
  <c r="T441" i="14"/>
  <c r="U441" i="14" s="1"/>
  <c r="T396" i="14"/>
  <c r="U396" i="14" s="1"/>
  <c r="T392" i="14"/>
  <c r="U392" i="14" s="1"/>
  <c r="T369" i="14"/>
  <c r="U369" i="14" s="1"/>
  <c r="T358" i="14"/>
  <c r="U358" i="14" s="1"/>
  <c r="T306" i="14"/>
  <c r="U306" i="14" s="1"/>
  <c r="T116" i="14"/>
  <c r="U116" i="14" s="1"/>
  <c r="T51" i="14"/>
  <c r="U51" i="14" s="1"/>
  <c r="T614" i="14"/>
  <c r="U614" i="14" s="1"/>
  <c r="T612" i="14"/>
  <c r="U612" i="14" s="1"/>
  <c r="T543" i="14"/>
  <c r="U543" i="14" s="1"/>
  <c r="T498" i="14"/>
  <c r="U498" i="14" s="1"/>
  <c r="T424" i="14"/>
  <c r="U424" i="14" s="1"/>
  <c r="T385" i="14"/>
  <c r="U385" i="14" s="1"/>
  <c r="T381" i="14"/>
  <c r="U381" i="14" s="1"/>
  <c r="T377" i="14"/>
  <c r="U377" i="14" s="1"/>
  <c r="T364" i="14"/>
  <c r="U364" i="14" s="1"/>
  <c r="T362" i="14"/>
  <c r="U362" i="14" s="1"/>
  <c r="T347" i="14"/>
  <c r="U347" i="14" s="1"/>
  <c r="T839" i="14"/>
  <c r="U839" i="14" s="1"/>
  <c r="T755" i="14"/>
  <c r="U755" i="14" s="1"/>
  <c r="T715" i="14"/>
  <c r="U715" i="14" s="1"/>
  <c r="T662" i="14"/>
  <c r="U662" i="14" s="1"/>
  <c r="T616" i="14"/>
  <c r="U616" i="14" s="1"/>
  <c r="T591" i="14"/>
  <c r="U591" i="14" s="1"/>
  <c r="T567" i="14"/>
  <c r="U567" i="14" s="1"/>
  <c r="T384" i="14"/>
  <c r="U384" i="14" s="1"/>
  <c r="T380" i="14"/>
  <c r="U380" i="14" s="1"/>
  <c r="T378" i="14"/>
  <c r="U378" i="14" s="1"/>
  <c r="T376" i="14"/>
  <c r="U376" i="14" s="1"/>
  <c r="T368" i="14"/>
  <c r="U368" i="14" s="1"/>
  <c r="T356" i="14"/>
  <c r="U356" i="14" s="1"/>
  <c r="T352" i="14"/>
  <c r="U352" i="14" s="1"/>
  <c r="T305" i="14"/>
  <c r="U305" i="14" s="1"/>
  <c r="T197" i="14"/>
  <c r="U197" i="14" s="1"/>
  <c r="T195" i="14"/>
  <c r="U195" i="14" s="1"/>
  <c r="T193" i="14"/>
  <c r="U193" i="14" s="1"/>
  <c r="T174" i="14"/>
  <c r="U174" i="14" s="1"/>
  <c r="T172" i="14"/>
  <c r="U172" i="14" s="1"/>
  <c r="T170" i="14"/>
  <c r="U170" i="14" s="1"/>
  <c r="T168" i="14"/>
  <c r="U168" i="14" s="1"/>
  <c r="T166" i="14"/>
  <c r="U166" i="14" s="1"/>
  <c r="T164" i="14"/>
  <c r="U164" i="14" s="1"/>
  <c r="T162" i="14"/>
  <c r="U162" i="14" s="1"/>
  <c r="T160" i="14"/>
  <c r="U160" i="14" s="1"/>
  <c r="T152" i="14"/>
  <c r="U152" i="14" s="1"/>
  <c r="T133" i="14"/>
  <c r="U133" i="14" s="1"/>
  <c r="T129" i="14"/>
  <c r="U129" i="14" s="1"/>
  <c r="T105" i="14"/>
  <c r="U105" i="14" s="1"/>
  <c r="T836" i="14"/>
  <c r="U836" i="14" s="1"/>
  <c r="T833" i="14"/>
  <c r="U833" i="14" s="1"/>
  <c r="T805" i="14"/>
  <c r="U805" i="14" s="1"/>
  <c r="T803" i="14"/>
  <c r="U803" i="14" s="1"/>
  <c r="T801" i="14"/>
  <c r="U801" i="14" s="1"/>
  <c r="T799" i="14"/>
  <c r="U799" i="14" s="1"/>
  <c r="T797" i="14"/>
  <c r="U797" i="14" s="1"/>
  <c r="T793" i="14"/>
  <c r="U793" i="14" s="1"/>
  <c r="T756" i="14"/>
  <c r="U756" i="14" s="1"/>
  <c r="T738" i="14"/>
  <c r="U738" i="14" s="1"/>
  <c r="T672" i="14"/>
  <c r="U672" i="14" s="1"/>
  <c r="T592" i="14"/>
  <c r="U592" i="14" s="1"/>
  <c r="T590" i="14"/>
  <c r="U590" i="14" s="1"/>
  <c r="T580" i="14"/>
  <c r="U580" i="14" s="1"/>
  <c r="T492" i="14"/>
  <c r="U492" i="14" s="1"/>
  <c r="T474" i="14"/>
  <c r="U474" i="14" s="1"/>
  <c r="T466" i="14"/>
  <c r="U466" i="14" s="1"/>
  <c r="T382" i="14"/>
  <c r="U382" i="14" s="1"/>
  <c r="T335" i="14"/>
  <c r="U335" i="14" s="1"/>
  <c r="T303" i="14"/>
  <c r="U303" i="14" s="1"/>
  <c r="T301" i="14"/>
  <c r="U301" i="14" s="1"/>
  <c r="T299" i="14"/>
  <c r="U299" i="14" s="1"/>
  <c r="T285" i="14"/>
  <c r="U285" i="14" s="1"/>
  <c r="T279" i="14"/>
  <c r="U279" i="14" s="1"/>
  <c r="T277" i="14"/>
  <c r="U277" i="14" s="1"/>
  <c r="T273" i="14"/>
  <c r="U273" i="14" s="1"/>
  <c r="T261" i="14"/>
  <c r="U261" i="14" s="1"/>
  <c r="T251" i="14"/>
  <c r="U251" i="14" s="1"/>
  <c r="T217" i="14"/>
  <c r="U217" i="14" s="1"/>
  <c r="T187" i="14"/>
  <c r="U187" i="14" s="1"/>
  <c r="T139" i="14"/>
  <c r="U139" i="14" s="1"/>
  <c r="T137" i="14"/>
  <c r="U137" i="14" s="1"/>
  <c r="T135" i="14"/>
  <c r="U135" i="14" s="1"/>
  <c r="T117" i="14"/>
  <c r="U117" i="14" s="1"/>
  <c r="T107" i="14"/>
  <c r="U107" i="14" s="1"/>
  <c r="T100" i="14"/>
  <c r="U100" i="14" s="1"/>
  <c r="T838" i="14"/>
  <c r="U838" i="14" s="1"/>
  <c r="T588" i="14"/>
  <c r="U588" i="14" s="1"/>
  <c r="T366" i="14"/>
  <c r="U366" i="14" s="1"/>
  <c r="T17" i="14"/>
  <c r="U17" i="14" s="1"/>
  <c r="T853" i="14"/>
  <c r="U853" i="14" s="1"/>
  <c r="T849" i="14"/>
  <c r="U849" i="14" s="1"/>
  <c r="T792" i="14"/>
  <c r="U792" i="14" s="1"/>
  <c r="T770" i="14"/>
  <c r="U770" i="14" s="1"/>
  <c r="T739" i="14"/>
  <c r="U739" i="14" s="1"/>
  <c r="T725" i="14"/>
  <c r="U725" i="14" s="1"/>
  <c r="T703" i="14"/>
  <c r="U703" i="14" s="1"/>
  <c r="T694" i="14"/>
  <c r="U694" i="14" s="1"/>
  <c r="T692" i="14"/>
  <c r="U692" i="14" s="1"/>
  <c r="T673" i="14"/>
  <c r="U673" i="14" s="1"/>
  <c r="T665" i="14"/>
  <c r="U665" i="14" s="1"/>
  <c r="T651" i="14"/>
  <c r="U651" i="14" s="1"/>
  <c r="T594" i="14"/>
  <c r="U594" i="14" s="1"/>
  <c r="T558" i="14"/>
  <c r="U558" i="14" s="1"/>
  <c r="T556" i="14"/>
  <c r="U556" i="14" s="1"/>
  <c r="T554" i="14"/>
  <c r="U554" i="14" s="1"/>
  <c r="T463" i="14"/>
  <c r="U463" i="14" s="1"/>
  <c r="T459" i="14"/>
  <c r="U459" i="14" s="1"/>
  <c r="T457" i="14"/>
  <c r="U457" i="14" s="1"/>
  <c r="T453" i="14"/>
  <c r="U453" i="14" s="1"/>
  <c r="T450" i="14"/>
  <c r="U450" i="14" s="1"/>
  <c r="T445" i="14"/>
  <c r="U445" i="14" s="1"/>
  <c r="T418" i="14"/>
  <c r="U418" i="14" s="1"/>
  <c r="T408" i="14"/>
  <c r="U408" i="14" s="1"/>
  <c r="T406" i="14"/>
  <c r="U406" i="14" s="1"/>
  <c r="T404" i="14"/>
  <c r="U404" i="14" s="1"/>
  <c r="T390" i="14"/>
  <c r="U390" i="14" s="1"/>
  <c r="T374" i="14"/>
  <c r="U374" i="14" s="1"/>
  <c r="T357" i="14"/>
  <c r="U357" i="14" s="1"/>
  <c r="T355" i="14"/>
  <c r="U355" i="14" s="1"/>
  <c r="T351" i="14"/>
  <c r="U351" i="14" s="1"/>
  <c r="T345" i="14"/>
  <c r="U345" i="14" s="1"/>
  <c r="T262" i="14"/>
  <c r="U262" i="14" s="1"/>
  <c r="T260" i="14"/>
  <c r="U260" i="14" s="1"/>
  <c r="T258" i="14"/>
  <c r="U258" i="14" s="1"/>
  <c r="T256" i="14"/>
  <c r="U256" i="14" s="1"/>
  <c r="T254" i="14"/>
  <c r="U254" i="14" s="1"/>
  <c r="T134" i="14"/>
  <c r="U134" i="14" s="1"/>
  <c r="T130" i="14"/>
  <c r="U130" i="14" s="1"/>
  <c r="T126" i="14"/>
  <c r="U126" i="14" s="1"/>
  <c r="T821" i="14"/>
  <c r="U821" i="14" s="1"/>
  <c r="T817" i="14"/>
  <c r="U817" i="14" s="1"/>
  <c r="T815" i="14"/>
  <c r="U815" i="14" s="1"/>
  <c r="T813" i="14"/>
  <c r="U813" i="14" s="1"/>
  <c r="T789" i="14"/>
  <c r="U789" i="14" s="1"/>
  <c r="T783" i="14"/>
  <c r="U783" i="14" s="1"/>
  <c r="T775" i="14"/>
  <c r="U775" i="14" s="1"/>
  <c r="T741" i="14"/>
  <c r="U741" i="14" s="1"/>
  <c r="T733" i="14"/>
  <c r="U733" i="14" s="1"/>
  <c r="T729" i="14"/>
  <c r="U729" i="14" s="1"/>
  <c r="T701" i="14"/>
  <c r="U701" i="14" s="1"/>
  <c r="T649" i="14"/>
  <c r="U649" i="14" s="1"/>
  <c r="T647" i="14"/>
  <c r="U647" i="14" s="1"/>
  <c r="T645" i="14"/>
  <c r="U645" i="14" s="1"/>
  <c r="T643" i="14"/>
  <c r="U643" i="14" s="1"/>
  <c r="T641" i="14"/>
  <c r="U641" i="14" s="1"/>
  <c r="T639" i="14"/>
  <c r="U639" i="14" s="1"/>
  <c r="T637" i="14"/>
  <c r="U637" i="14" s="1"/>
  <c r="T635" i="14"/>
  <c r="U635" i="14" s="1"/>
  <c r="T633" i="14"/>
  <c r="U633" i="14" s="1"/>
  <c r="T631" i="14"/>
  <c r="U631" i="14" s="1"/>
  <c r="T629" i="14"/>
  <c r="U629" i="14" s="1"/>
  <c r="T627" i="14"/>
  <c r="U627" i="14" s="1"/>
  <c r="T625" i="14"/>
  <c r="U625" i="14" s="1"/>
  <c r="T623" i="14"/>
  <c r="U623" i="14" s="1"/>
  <c r="T593" i="14"/>
  <c r="U593" i="14" s="1"/>
  <c r="T561" i="14"/>
  <c r="U561" i="14" s="1"/>
  <c r="T552" i="14"/>
  <c r="U552" i="14" s="1"/>
  <c r="T545" i="14"/>
  <c r="U545" i="14" s="1"/>
  <c r="T532" i="14"/>
  <c r="U532" i="14" s="1"/>
  <c r="T496" i="14"/>
  <c r="U496" i="14" s="1"/>
  <c r="T383" i="14"/>
  <c r="U383" i="14" s="1"/>
  <c r="T367" i="14"/>
  <c r="U367" i="14" s="1"/>
  <c r="T338" i="14"/>
  <c r="U338" i="14" s="1"/>
  <c r="T336" i="14"/>
  <c r="U336" i="14" s="1"/>
  <c r="T5" i="14"/>
  <c r="U5" i="14" s="1"/>
  <c r="T3" i="14"/>
  <c r="U3" i="14" s="1"/>
  <c r="T861" i="14"/>
  <c r="U861" i="14" s="1"/>
  <c r="T845" i="14"/>
  <c r="U845" i="14" s="1"/>
  <c r="T828" i="14"/>
  <c r="U828" i="14" s="1"/>
  <c r="T761" i="14"/>
  <c r="U761" i="14" s="1"/>
  <c r="T710" i="14"/>
  <c r="U710" i="14" s="1"/>
  <c r="T695" i="14"/>
  <c r="U695" i="14" s="1"/>
  <c r="T691" i="14"/>
  <c r="U691" i="14" s="1"/>
  <c r="T689" i="14"/>
  <c r="U689" i="14" s="1"/>
  <c r="T683" i="14"/>
  <c r="U683" i="14" s="1"/>
  <c r="T666" i="14"/>
  <c r="U666" i="14" s="1"/>
  <c r="T664" i="14"/>
  <c r="U664" i="14" s="1"/>
  <c r="T618" i="14"/>
  <c r="U618" i="14" s="1"/>
  <c r="T613" i="14"/>
  <c r="U613" i="14" s="1"/>
  <c r="T610" i="14"/>
  <c r="U610" i="14" s="1"/>
  <c r="T608" i="14"/>
  <c r="U608" i="14" s="1"/>
  <c r="T606" i="14"/>
  <c r="U606" i="14" s="1"/>
  <c r="T604" i="14"/>
  <c r="U604" i="14" s="1"/>
  <c r="T602" i="14"/>
  <c r="U602" i="14" s="1"/>
  <c r="T600" i="14"/>
  <c r="U600" i="14" s="1"/>
  <c r="T598" i="14"/>
  <c r="U598" i="14" s="1"/>
  <c r="T596" i="14"/>
  <c r="U596" i="14" s="1"/>
  <c r="T576" i="14"/>
  <c r="U576" i="14" s="1"/>
  <c r="T564" i="14"/>
  <c r="U564" i="14" s="1"/>
  <c r="T557" i="14"/>
  <c r="U557" i="14" s="1"/>
  <c r="T548" i="14"/>
  <c r="U548" i="14" s="1"/>
  <c r="T539" i="14"/>
  <c r="U539" i="14" s="1"/>
  <c r="T537" i="14"/>
  <c r="U537" i="14" s="1"/>
  <c r="T527" i="14"/>
  <c r="U527" i="14" s="1"/>
  <c r="T525" i="14"/>
  <c r="U525" i="14" s="1"/>
  <c r="T523" i="14"/>
  <c r="U523" i="14" s="1"/>
  <c r="T521" i="14"/>
  <c r="U521" i="14" s="1"/>
  <c r="T519" i="14"/>
  <c r="U519" i="14" s="1"/>
  <c r="T517" i="14"/>
  <c r="U517" i="14" s="1"/>
  <c r="T515" i="14"/>
  <c r="U515" i="14" s="1"/>
  <c r="T513" i="14"/>
  <c r="U513" i="14" s="1"/>
  <c r="T511" i="14"/>
  <c r="U511" i="14" s="1"/>
  <c r="T509" i="14"/>
  <c r="U509" i="14" s="1"/>
  <c r="T507" i="14"/>
  <c r="U507" i="14" s="1"/>
  <c r="T505" i="14"/>
  <c r="U505" i="14" s="1"/>
  <c r="T503" i="14"/>
  <c r="U503" i="14" s="1"/>
  <c r="T458" i="14"/>
  <c r="U458" i="14" s="1"/>
  <c r="T388" i="14"/>
  <c r="U388" i="14" s="1"/>
  <c r="T386" i="14"/>
  <c r="U386" i="14" s="1"/>
  <c r="T372" i="14"/>
  <c r="U372" i="14" s="1"/>
  <c r="T370" i="14"/>
  <c r="U370" i="14" s="1"/>
  <c r="T182" i="14"/>
  <c r="U182" i="14" s="1"/>
  <c r="T180" i="14"/>
  <c r="U180" i="14" s="1"/>
  <c r="T178" i="14"/>
  <c r="U178" i="14" s="1"/>
  <c r="T175" i="14"/>
  <c r="U175" i="14" s="1"/>
  <c r="T173" i="14"/>
  <c r="U173" i="14" s="1"/>
  <c r="T171" i="14"/>
  <c r="U171" i="14" s="1"/>
  <c r="T169" i="14"/>
  <c r="U169" i="14" s="1"/>
  <c r="T167" i="14"/>
  <c r="U167" i="14" s="1"/>
  <c r="T165" i="14"/>
  <c r="U165" i="14" s="1"/>
  <c r="T163" i="14"/>
  <c r="U163" i="14" s="1"/>
  <c r="T161" i="14"/>
  <c r="U161" i="14" s="1"/>
  <c r="T144" i="14"/>
  <c r="U144" i="14" s="1"/>
  <c r="T62" i="14"/>
  <c r="U62" i="14" s="1"/>
  <c r="T60" i="14"/>
  <c r="U60" i="14" s="1"/>
  <c r="T58" i="14"/>
  <c r="U58" i="14" s="1"/>
  <c r="T56" i="14"/>
  <c r="U56" i="14" s="1"/>
  <c r="T54" i="14"/>
  <c r="U54" i="14" s="1"/>
  <c r="T52" i="14"/>
  <c r="U52" i="14" s="1"/>
  <c r="T837" i="14"/>
  <c r="U837" i="14" s="1"/>
  <c r="T835" i="14"/>
  <c r="U835" i="14" s="1"/>
  <c r="T832" i="14"/>
  <c r="U832" i="14" s="1"/>
  <c r="T830" i="14"/>
  <c r="U830" i="14" s="1"/>
  <c r="T820" i="14"/>
  <c r="U820" i="14" s="1"/>
  <c r="T818" i="14"/>
  <c r="U818" i="14" s="1"/>
  <c r="T810" i="14"/>
  <c r="U810" i="14" s="1"/>
  <c r="T794" i="14"/>
  <c r="U794" i="14" s="1"/>
  <c r="T786" i="14"/>
  <c r="U786" i="14" s="1"/>
  <c r="T784" i="14"/>
  <c r="U784" i="14" s="1"/>
  <c r="T778" i="14"/>
  <c r="U778" i="14" s="1"/>
  <c r="T776" i="14"/>
  <c r="U776" i="14" s="1"/>
  <c r="T746" i="14"/>
  <c r="U746" i="14" s="1"/>
  <c r="T742" i="14"/>
  <c r="U742" i="14" s="1"/>
  <c r="T698" i="14"/>
  <c r="U698" i="14" s="1"/>
  <c r="T655" i="14"/>
  <c r="U655" i="14" s="1"/>
  <c r="T653" i="14"/>
  <c r="U653" i="14" s="1"/>
  <c r="T648" i="14"/>
  <c r="U648" i="14" s="1"/>
  <c r="T646" i="14"/>
  <c r="U646" i="14" s="1"/>
  <c r="T644" i="14"/>
  <c r="U644" i="14" s="1"/>
  <c r="T642" i="14"/>
  <c r="U642" i="14" s="1"/>
  <c r="T640" i="14"/>
  <c r="U640" i="14" s="1"/>
  <c r="T638" i="14"/>
  <c r="U638" i="14" s="1"/>
  <c r="T636" i="14"/>
  <c r="U636" i="14" s="1"/>
  <c r="T634" i="14"/>
  <c r="U634" i="14" s="1"/>
  <c r="T632" i="14"/>
  <c r="U632" i="14" s="1"/>
  <c r="T630" i="14"/>
  <c r="U630" i="14" s="1"/>
  <c r="T628" i="14"/>
  <c r="U628" i="14" s="1"/>
  <c r="T626" i="14"/>
  <c r="U626" i="14" s="1"/>
  <c r="T624" i="14"/>
  <c r="U624" i="14" s="1"/>
  <c r="T622" i="14"/>
  <c r="U622" i="14" s="1"/>
  <c r="T563" i="14"/>
  <c r="U563" i="14" s="1"/>
  <c r="T560" i="14"/>
  <c r="U560" i="14" s="1"/>
  <c r="T547" i="14"/>
  <c r="U547" i="14" s="1"/>
  <c r="T533" i="14"/>
  <c r="U533" i="14" s="1"/>
  <c r="T530" i="14"/>
  <c r="U530" i="14" s="1"/>
  <c r="T495" i="14"/>
  <c r="U495" i="14" s="1"/>
  <c r="T488" i="14"/>
  <c r="U488" i="14" s="1"/>
  <c r="T484" i="14"/>
  <c r="U484" i="14" s="1"/>
  <c r="T480" i="14"/>
  <c r="U480" i="14" s="1"/>
  <c r="T446" i="14"/>
  <c r="U446" i="14" s="1"/>
  <c r="T426" i="14"/>
  <c r="U426" i="14" s="1"/>
  <c r="T391" i="14"/>
  <c r="U391" i="14" s="1"/>
  <c r="T375" i="14"/>
  <c r="U375" i="14" s="1"/>
  <c r="T331" i="14"/>
  <c r="U331" i="14" s="1"/>
  <c r="T215" i="14"/>
  <c r="U215" i="14" s="1"/>
  <c r="T118" i="14"/>
  <c r="U118" i="14" s="1"/>
  <c r="T470" i="14"/>
  <c r="U470" i="14" s="1"/>
  <c r="T461" i="14"/>
  <c r="U461" i="14" s="1"/>
  <c r="T452" i="14"/>
  <c r="U452" i="14" s="1"/>
  <c r="T447" i="14"/>
  <c r="U447" i="14" s="1"/>
  <c r="T443" i="14"/>
  <c r="U443" i="14" s="1"/>
  <c r="T438" i="14"/>
  <c r="U438" i="14" s="1"/>
  <c r="T436" i="14"/>
  <c r="U436" i="14" s="1"/>
  <c r="T434" i="14"/>
  <c r="U434" i="14" s="1"/>
  <c r="T416" i="14"/>
  <c r="U416" i="14" s="1"/>
  <c r="T409" i="14"/>
  <c r="U409" i="14" s="1"/>
  <c r="T402" i="14"/>
  <c r="U402" i="14" s="1"/>
  <c r="T400" i="14"/>
  <c r="U400" i="14" s="1"/>
  <c r="T353" i="14"/>
  <c r="U353" i="14" s="1"/>
  <c r="T350" i="14"/>
  <c r="U350" i="14" s="1"/>
  <c r="T346" i="14"/>
  <c r="U346" i="14" s="1"/>
  <c r="T344" i="14"/>
  <c r="U344" i="14" s="1"/>
  <c r="T332" i="14"/>
  <c r="U332" i="14" s="1"/>
  <c r="T324" i="14"/>
  <c r="U324" i="14" s="1"/>
  <c r="T315" i="14"/>
  <c r="U315" i="14" s="1"/>
  <c r="T310" i="14"/>
  <c r="U310" i="14" s="1"/>
  <c r="T282" i="14"/>
  <c r="U282" i="14" s="1"/>
  <c r="T267" i="14"/>
  <c r="U267" i="14" s="1"/>
  <c r="T265" i="14"/>
  <c r="U265" i="14" s="1"/>
  <c r="T179" i="14"/>
  <c r="U179" i="14" s="1"/>
  <c r="T158" i="14"/>
  <c r="U158" i="14" s="1"/>
  <c r="T156" i="14"/>
  <c r="U156" i="14" s="1"/>
  <c r="T150" i="14"/>
  <c r="U150" i="14" s="1"/>
  <c r="T148" i="14"/>
  <c r="U148" i="14" s="1"/>
  <c r="T142" i="14"/>
  <c r="U142" i="14" s="1"/>
  <c r="T138" i="14"/>
  <c r="U138" i="14" s="1"/>
  <c r="T136" i="14"/>
  <c r="U136" i="14" s="1"/>
  <c r="T131" i="14"/>
  <c r="U131" i="14" s="1"/>
  <c r="T123" i="14"/>
  <c r="U123" i="14" s="1"/>
  <c r="T119" i="14"/>
  <c r="U119" i="14" s="1"/>
  <c r="T114" i="14"/>
  <c r="U114" i="14" s="1"/>
  <c r="T112" i="14"/>
  <c r="U112" i="14" s="1"/>
  <c r="T110" i="14"/>
  <c r="U110" i="14" s="1"/>
  <c r="T103" i="14"/>
  <c r="U103" i="14" s="1"/>
  <c r="T101" i="14"/>
  <c r="U101" i="14" s="1"/>
  <c r="T99" i="14"/>
  <c r="U99" i="14" s="1"/>
  <c r="T97" i="14"/>
  <c r="U97" i="14" s="1"/>
  <c r="T95" i="14"/>
  <c r="U95" i="14" s="1"/>
  <c r="T93" i="14"/>
  <c r="U93" i="14" s="1"/>
  <c r="T91" i="14"/>
  <c r="U91" i="14" s="1"/>
  <c r="T89" i="14"/>
  <c r="U89" i="14" s="1"/>
  <c r="T87" i="14"/>
  <c r="U87" i="14" s="1"/>
  <c r="T85" i="14"/>
  <c r="U85" i="14" s="1"/>
  <c r="T83" i="14"/>
  <c r="U83" i="14" s="1"/>
  <c r="T81" i="14"/>
  <c r="U81" i="14" s="1"/>
  <c r="T79" i="14"/>
  <c r="U79" i="14" s="1"/>
  <c r="T77" i="14"/>
  <c r="U77" i="14" s="1"/>
  <c r="T75" i="14"/>
  <c r="U75" i="14" s="1"/>
  <c r="T73" i="14"/>
  <c r="U73" i="14" s="1"/>
  <c r="T71" i="14"/>
  <c r="U71" i="14" s="1"/>
  <c r="T69" i="14"/>
  <c r="U69" i="14" s="1"/>
  <c r="T67" i="14"/>
  <c r="U67" i="14" s="1"/>
  <c r="T50" i="14"/>
  <c r="U50" i="14" s="1"/>
  <c r="T16" i="14"/>
  <c r="U16" i="14" s="1"/>
  <c r="T14" i="14"/>
  <c r="U14" i="14" s="1"/>
  <c r="T12" i="14"/>
  <c r="U12" i="14" s="1"/>
  <c r="T10" i="14"/>
  <c r="U10" i="14" s="1"/>
  <c r="T8" i="14"/>
  <c r="U8" i="14" s="1"/>
  <c r="T407" i="14"/>
  <c r="U407" i="14" s="1"/>
  <c r="T399" i="14"/>
  <c r="U399" i="14" s="1"/>
  <c r="T349" i="14"/>
  <c r="U349" i="14" s="1"/>
  <c r="T308" i="14"/>
  <c r="U308" i="14" s="1"/>
  <c r="T270" i="14"/>
  <c r="U270" i="14" s="1"/>
  <c r="T264" i="14"/>
  <c r="U264" i="14" s="1"/>
  <c r="T249" i="14"/>
  <c r="U249" i="14" s="1"/>
  <c r="T241" i="14"/>
  <c r="U241" i="14" s="1"/>
  <c r="T233" i="14"/>
  <c r="U233" i="14" s="1"/>
  <c r="T221" i="14"/>
  <c r="U221" i="14" s="1"/>
  <c r="T184" i="14"/>
  <c r="U184" i="14" s="1"/>
  <c r="T177" i="14"/>
  <c r="U177" i="14" s="1"/>
  <c r="T176" i="14"/>
  <c r="U176" i="14" s="1"/>
  <c r="T143" i="14"/>
  <c r="U143" i="14" s="1"/>
  <c r="T132" i="14"/>
  <c r="U132" i="14" s="1"/>
  <c r="T122" i="14"/>
  <c r="U122" i="14" s="1"/>
  <c r="T104" i="14"/>
  <c r="U104" i="14" s="1"/>
  <c r="T24" i="14"/>
  <c r="U24" i="14" s="1"/>
  <c r="T22" i="14"/>
  <c r="U22" i="14" s="1"/>
  <c r="T721" i="14"/>
  <c r="U721" i="14" s="1"/>
  <c r="T856" i="14"/>
  <c r="U856" i="14" s="1"/>
  <c r="T854" i="14"/>
  <c r="U854" i="14" s="1"/>
  <c r="T848" i="14"/>
  <c r="U848" i="14" s="1"/>
  <c r="T846" i="14"/>
  <c r="U846" i="14" s="1"/>
  <c r="T843" i="14"/>
  <c r="U843" i="14" s="1"/>
  <c r="T841" i="14"/>
  <c r="U841" i="14" s="1"/>
  <c r="T807" i="14"/>
  <c r="U807" i="14" s="1"/>
  <c r="T790" i="14"/>
  <c r="U790" i="14" s="1"/>
  <c r="T788" i="14"/>
  <c r="U788" i="14" s="1"/>
  <c r="T779" i="14"/>
  <c r="U779" i="14" s="1"/>
  <c r="T774" i="14"/>
  <c r="U774" i="14" s="1"/>
  <c r="T772" i="14"/>
  <c r="U772" i="14" s="1"/>
  <c r="T766" i="14"/>
  <c r="U766" i="14" s="1"/>
  <c r="T764" i="14"/>
  <c r="U764" i="14" s="1"/>
  <c r="T757" i="14"/>
  <c r="U757" i="14" s="1"/>
  <c r="T752" i="14"/>
  <c r="U752" i="14" s="1"/>
  <c r="T748" i="14"/>
  <c r="U748" i="14" s="1"/>
  <c r="T745" i="14"/>
  <c r="U745" i="14" s="1"/>
  <c r="T740" i="14"/>
  <c r="U740" i="14" s="1"/>
  <c r="T737" i="14"/>
  <c r="U737" i="14" s="1"/>
  <c r="T735" i="14"/>
  <c r="U735" i="14" s="1"/>
  <c r="T722" i="14"/>
  <c r="U722" i="14" s="1"/>
  <c r="T719" i="14"/>
  <c r="U719" i="14" s="1"/>
  <c r="T714" i="14"/>
  <c r="U714" i="14" s="1"/>
  <c r="T711" i="14"/>
  <c r="U711" i="14" s="1"/>
  <c r="T709" i="14"/>
  <c r="U709" i="14" s="1"/>
  <c r="T686" i="14"/>
  <c r="U686" i="14" s="1"/>
  <c r="T684" i="14"/>
  <c r="U684" i="14" s="1"/>
  <c r="T680" i="14"/>
  <c r="U680" i="14" s="1"/>
  <c r="T676" i="14"/>
  <c r="U676" i="14" s="1"/>
  <c r="T577" i="14"/>
  <c r="U577" i="14" s="1"/>
  <c r="T553" i="14"/>
  <c r="U553" i="14" s="1"/>
  <c r="T467" i="14"/>
  <c r="U467" i="14" s="1"/>
  <c r="T411" i="14"/>
  <c r="U411" i="14" s="1"/>
  <c r="T811" i="14"/>
  <c r="U811" i="14" s="1"/>
  <c r="T834" i="14"/>
  <c r="U834" i="14" s="1"/>
  <c r="T831" i="14"/>
  <c r="U831" i="14" s="1"/>
  <c r="T816" i="14"/>
  <c r="U816" i="14" s="1"/>
  <c r="T814" i="14"/>
  <c r="U814" i="14" s="1"/>
  <c r="T795" i="14"/>
  <c r="U795" i="14" s="1"/>
  <c r="T621" i="14"/>
  <c r="U621" i="14" s="1"/>
  <c r="T589" i="14"/>
  <c r="U589" i="14" s="1"/>
  <c r="T565" i="14"/>
  <c r="U565" i="14" s="1"/>
  <c r="T549" i="14"/>
  <c r="U549" i="14" s="1"/>
  <c r="T387" i="14"/>
  <c r="U387" i="14" s="1"/>
  <c r="T379" i="14"/>
  <c r="U379" i="14" s="1"/>
  <c r="T371" i="14"/>
  <c r="U371" i="14" s="1"/>
  <c r="T860" i="14"/>
  <c r="U860" i="14" s="1"/>
  <c r="T858" i="14"/>
  <c r="U858" i="14" s="1"/>
  <c r="T852" i="14"/>
  <c r="U852" i="14" s="1"/>
  <c r="T850" i="14"/>
  <c r="U850" i="14" s="1"/>
  <c r="T844" i="14"/>
  <c r="U844" i="14" s="1"/>
  <c r="T840" i="14"/>
  <c r="U840" i="14" s="1"/>
  <c r="T823" i="14"/>
  <c r="U823" i="14" s="1"/>
  <c r="T806" i="14"/>
  <c r="U806" i="14" s="1"/>
  <c r="T804" i="14"/>
  <c r="U804" i="14" s="1"/>
  <c r="T802" i="14"/>
  <c r="U802" i="14" s="1"/>
  <c r="T800" i="14"/>
  <c r="U800" i="14" s="1"/>
  <c r="T798" i="14"/>
  <c r="U798" i="14" s="1"/>
  <c r="T796" i="14"/>
  <c r="U796" i="14" s="1"/>
  <c r="T791" i="14"/>
  <c r="U791" i="14" s="1"/>
  <c r="T782" i="14"/>
  <c r="U782" i="14" s="1"/>
  <c r="T780" i="14"/>
  <c r="U780" i="14" s="1"/>
  <c r="T771" i="14"/>
  <c r="U771" i="14" s="1"/>
  <c r="T767" i="14"/>
  <c r="U767" i="14" s="1"/>
  <c r="T765" i="14"/>
  <c r="U765" i="14" s="1"/>
  <c r="T763" i="14"/>
  <c r="U763" i="14" s="1"/>
  <c r="T758" i="14"/>
  <c r="U758" i="14" s="1"/>
  <c r="T751" i="14"/>
  <c r="U751" i="14" s="1"/>
  <c r="T744" i="14"/>
  <c r="U744" i="14" s="1"/>
  <c r="T734" i="14"/>
  <c r="U734" i="14" s="1"/>
  <c r="T732" i="14"/>
  <c r="U732" i="14" s="1"/>
  <c r="T730" i="14"/>
  <c r="U730" i="14" s="1"/>
  <c r="T728" i="14"/>
  <c r="U728" i="14" s="1"/>
  <c r="T705" i="14"/>
  <c r="U705" i="14" s="1"/>
  <c r="T700" i="14"/>
  <c r="U700" i="14" s="1"/>
  <c r="T697" i="14"/>
  <c r="U697" i="14" s="1"/>
  <c r="T687" i="14"/>
  <c r="U687" i="14" s="1"/>
  <c r="T678" i="14"/>
  <c r="U678" i="14" s="1"/>
  <c r="T473" i="14"/>
  <c r="U473" i="14" s="1"/>
  <c r="T439" i="14"/>
  <c r="U439" i="14" s="1"/>
  <c r="T583" i="14"/>
  <c r="U583" i="14" s="1"/>
  <c r="T573" i="14"/>
  <c r="U573" i="14" s="1"/>
  <c r="T571" i="14"/>
  <c r="U571" i="14" s="1"/>
  <c r="T569" i="14"/>
  <c r="U569" i="14" s="1"/>
  <c r="T476" i="14"/>
  <c r="U476" i="14" s="1"/>
  <c r="T471" i="14"/>
  <c r="U471" i="14" s="1"/>
  <c r="T468" i="14"/>
  <c r="U468" i="14" s="1"/>
  <c r="T431" i="14"/>
  <c r="U431" i="14" s="1"/>
  <c r="T414" i="14"/>
  <c r="U414" i="14" s="1"/>
  <c r="T342" i="14"/>
  <c r="U342" i="14" s="1"/>
  <c r="T337" i="14"/>
  <c r="U337" i="14" s="1"/>
  <c r="T534" i="14"/>
  <c r="U534" i="14" s="1"/>
  <c r="T506" i="14"/>
  <c r="U506" i="14" s="1"/>
  <c r="T504" i="14"/>
  <c r="U504" i="14" s="1"/>
  <c r="T462" i="14"/>
  <c r="U462" i="14" s="1"/>
  <c r="T421" i="14"/>
  <c r="U421" i="14" s="1"/>
  <c r="T401" i="14"/>
  <c r="U401" i="14" s="1"/>
  <c r="T395" i="14"/>
  <c r="U395" i="14" s="1"/>
  <c r="T365" i="14"/>
  <c r="U365" i="14" s="1"/>
  <c r="T363" i="14"/>
  <c r="U363" i="14" s="1"/>
  <c r="T361" i="14"/>
  <c r="U361" i="14" s="1"/>
  <c r="T329" i="14"/>
  <c r="U329" i="14" s="1"/>
  <c r="T318" i="14"/>
  <c r="U318" i="14" s="1"/>
  <c r="T278" i="14"/>
  <c r="U278" i="14" s="1"/>
  <c r="T274" i="14"/>
  <c r="U274" i="14" s="1"/>
  <c r="T102" i="14"/>
  <c r="U102" i="14" s="1"/>
  <c r="T704" i="14"/>
  <c r="U704" i="14" s="1"/>
  <c r="T696" i="14"/>
  <c r="U696" i="14" s="1"/>
  <c r="T693" i="14"/>
  <c r="U693" i="14" s="1"/>
  <c r="T690" i="14"/>
  <c r="U690" i="14" s="1"/>
  <c r="T688" i="14"/>
  <c r="U688" i="14" s="1"/>
  <c r="T685" i="14"/>
  <c r="U685" i="14" s="1"/>
  <c r="T682" i="14"/>
  <c r="U682" i="14" s="1"/>
  <c r="T674" i="14"/>
  <c r="U674" i="14" s="1"/>
  <c r="T582" i="14"/>
  <c r="U582" i="14" s="1"/>
  <c r="T572" i="14"/>
  <c r="U572" i="14" s="1"/>
  <c r="T570" i="14"/>
  <c r="U570" i="14" s="1"/>
  <c r="T501" i="14"/>
  <c r="U501" i="14" s="1"/>
  <c r="T475" i="14"/>
  <c r="U475" i="14" s="1"/>
  <c r="T472" i="14"/>
  <c r="U472" i="14" s="1"/>
  <c r="T455" i="14"/>
  <c r="U455" i="14" s="1"/>
  <c r="T444" i="14"/>
  <c r="U444" i="14" s="1"/>
  <c r="T430" i="14"/>
  <c r="U430" i="14" s="1"/>
  <c r="T428" i="14"/>
  <c r="U428" i="14" s="1"/>
  <c r="T427" i="14"/>
  <c r="U427" i="14" s="1"/>
  <c r="T423" i="14"/>
  <c r="U423" i="14" s="1"/>
  <c r="T415" i="14"/>
  <c r="U415" i="14" s="1"/>
  <c r="T405" i="14"/>
  <c r="U405" i="14" s="1"/>
  <c r="T394" i="14"/>
  <c r="U394" i="14" s="1"/>
  <c r="T333" i="14"/>
  <c r="U333" i="14" s="1"/>
  <c r="T317" i="14"/>
  <c r="U317" i="14" s="1"/>
  <c r="T327" i="14"/>
  <c r="U327" i="14" s="1"/>
  <c r="T321" i="14"/>
  <c r="U321" i="14" s="1"/>
  <c r="T319" i="14"/>
  <c r="U319" i="14" s="1"/>
  <c r="T314" i="14"/>
  <c r="U314" i="14" s="1"/>
  <c r="T304" i="14"/>
  <c r="U304" i="14" s="1"/>
  <c r="T297" i="14"/>
  <c r="U297" i="14" s="1"/>
  <c r="T295" i="14"/>
  <c r="U295" i="14" s="1"/>
  <c r="T289" i="14"/>
  <c r="U289" i="14" s="1"/>
  <c r="T284" i="14"/>
  <c r="U284" i="14" s="1"/>
  <c r="T268" i="14"/>
  <c r="U268" i="14" s="1"/>
  <c r="T252" i="14"/>
  <c r="U252" i="14" s="1"/>
  <c r="T247" i="14"/>
  <c r="U247" i="14" s="1"/>
  <c r="T244" i="14"/>
  <c r="U244" i="14" s="1"/>
  <c r="T239" i="14"/>
  <c r="U239" i="14" s="1"/>
  <c r="T236" i="14"/>
  <c r="U236" i="14" s="1"/>
  <c r="T231" i="14"/>
  <c r="U231" i="14" s="1"/>
  <c r="T228" i="14"/>
  <c r="U228" i="14" s="1"/>
  <c r="T225" i="14"/>
  <c r="U225" i="14" s="1"/>
  <c r="T222" i="14"/>
  <c r="U222" i="14" s="1"/>
  <c r="T219" i="14"/>
  <c r="U219" i="14" s="1"/>
  <c r="T213" i="14"/>
  <c r="U213" i="14" s="1"/>
  <c r="T209" i="14"/>
  <c r="U209" i="14" s="1"/>
  <c r="T205" i="14"/>
  <c r="U205" i="14" s="1"/>
  <c r="T201" i="14"/>
  <c r="U201" i="14" s="1"/>
  <c r="T199" i="14"/>
  <c r="U199" i="14" s="1"/>
  <c r="T185" i="14"/>
  <c r="U185" i="14" s="1"/>
  <c r="T157" i="14"/>
  <c r="U157" i="14" s="1"/>
  <c r="T155" i="14"/>
  <c r="U155" i="14" s="1"/>
  <c r="T151" i="14"/>
  <c r="U151" i="14" s="1"/>
  <c r="T147" i="14"/>
  <c r="U147" i="14" s="1"/>
  <c r="T141" i="14"/>
  <c r="U141" i="14" s="1"/>
  <c r="T127" i="14"/>
  <c r="U127" i="14" s="1"/>
  <c r="T125" i="14"/>
  <c r="U125" i="14" s="1"/>
  <c r="T113" i="14"/>
  <c r="U113" i="14" s="1"/>
  <c r="T108" i="14"/>
  <c r="U108" i="14" s="1"/>
  <c r="T343" i="14"/>
  <c r="U343" i="14" s="1"/>
  <c r="T339" i="14"/>
  <c r="U339" i="14" s="1"/>
  <c r="T328" i="14"/>
  <c r="U328" i="14" s="1"/>
  <c r="T312" i="14"/>
  <c r="U312" i="14" s="1"/>
  <c r="T309" i="14"/>
  <c r="U309" i="14" s="1"/>
  <c r="T293" i="14"/>
  <c r="U293" i="14" s="1"/>
  <c r="T291" i="14"/>
  <c r="U291" i="14" s="1"/>
  <c r="T269" i="14"/>
  <c r="U269" i="14" s="1"/>
  <c r="T263" i="14"/>
  <c r="U263" i="14" s="1"/>
  <c r="T245" i="14"/>
  <c r="U245" i="14" s="1"/>
  <c r="T242" i="14"/>
  <c r="U242" i="14" s="1"/>
  <c r="T237" i="14"/>
  <c r="U237" i="14" s="1"/>
  <c r="T234" i="14"/>
  <c r="U234" i="14" s="1"/>
  <c r="T229" i="14"/>
  <c r="U229" i="14" s="1"/>
  <c r="T226" i="14"/>
  <c r="U226" i="14" s="1"/>
  <c r="T223" i="14"/>
  <c r="U223" i="14" s="1"/>
  <c r="T214" i="14"/>
  <c r="U214" i="14" s="1"/>
  <c r="T191" i="14"/>
  <c r="U191" i="14" s="1"/>
  <c r="T183" i="14"/>
  <c r="U183" i="14" s="1"/>
  <c r="T121" i="14"/>
  <c r="U121" i="14" s="1"/>
  <c r="T106" i="14"/>
  <c r="U106" i="14" s="1"/>
  <c r="T65" i="14"/>
  <c r="U65" i="14" s="1"/>
  <c r="T63" i="14"/>
  <c r="U63" i="14" s="1"/>
  <c r="T48" i="14"/>
  <c r="U48" i="14" s="1"/>
  <c r="T46" i="14"/>
  <c r="U46" i="14" s="1"/>
  <c r="T44" i="14"/>
  <c r="U44" i="14" s="1"/>
  <c r="T42" i="14"/>
  <c r="U42" i="14" s="1"/>
  <c r="T40" i="14"/>
  <c r="U40" i="14" s="1"/>
  <c r="T38" i="14"/>
  <c r="U38" i="14" s="1"/>
  <c r="T36" i="14"/>
  <c r="U36" i="14" s="1"/>
  <c r="T34" i="14"/>
  <c r="U34" i="14" s="1"/>
  <c r="T32" i="14"/>
  <c r="U32" i="14" s="1"/>
  <c r="T30" i="14"/>
  <c r="U30" i="14" s="1"/>
  <c r="T28" i="14"/>
  <c r="U28" i="14" s="1"/>
  <c r="T25" i="14"/>
  <c r="U25" i="14" s="1"/>
  <c r="T316" i="14"/>
  <c r="U316" i="14" s="1"/>
  <c r="T307" i="14"/>
  <c r="U307" i="14" s="1"/>
  <c r="T276" i="14"/>
  <c r="U276" i="14" s="1"/>
  <c r="T275" i="14"/>
  <c r="U275" i="14" s="1"/>
  <c r="T248" i="14"/>
  <c r="U248" i="14" s="1"/>
  <c r="T243" i="14"/>
  <c r="U243" i="14" s="1"/>
  <c r="T240" i="14"/>
  <c r="U240" i="14" s="1"/>
  <c r="T235" i="14"/>
  <c r="U235" i="14" s="1"/>
  <c r="T232" i="14"/>
  <c r="U232" i="14" s="1"/>
  <c r="T227" i="14"/>
  <c r="U227" i="14" s="1"/>
  <c r="T220" i="14"/>
  <c r="U220" i="14" s="1"/>
  <c r="T189" i="14"/>
  <c r="U189" i="14" s="1"/>
  <c r="T181" i="14"/>
  <c r="U181" i="14" s="1"/>
  <c r="T98" i="14"/>
  <c r="U98" i="14" s="1"/>
  <c r="T26" i="14"/>
  <c r="U26" i="14" s="1"/>
  <c r="T23" i="14"/>
  <c r="U23" i="14" s="1"/>
  <c r="T20" i="14"/>
  <c r="U20" i="14" s="1"/>
  <c r="T18" i="14"/>
  <c r="U18" i="14" s="1"/>
  <c r="T855" i="14"/>
  <c r="U855" i="14" s="1"/>
  <c r="T847" i="14"/>
  <c r="U847" i="14" s="1"/>
  <c r="T842" i="14"/>
  <c r="U842" i="14" s="1"/>
  <c r="T859" i="14"/>
  <c r="U859" i="14" s="1"/>
  <c r="T851" i="14"/>
  <c r="U851" i="14" s="1"/>
  <c r="T785" i="14"/>
  <c r="U785" i="14" s="1"/>
  <c r="T781" i="14"/>
  <c r="U781" i="14" s="1"/>
  <c r="T777" i="14"/>
  <c r="U777" i="14" s="1"/>
  <c r="T773" i="14"/>
  <c r="U773" i="14" s="1"/>
  <c r="T769" i="14"/>
  <c r="U769" i="14" s="1"/>
  <c r="T736" i="14"/>
  <c r="U736" i="14" s="1"/>
  <c r="T726" i="14"/>
  <c r="U726" i="14" s="1"/>
  <c r="T731" i="14"/>
  <c r="U731" i="14" s="1"/>
  <c r="T727" i="14"/>
  <c r="U727" i="14" s="1"/>
  <c r="T718" i="14"/>
  <c r="U718" i="14" s="1"/>
  <c r="T713" i="14"/>
  <c r="U713" i="14" s="1"/>
  <c r="T708" i="14"/>
  <c r="U708" i="14" s="1"/>
  <c r="T679" i="14"/>
  <c r="U679" i="14" s="1"/>
  <c r="T675" i="14"/>
  <c r="U675" i="14" s="1"/>
  <c r="T669" i="14"/>
  <c r="U669" i="14" s="1"/>
  <c r="T658" i="14"/>
  <c r="U658" i="14" s="1"/>
  <c r="T723" i="14"/>
  <c r="U723" i="14" s="1"/>
  <c r="T717" i="14"/>
  <c r="U717" i="14" s="1"/>
  <c r="T712" i="14"/>
  <c r="U712" i="14" s="1"/>
  <c r="T707" i="14"/>
  <c r="U707" i="14" s="1"/>
  <c r="T681" i="14"/>
  <c r="U681" i="14" s="1"/>
  <c r="T677" i="14"/>
  <c r="U677" i="14" s="1"/>
  <c r="T670" i="14"/>
  <c r="U670" i="14" s="1"/>
  <c r="T668" i="14"/>
  <c r="U668" i="14" s="1"/>
  <c r="T659" i="14"/>
  <c r="U659" i="14" s="1"/>
  <c r="T657" i="14"/>
  <c r="U657" i="14" s="1"/>
  <c r="T568" i="14"/>
  <c r="U568" i="14" s="1"/>
  <c r="T489" i="14"/>
  <c r="U489" i="14" s="1"/>
  <c r="T485" i="14"/>
  <c r="U485" i="14" s="1"/>
  <c r="T481" i="14"/>
  <c r="U481" i="14" s="1"/>
  <c r="T403" i="14"/>
  <c r="U403" i="14" s="1"/>
  <c r="T393" i="14"/>
  <c r="U393" i="14" s="1"/>
  <c r="T354" i="14"/>
  <c r="U354" i="14" s="1"/>
  <c r="T490" i="14"/>
  <c r="U490" i="14" s="1"/>
  <c r="T486" i="14"/>
  <c r="U486" i="14" s="1"/>
  <c r="T482" i="14"/>
  <c r="U482" i="14" s="1"/>
  <c r="T478" i="14"/>
  <c r="U478" i="14" s="1"/>
  <c r="T460" i="14"/>
  <c r="U460" i="14" s="1"/>
  <c r="T435" i="14"/>
  <c r="U435" i="14" s="1"/>
  <c r="T433" i="14"/>
  <c r="U433" i="14" s="1"/>
  <c r="T419" i="14"/>
  <c r="U419" i="14" s="1"/>
  <c r="T412" i="14"/>
  <c r="U412" i="14" s="1"/>
  <c r="T359" i="14"/>
  <c r="U359" i="14" s="1"/>
  <c r="T340" i="14"/>
  <c r="U340" i="14" s="1"/>
  <c r="T322" i="14"/>
  <c r="U322" i="14" s="1"/>
  <c r="T320" i="14"/>
  <c r="U320" i="14" s="1"/>
  <c r="T491" i="14"/>
  <c r="U491" i="14" s="1"/>
  <c r="T487" i="14"/>
  <c r="U487" i="14" s="1"/>
  <c r="T483" i="14"/>
  <c r="U483" i="14" s="1"/>
  <c r="T479" i="14"/>
  <c r="U479" i="14" s="1"/>
  <c r="T464" i="14"/>
  <c r="U464" i="14" s="1"/>
  <c r="T425" i="14"/>
  <c r="U425" i="14" s="1"/>
  <c r="T420" i="14"/>
  <c r="U420" i="14" s="1"/>
  <c r="T413" i="14"/>
  <c r="U413" i="14" s="1"/>
  <c r="T360" i="14"/>
  <c r="U360" i="14" s="1"/>
  <c r="T348" i="14"/>
  <c r="U348" i="14" s="1"/>
  <c r="T341" i="14"/>
  <c r="U341" i="14" s="1"/>
  <c r="T323" i="14"/>
  <c r="U323" i="14" s="1"/>
  <c r="T280" i="14"/>
  <c r="U280" i="14" s="1"/>
  <c r="T300" i="14"/>
  <c r="U300" i="14" s="1"/>
  <c r="T296" i="14"/>
  <c r="U296" i="14" s="1"/>
  <c r="T292" i="14"/>
  <c r="U292" i="14" s="1"/>
  <c r="T281" i="14"/>
  <c r="U281" i="14" s="1"/>
  <c r="T271" i="14"/>
  <c r="U271" i="14" s="1"/>
  <c r="T257" i="14"/>
  <c r="U257" i="14" s="1"/>
  <c r="T253" i="14"/>
  <c r="U253" i="14" s="1"/>
  <c r="T210" i="14"/>
  <c r="U210" i="14" s="1"/>
  <c r="T206" i="14"/>
  <c r="U206" i="14" s="1"/>
  <c r="T202" i="14"/>
  <c r="U202" i="14" s="1"/>
  <c r="T211" i="14"/>
  <c r="U211" i="14" s="1"/>
  <c r="T207" i="14"/>
  <c r="U207" i="14" s="1"/>
  <c r="T203" i="14"/>
  <c r="U203" i="14" s="1"/>
  <c r="T313" i="14"/>
  <c r="U313" i="14" s="1"/>
  <c r="T302" i="14"/>
  <c r="U302" i="14" s="1"/>
  <c r="T298" i="14"/>
  <c r="U298" i="14" s="1"/>
  <c r="T294" i="14"/>
  <c r="U294" i="14" s="1"/>
  <c r="T283" i="14"/>
  <c r="U283" i="14" s="1"/>
  <c r="T266" i="14"/>
  <c r="U266" i="14" s="1"/>
  <c r="T259" i="14"/>
  <c r="U259" i="14" s="1"/>
  <c r="T255" i="14"/>
  <c r="U255" i="14" s="1"/>
  <c r="T212" i="14"/>
  <c r="U212" i="14" s="1"/>
  <c r="T208" i="14"/>
  <c r="U208" i="14" s="1"/>
  <c r="T204" i="14"/>
  <c r="U204" i="14" s="1"/>
  <c r="T149" i="14"/>
  <c r="U149" i="14" s="1"/>
  <c r="T145" i="14"/>
  <c r="U145" i="14" s="1"/>
  <c r="T128" i="14"/>
  <c r="U128" i="14" s="1"/>
  <c r="T120" i="14"/>
  <c r="U120" i="14" s="1"/>
  <c r="T154" i="14"/>
  <c r="U154" i="14" s="1"/>
  <c r="T124" i="14"/>
  <c r="U124" i="14" s="1"/>
  <c r="T96" i="14"/>
  <c r="U96" i="14" s="1"/>
  <c r="T94" i="14"/>
  <c r="U94" i="14" s="1"/>
  <c r="T92" i="14"/>
  <c r="U92" i="14" s="1"/>
  <c r="T90" i="14"/>
  <c r="U90" i="14" s="1"/>
  <c r="T88" i="14"/>
  <c r="U88" i="14" s="1"/>
  <c r="T86" i="14"/>
  <c r="U86" i="14" s="1"/>
  <c r="T84" i="14"/>
  <c r="U84" i="14" s="1"/>
  <c r="T82" i="14"/>
  <c r="U82" i="14" s="1"/>
  <c r="T80" i="14"/>
  <c r="U80" i="14" s="1"/>
  <c r="T78" i="14"/>
  <c r="U78" i="14" s="1"/>
  <c r="T76" i="14"/>
  <c r="U76" i="14" s="1"/>
  <c r="T74" i="14"/>
  <c r="U74" i="14" s="1"/>
  <c r="T72" i="14"/>
  <c r="U72" i="14" s="1"/>
  <c r="T70" i="14"/>
  <c r="U70" i="14" s="1"/>
  <c r="T68" i="14"/>
  <c r="U68" i="14" s="1"/>
  <c r="T66" i="14"/>
  <c r="U66" i="14" s="1"/>
  <c r="T64" i="14"/>
  <c r="U64" i="14" s="1"/>
  <c r="T49" i="14"/>
  <c r="U49" i="14" s="1"/>
  <c r="T47" i="14"/>
  <c r="U47" i="14" s="1"/>
  <c r="T45" i="14"/>
  <c r="U45" i="14" s="1"/>
  <c r="T43" i="14"/>
  <c r="U43" i="14" s="1"/>
  <c r="T41" i="14"/>
  <c r="U41" i="14" s="1"/>
  <c r="T39" i="14"/>
  <c r="U39" i="14" s="1"/>
  <c r="T37" i="14"/>
  <c r="U37" i="14" s="1"/>
  <c r="T35" i="14"/>
  <c r="U35" i="14" s="1"/>
  <c r="T33" i="14"/>
  <c r="U33" i="14" s="1"/>
  <c r="T31" i="14"/>
  <c r="U31" i="14" s="1"/>
  <c r="T29" i="14"/>
  <c r="U29" i="14" s="1"/>
  <c r="T15" i="14"/>
  <c r="U15" i="14" s="1"/>
  <c r="T13" i="14"/>
  <c r="U13" i="14" s="1"/>
  <c r="T11" i="14"/>
  <c r="U11" i="14" s="1"/>
  <c r="T9" i="14"/>
  <c r="U9" i="14" s="1"/>
  <c r="T7" i="14"/>
  <c r="U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S1" authorId="0" shapeId="0" xr:uid="{35DEF910-2F6F-427C-ABC3-DC4F4E1E29FD}">
      <text>
        <r>
          <rPr>
            <b/>
            <sz val="9"/>
            <color indexed="81"/>
            <rFont val="Tahoma"/>
            <family val="2"/>
          </rPr>
          <t>10 kwh/pi2 
0.28$/kWh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<sst xmlns="http://schemas.openxmlformats.org/spreadsheetml/2006/main" count="4428" uniqueCount="1735">
  <si>
    <t>verdun</t>
  </si>
  <si>
    <t>lasalle</t>
  </si>
  <si>
    <t>lachine</t>
  </si>
  <si>
    <t>brossard</t>
  </si>
  <si>
    <t>centris</t>
  </si>
  <si>
    <t>https://www.centris.ca/en/condos~for-sale~montreal-verdun-ile-des-soeurs/27273245?view=Summary&amp;uc=1</t>
  </si>
  <si>
    <t>https://www.centris.ca/en/condos~for-sale~montreal-verdun-ile-des-soeurs/17560904?view=Summary&amp;uc=2</t>
  </si>
  <si>
    <t>https://www.centris.ca/en/condos~for-sale~montreal-verdun-ile-des-soeurs/11584938?view=Summary&amp;uc=3</t>
  </si>
  <si>
    <t>https://www.centris.ca/en/condos~for-sale~montreal-verdun-ile-des-soeurs/15371717?view=Summary&amp;uc=5</t>
  </si>
  <si>
    <t>ile des soeurs</t>
  </si>
  <si>
    <t>https://www.centris.ca/en/condos~for-sale~montreal-verdun-ile-des-soeurs/25197549?view=Summary&amp;uc=6</t>
  </si>
  <si>
    <t>https://www.centris.ca/en/condos~for-sale~montreal-verdun-ile-des-soeurs/11807921?view=Summary&amp;uc=7</t>
  </si>
  <si>
    <t>https://www.centris.ca/en/condos~for-sale~montreal-verdun-ile-des-soeurs/19213959?view=Summary&amp;uc=9</t>
  </si>
  <si>
    <t>https://www.centris.ca/en/condos~for-sale~montreal-verdun-ile-des-soeurs/13783822?view=Summary&amp;uc=15</t>
  </si>
  <si>
    <t>https://www.centris.ca/en/condos~for-sale~montreal-verdun-ile-des-soeurs/14378791?view=Summary&amp;uc=16</t>
  </si>
  <si>
    <t>https://www.centris.ca/en/condos~for-sale~montreal-verdun-ile-des-soeurs/19494284?view=Summary&amp;uc=17</t>
  </si>
  <si>
    <t>https://www.centris.ca/en/condos~for-sale~montreal-verdun-ile-des-soeurs/11750908?view=Summary&amp;uc=18</t>
  </si>
  <si>
    <t>https://www.centris.ca/en/condos~for-sale~montreal-verdun-ile-des-soeurs/25197809?view=Summary&amp;uc=19</t>
  </si>
  <si>
    <t>https://www.centris.ca/en/condos~for-sale~montreal-verdun-ile-des-soeurs/20826623?view=Summary&amp;uc=21</t>
  </si>
  <si>
    <t>https://www.centris.ca/en/condos~for-sale~montreal-verdun-ile-des-soeurs/24034004?view=Summary&amp;uc=22</t>
  </si>
  <si>
    <t>https://www.centris.ca/en/condos~for-sale~montreal-verdun-ile-des-soeurs/17453064?view=Summary&amp;uc=24</t>
  </si>
  <si>
    <t>https://www.centris.ca/en/condos~for-sale~montreal-verdun-ile-des-soeurs/24548830?view=Summary&amp;uc=1</t>
  </si>
  <si>
    <t>https://www.centris.ca/en/condos~for-sale~montreal-verdun-ile-des-soeurs/22307559?view=Summary&amp;uc=2</t>
  </si>
  <si>
    <t>https://www.centris.ca/en/condos~for-sale~montreal-verdun-ile-des-soeurs/22392822?view=Summary&amp;uc=3</t>
  </si>
  <si>
    <t>https://www.centris.ca/en/condos~for-sale~montreal-verdun-ile-des-soeurs/15920384?view=Summary&amp;uc=5</t>
  </si>
  <si>
    <t>x</t>
  </si>
  <si>
    <t>https://www.centris.ca/en/condos~for-sale~montreal-verdun-ile-des-soeurs/19830288?view=Summary&amp;uc=7</t>
  </si>
  <si>
    <t>https://www.centris.ca/en/condos~for-sale~montreal-verdun-ile-des-soeurs/16611165?view=Summary&amp;uc=10</t>
  </si>
  <si>
    <t>https://www.centris.ca/en/condos~for-sale~montreal-verdun-ile-des-soeurs/12905109?view=Summary&amp;uc=13</t>
  </si>
  <si>
    <t>https://www.centris.ca/en/condos~for-sale~montreal-verdun-ile-des-soeurs/22879981?view=Summary&amp;uc=14</t>
  </si>
  <si>
    <t>https://www.centris.ca/en/condos~for-sale~montreal-verdun-ile-des-soeurs/21794470?view=Summary&amp;uc=15</t>
  </si>
  <si>
    <t>https://www.centris.ca/en/condos~for-sale~montreal-verdun-ile-des-soeurs/10373673?view=Summary&amp;uc=16</t>
  </si>
  <si>
    <t>https://www.centris.ca/en/condos~for-sale~montreal-verdun-ile-des-soeurs/21900469?view=Summary&amp;uc=17</t>
  </si>
  <si>
    <t>https://www.centris.ca/en/condos~for-sale~montreal-lasalle/28635358?view=Summary&amp;uc=19</t>
  </si>
  <si>
    <t>https://www.centris.ca/en/condos~for-sale~montreal-lasalle/15437836?view=Summary&amp;uc=20</t>
  </si>
  <si>
    <t>https://www.centris.ca/en/condos~for-sale~montreal-lasalle/15986749?view=Summary&amp;uc=18</t>
  </si>
  <si>
    <t>https://www.centris.ca/en/condos~for-sale~montreal-lasalle/10009373?view=Summary&amp;uc=20</t>
  </si>
  <si>
    <t>https://www.centris.ca/en/condos~for-sale~montreal-lasalle/19518103?view=Summary&amp;uc=21</t>
  </si>
  <si>
    <t>https://www.centris.ca/en/condos~for-sale~montreal-lasalle/25894066?view=Summary&amp;uc=22</t>
  </si>
  <si>
    <t>https://www.centris.ca/en/condos~for-sale~montreal-lasalle/15507868?view=Summary&amp;uc=23</t>
  </si>
  <si>
    <t>https://www.centris.ca/en/condos~for-sale~montreal-lasalle/28373431?view=Summary&amp;uc=24</t>
  </si>
  <si>
    <t>https://www.centris.ca/en/condos~for-sale~montreal-lasalle/28375016?view=Summary&amp;uc=25</t>
  </si>
  <si>
    <t>https://www.centris.ca/en/condos~for-sale~montreal-lasalle/16034828?view=Summary&amp;uc=26</t>
  </si>
  <si>
    <t>https://www.centris.ca/en/condos~for-sale~montreal-lasalle/14414525?view=Summary&amp;uc=28</t>
  </si>
  <si>
    <t>https://www.centris.ca/en/condos~for-sale~montreal-lasalle/16441676?view=Summary&amp;uc=29</t>
  </si>
  <si>
    <t>https://www.centris.ca/en/condos~for-sale~montreal-lasalle/9526825?view=Summary&amp;uc=34</t>
  </si>
  <si>
    <t>https://www.centris.ca/en/condos~for-sale~montreal-lasalle/17863044?view=Summary&amp;uc=35</t>
  </si>
  <si>
    <t>https://www.centris.ca/en/condos~for-sale~montreal-lasalle/11690942?view=Summary&amp;uc=36</t>
  </si>
  <si>
    <t>https://www.centris.ca/en/condos~for-sale~montreal-lasalle/14528205?view=Summary&amp;uc=37</t>
  </si>
  <si>
    <t>site</t>
  </si>
  <si>
    <t>duplex</t>
  </si>
  <si>
    <t>https://www.centris.ca/en/condos~for-sale~montreal-lasalle/25677273?view=Summary&amp;uc=39</t>
  </si>
  <si>
    <t>https://www.centris.ca/en/condos~for-sale~montreal-lasalle/27460555?view=Summary&amp;uc=40</t>
  </si>
  <si>
    <t>https://www.centris.ca/en/condos~for-sale~montreal-lasalle/18741717?view=Summary&amp;uc=41</t>
  </si>
  <si>
    <t>https://www.centris.ca/en/condos~for-sale~montreal-lasalle/11514734?view=Summary&amp;uc=42</t>
  </si>
  <si>
    <t>https://www.centris.ca/en/condos~for-sale~montreal-lasalle/21874645?view=Summary&amp;uc=43</t>
  </si>
  <si>
    <t>https://www.centris.ca/en/condos~for-sale~montreal-lasalle/13749205?view=Summary&amp;uc=46</t>
  </si>
  <si>
    <t>https://www.centris.ca/en/condos~for-sale~montreal-lasalle/21291249?view=Summary&amp;uc=47</t>
  </si>
  <si>
    <t>https://www.centris.ca/fr/condo~a-vendre~montreal-lasalle/22246072?view=Summary&amp;uc=20</t>
  </si>
  <si>
    <t>https://www.centris.ca/fr/condo~a-vendre~montreal-lasalle/24272404?view=Summary&amp;uc=21</t>
  </si>
  <si>
    <t>https://www.centris.ca/fr/condo~a-vendre~montreal-lasalle/10435067?view=Summary&amp;uc=23</t>
  </si>
  <si>
    <t>https://www.centris.ca/fr/condo~a-vendre~montreal-lasalle/24675045?view=Summary&amp;uc=19</t>
  </si>
  <si>
    <t>https://www.centris.ca/fr/condo~a-vendre~montreal-lasalle/21437409?view=Summary&amp;uc=20</t>
  </si>
  <si>
    <t>https://www.centris.ca/fr/condo~a-vendre~montreal-lasalle/26917268?view=Summary&amp;uc=22</t>
  </si>
  <si>
    <t>https://www.centris.ca/fr/condo~a-vendre~montreal-lasalle/18773591?view=Summary&amp;uc=23</t>
  </si>
  <si>
    <t>https://www.centris.ca/fr/condo~a-vendre~montreal-lasalle/20426629?view=Summary&amp;uc=25</t>
  </si>
  <si>
    <t>https://www.centris.ca/fr/condo~a-vendre~montreal-lasalle/18853992?view=Summary&amp;uc=27</t>
  </si>
  <si>
    <t>https://www.centris.ca/fr/condo~a-vendre~montreal-lasalle/27964159?view=Summary&amp;uc=28</t>
  </si>
  <si>
    <t>https://www.centris.ca/fr/condo~a-vendre~montreal-lasalle/10445327?view=Summary&amp;uc=30</t>
  </si>
  <si>
    <t>https://www.centris.ca/fr/condo~a-vendre~montreal-lasalle/13490864?view=Summary&amp;uc=31</t>
  </si>
  <si>
    <t>https://www.centris.ca/fr/condo~a-vendre~montreal-lasalle/12842531?view=Summary&amp;uc=32</t>
  </si>
  <si>
    <t>https://www.centris.ca/fr/condo~a-vendre~montreal-lasalle/18694780?view=Summary&amp;uc=33</t>
  </si>
  <si>
    <t>https://www.centris.ca/fr/condo~a-vendre~montreal-lasalle/13618841?view=Summary&amp;uc=34</t>
  </si>
  <si>
    <t>https://www.centris.ca/fr/condo~a-vendre~montreal-lasalle/21734507?view=Summary&amp;uc=35</t>
  </si>
  <si>
    <t>https://www.centris.ca/fr/condo~a-vendre~montreal-lasalle/13359442?view=Summary&amp;uc=36</t>
  </si>
  <si>
    <t>https://www.centris.ca/fr/condo~a-vendre~montreal-lasalle/21417701?view=Summary&amp;uc=38</t>
  </si>
  <si>
    <t>https://www.centris.ca/fr/condo~a-vendre~montreal-lasalle/20386082?view=Summary&amp;uc=40</t>
  </si>
  <si>
    <t>https://www.centris.ca/fr/condo~a-vendre~montreal-lasalle/13503502?view=Summary&amp;uc=41</t>
  </si>
  <si>
    <t>https://www.centris.ca/fr/condo~a-vendre~montreal-lasalle/9660912?view=Summary&amp;uc=42</t>
  </si>
  <si>
    <t>https://www.centris.ca/fr/condo~a-vendre~montreal-lasalle/12437557?view=Summary&amp;uc=43</t>
  </si>
  <si>
    <t>https://www.centris.ca/fr/condo~a-vendre~montreal-lasalle/26916552?view=Summary&amp;uc=23</t>
  </si>
  <si>
    <t>https://www.centris.ca/fr/condo~a-vendre~montreal-lasalle/22366644?view=Summary&amp;uc=21</t>
  </si>
  <si>
    <t>https://www.centris.ca/fr/condo~a-vendre~montreal-lasalle/20909341?view=Summary&amp;uc=23</t>
  </si>
  <si>
    <t>https://www.centris.ca/fr/condo~a-vendre~montreal-lasalle/15817164?view=Summary&amp;uc=24</t>
  </si>
  <si>
    <t>https://www.centris.ca/fr/condo~a-vendre~montreal-lasalle/23122070?view=Summary&amp;uc=25</t>
  </si>
  <si>
    <t>https://www.centris.ca/fr/condo~a-vendre~montreal-lasalle/26501808?view=Summary&amp;uc=26</t>
  </si>
  <si>
    <t>https://www.centris.ca/fr/condo~a-vendre~montreal-lasalle/13841910?view=Summary&amp;uc=28</t>
  </si>
  <si>
    <t>https://www.centris.ca/fr/condo~a-vendre~montreal-lasalle/13919259?view=Summary&amp;uc=31</t>
  </si>
  <si>
    <t>https://www.centris.ca/fr/condo~a-vendre~montreal-lasalle/18484183?view=Summary&amp;uc=34</t>
  </si>
  <si>
    <t>https://www.centris.ca/fr/condo~a-vendre~montreal-lasalle/20950434?view=Summary&amp;uc=35</t>
  </si>
  <si>
    <t>https://www.centris.ca/fr/condo~a-vendre~montreal-lasalle/16530100?view=Summary&amp;uc=37</t>
  </si>
  <si>
    <t>https://www.centris.ca/fr/condo~a-vendre~montreal-lasalle/19573573?view=Summary&amp;uc=39</t>
  </si>
  <si>
    <t>https://www.centris.ca/fr/condo~a-vendre~montreal-lasalle/28236927?view=Summary&amp;uc=40</t>
  </si>
  <si>
    <t>https://www.centris.ca/fr/condo~a-vendre~montreal-lasalle/25025142?view=Summary&amp;uc=44</t>
  </si>
  <si>
    <t>https://www.centris.ca/fr/condo~a-vendre~montreal-lasalle/9686711?view=Summary&amp;uc=45</t>
  </si>
  <si>
    <t>https://www.centris.ca/fr/condo~a-vendre~montreal-lasalle/12903387?view=Summary&amp;uc=47</t>
  </si>
  <si>
    <t>https://www.centris.ca/fr/condo~a-vendre~montreal-lasalle/21582274?view=Summary&amp;uc=49</t>
  </si>
  <si>
    <t>https://www.centris.ca/fr/condo~a-vendre~montreal-lasalle/14800691?view=Summary&amp;uc=52</t>
  </si>
  <si>
    <t>https://www.centris.ca/fr/condo~a-vendre~montreal-lasalle/15584207?view=Summary&amp;uc=53</t>
  </si>
  <si>
    <t>https://www.centris.ca/fr/condo~a-vendre~montreal-lasalle/21263446?view=Summary&amp;uc=55</t>
  </si>
  <si>
    <t>https://www.centris.ca/fr/condo~a-vendre~montreal-lasalle/14877412?view=Summary&amp;uc=57</t>
  </si>
  <si>
    <t>https://www.centris.ca/fr/condo~a-vendre~montreal-lasalle/16825565?view=Summary&amp;uc=35</t>
  </si>
  <si>
    <t>https://www.centris.ca/fr/condo~a-vendre~montreal-lasalle/9055863?view=Summary&amp;uc=36</t>
  </si>
  <si>
    <t>https://www.centris.ca/fr/maison~a-vendre~montreal-lasalle/20331299?view=Summary&amp;uc=37</t>
  </si>
  <si>
    <t>https://www.centris.ca/fr/condo~a-vendre~montreal-lasalle/18962553?view=Summary&amp;uc=39</t>
  </si>
  <si>
    <t>https://www.centris.ca/fr/maison~a-vendre~montreal-lasalle/18642426?view=Summary&amp;uc=40</t>
  </si>
  <si>
    <t>https://www.centris.ca/fr/condo~a-vendre~montreal-lasalle/25428722?view=Summary&amp;uc=43</t>
  </si>
  <si>
    <t>https://www.centris.ca/fr/maison~a-vendre~montreal-lasalle/14767524?view=Summary&amp;uc=45</t>
  </si>
  <si>
    <t>https://www.centris.ca/fr/maison~a-vendre~montreal-lasalle/25753835?view=Summary&amp;uc=51</t>
  </si>
  <si>
    <t>https://www.centris.ca/fr/condo~a-vendre~montreal-lasalle/27027430?view=Summary&amp;uc=52</t>
  </si>
  <si>
    <t>https://www.centris.ca/fr/condo~a-vendre~montreal-lachine/9884389?view=Summary&amp;uc=53</t>
  </si>
  <si>
    <t>https://www.centris.ca/fr/condo~a-vendre~montreal-lachine/22858259?view=Summary&amp;uc=55</t>
  </si>
  <si>
    <t>https://www.centris.ca/fr/condo~a-vendre~montreal-lachine/14685157?view=Summary&amp;uc=56</t>
  </si>
  <si>
    <t>https://www.centris.ca/fr/maison~a-vendre~montreal-lachine/11341129?view=Summary&amp;uc=57</t>
  </si>
  <si>
    <t>https://www.centris.ca/fr/maison~a-vendre~montreal-lachine/11769307?view=Summary&amp;uc=59</t>
  </si>
  <si>
    <t>https://www.centris.ca/fr/condo~a-vendre~montreal-lachine/17437369?view=Summary&amp;uc=60</t>
  </si>
  <si>
    <t>https://www.centris.ca/fr/condo~a-vendre~montreal-lachine/11202859?view=Summary&amp;uc=32</t>
  </si>
  <si>
    <t>https://www.centris.ca/fr/condo~a-vendre~montreal-lachine/18172605?view=Summary&amp;uc=32</t>
  </si>
  <si>
    <t>https://www.centris.ca/fr/condo~a-vendre~montreal-lachine/12776929?view=Summary&amp;uc=33</t>
  </si>
  <si>
    <t>https://www.centris.ca/fr/condo~a-vendre~montreal-lachine/28530686?view=Summary&amp;uc=34</t>
  </si>
  <si>
    <t>https://www.centris.ca/fr/condo~a-vendre~montreal-lachine/12155611?view=Summary&amp;uc=35</t>
  </si>
  <si>
    <t>https://www.centris.ca/fr/condo~a-vendre~montreal-lachine/27619697?view=Summary&amp;uc=37</t>
  </si>
  <si>
    <t>https://www.centris.ca/fr/maison~a-vendre~montreal-lachine/17548140?view=Summary&amp;uc=38</t>
  </si>
  <si>
    <t>https://www.centris.ca/fr/condo~a-vendre~montreal-lachine/17737883?view=Summary&amp;uc=40</t>
  </si>
  <si>
    <t>https://www.centris.ca/fr/condo~a-vendre~montreal-lachine/24814626?view=Summary&amp;uc=41</t>
  </si>
  <si>
    <t>https://www.centris.ca/fr/condo~a-vendre~montreal-lachine/17413007?view=Summary&amp;uc=42</t>
  </si>
  <si>
    <t>https://www.centris.ca/fr/maison~a-vendre~montreal-lachine/25046100?view=Summary&amp;uc=44</t>
  </si>
  <si>
    <t>https://www.centris.ca/fr/condo~a-vendre~montreal-lachine/20588469?view=Summary&amp;uc=45</t>
  </si>
  <si>
    <t>https://www.centris.ca/fr/condo~a-vendre~montreal-lachine/28794494?view=Summary&amp;uc=47</t>
  </si>
  <si>
    <t>https://www.centris.ca/fr/condo~a-vendre~montreal-lachine/23518758?view=Summary&amp;uc=49</t>
  </si>
  <si>
    <t>https://www.centris.ca/fr/condo~a-vendre~montreal-lachine/23428972?view=Summary&amp;uc=50</t>
  </si>
  <si>
    <t>https://www.centris.ca/fr/condo~a-vendre~montreal-lachine/15293592?view=Summary&amp;uc=51</t>
  </si>
  <si>
    <t>https://www.centris.ca/fr/condo~a-vendre~montreal-lachine/11263898?view=Summary&amp;uc=57</t>
  </si>
  <si>
    <t>https://www.centris.ca/fr/condo~a-vendre~montreal-lachine/14145192?view=Summary&amp;uc=58</t>
  </si>
  <si>
    <t>https://www.centris.ca/fr/condo~a-vendre~montreal-lachine/21473131?view=Summary&amp;uc=33</t>
  </si>
  <si>
    <t>https://www.centris.ca/fr/condo~a-vendre~montreal-lachine/24084396?view=Summary&amp;uc=34</t>
  </si>
  <si>
    <t>https://www.centris.ca/fr/condo~a-vendre~montreal-lachine/21108559?view=Summary&amp;uc=35</t>
  </si>
  <si>
    <t>https://www.centris.ca/fr/condo~a-vendre~montreal-lachine/28548491?view=Summary&amp;uc=36</t>
  </si>
  <si>
    <t>https://www.centris.ca/fr/condo~a-vendre~montreal-lachine/18589558?view=Summary&amp;uc=37</t>
  </si>
  <si>
    <t>https://www.centris.ca/fr/condo~a-vendre~montreal-lachine/21203448?view=Summary&amp;uc=38</t>
  </si>
  <si>
    <t>https://www.centris.ca/fr/condo~a-vendre~montreal-lachine/20802868?view=Summary&amp;uc=41</t>
  </si>
  <si>
    <t>https://www.centris.ca/fr/condo~a-vendre~montreal-lachine/20376513?view=Summary&amp;uc=44</t>
  </si>
  <si>
    <t>https://www.centris.ca/fr/condo~a-vendre~montreal-lachine/23999702?view=Summary&amp;uc=45</t>
  </si>
  <si>
    <t>https://www.centris.ca/fr/condo~a-vendre~montreal-lachine/14123689?view=Summary&amp;uc=46</t>
  </si>
  <si>
    <t>https://www.centris.ca/fr/condo~a-vendre~montreal-lachine/11056082?view=Summary&amp;uc=47</t>
  </si>
  <si>
    <t>https://www.centris.ca/fr/maison~a-vendre~montreal-lachine/22475879?view=Summary&amp;uc=48</t>
  </si>
  <si>
    <t>https://www.centris.ca/fr/condo~a-vendre~montreal-lachine/22135924?view=Summary&amp;uc=49</t>
  </si>
  <si>
    <t>https://www.centris.ca/fr/condo~a-vendre~montreal-lachine/24182548?view=Summary&amp;uc=50</t>
  </si>
  <si>
    <t>https://www.centris.ca/fr/condo~a-vendre~montreal-lachine/11311198?view=Summary&amp;uc=51</t>
  </si>
  <si>
    <t>https://www.centris.ca/fr/maison~a-vendre~montreal-lachine/23552055?view=Summary&amp;uc=53</t>
  </si>
  <si>
    <t>https://www.centris.ca/fr/condo~a-vendre~montreal-lachine/26780210?view=Summary&amp;uc=58</t>
  </si>
  <si>
    <t>https://www.centris.ca/fr/maison~a-vendre~montreal-lachine/15539481?view=Summary&amp;uc=59</t>
  </si>
  <si>
    <t>https://www.centris.ca/fr/condo~a-vendre~montreal-lachine/12965545?view=Summary&amp;uc=32</t>
  </si>
  <si>
    <t>https://www.centris.ca/fr/condo~a-vendre~montreal-lachine/22361196?view=Summary&amp;uc=33</t>
  </si>
  <si>
    <t>https://www.centris.ca/fr/condo~a-vendre~montreal-lachine/21786205?view=Summary&amp;uc=34</t>
  </si>
  <si>
    <t>https://www.centris.ca/fr/duplex~a-vendre~montreal-lachine/12475984?view=Summary&amp;uc=35</t>
  </si>
  <si>
    <t>https://www.centris.ca/fr/condo~a-vendre~montreal-lachine/9731435?view=Summary&amp;uc=36</t>
  </si>
  <si>
    <t>https://www.centris.ca/fr/condo~a-vendre~montreal-lachine/23350722?view=Summary&amp;uc=37</t>
  </si>
  <si>
    <t>https://www.centris.ca/fr/maison-en-copropriete~a-vendre~montreal-lachine/21003052?view=Summary&amp;uc=38</t>
  </si>
  <si>
    <t>https://www.centris.ca/fr/condo~a-vendre~montreal-lachine/14732923?view=Summary&amp;uc=39</t>
  </si>
  <si>
    <t>https://www.centris.ca/fr/maison-en-copropriete~a-vendre~montreal-lachine/12721226?view=Summary&amp;uc=46</t>
  </si>
  <si>
    <t>https://www.centris.ca/fr/duplex~a-vendre~montreal-lachine/11474158?view=Summary&amp;uc=43</t>
  </si>
  <si>
    <t>laval_chomedy</t>
  </si>
  <si>
    <t>https://www.centris.ca/fr/condo~a-vendre~laval-chomedey/9457719?view=Summary&amp;uc=48</t>
  </si>
  <si>
    <t>https://www.centris.ca/fr/condo~a-vendre~laval-chomedey/23418001?view=Summary&amp;uc=49</t>
  </si>
  <si>
    <t>https://www.centris.ca/fr/condo~a-vendre~laval-chomedey/17083515?view=Summary&amp;uc=51</t>
  </si>
  <si>
    <t>https://www.centris.ca/fr/condo~a-vendre~laval-chomedey/19313474?view=Summary&amp;uc=52</t>
  </si>
  <si>
    <t>https://www.centris.ca/fr/condo~a-vendre~laval-chomedey/22207216?view=Summary&amp;uc=53</t>
  </si>
  <si>
    <t>https://www.centris.ca/fr/condo~a-vendre~laval-chomedey/14414362?view=Summary&amp;uc=54</t>
  </si>
  <si>
    <t>https://www.centris.ca/fr/condo~a-vendre~laval-chomedey/26555097?view=Summary&amp;uc=56</t>
  </si>
  <si>
    <t>https://www.centris.ca/fr/condo~a-vendre~laval-chomedey/15840891?view=Summary&amp;uc=57</t>
  </si>
  <si>
    <t>https://www.centris.ca/fr/condo~a-vendre~laval-chomedey/28803519?view=Summary&amp;uc=58</t>
  </si>
  <si>
    <t>https://www.centris.ca/fr/condo~a-vendre~laval-chomedey/17178026?view=Summary&amp;uc=59</t>
  </si>
  <si>
    <t>https://www.centris.ca/fr/condo~a-vendre~laval-chomedey/15296122?view=Summary&amp;uc=60</t>
  </si>
  <si>
    <t>https://www.centris.ca/fr/condo~a-vendre~laval-chomedey/16765452?view=Summary&amp;uc=61</t>
  </si>
  <si>
    <t>https://www.centris.ca/fr/condo~a-vendre~laval-chomedey/20750883?view=Summary&amp;uc=47</t>
  </si>
  <si>
    <t>https://www.centris.ca/fr/condo~a-vendre~laval-chomedey/23772191?view=Summary&amp;uc=63</t>
  </si>
  <si>
    <t>https://www.centris.ca/fr/condo~a-vendre~laval-chomedey/27377145?view=Summary&amp;uc=64</t>
  </si>
  <si>
    <t>https://www.centris.ca/fr/condo~a-vendre~laval-chomedey/13715331?view=Summary&amp;uc=66</t>
  </si>
  <si>
    <t>https://www.centris.ca/fr/condo~a-vendre~laval-chomedey/22396675?view=Summary&amp;uc=67</t>
  </si>
  <si>
    <t>https://www.centris.ca/fr/condo~a-vendre~laval-chomedey/10157055?view=Summary&amp;uc=69</t>
  </si>
  <si>
    <t>https://www.centris.ca/fr/condo~a-vendre~laval-chomedey/22768250?view=Summary&amp;uc=72</t>
  </si>
  <si>
    <t>https://www.centris.ca/fr/condo~a-vendre~laval-chomedey/18018732?view=Summary&amp;uc=73</t>
  </si>
  <si>
    <t>https://www.centris.ca/fr/condo~a-vendre~laval-chomedey/15428556?view=Summary&amp;uc=74</t>
  </si>
  <si>
    <t>https://www.centris.ca/fr/condo~a-vendre~laval-chomedey/14751816?view=Summary&amp;uc=75</t>
  </si>
  <si>
    <t>https://www.centris.ca/fr/maison~a-vendre~laval-chomedey/27957265?view=Summary&amp;uc=77</t>
  </si>
  <si>
    <t>https://www.centris.ca/fr/condo~a-vendre~laval-chomedey/17567145?view=Summary&amp;uc=78</t>
  </si>
  <si>
    <t>https://www.centris.ca/fr/condo~a-vendre~laval-chomedey/28387981?view=Summary&amp;uc=79</t>
  </si>
  <si>
    <t>https://www.centris.ca/fr/condo~a-vendre~laval-chomedey/22550326?view=Summary&amp;uc=80</t>
  </si>
  <si>
    <t>https://www.centris.ca/fr/condo~a-vendre~laval-chomedey/12389492?view=Summary&amp;uc=81</t>
  </si>
  <si>
    <t>https://www.centris.ca/fr/condo~a-vendre~laval-chomedey/25005168?view=Summary&amp;uc=82</t>
  </si>
  <si>
    <t>https://www.centris.ca/fr/condo~a-vendre~laval-chomedey/10903990?view=Summary&amp;uc=83</t>
  </si>
  <si>
    <t>https://www.centris.ca/fr/condo~a-vendre~laval-chomedey/14187994?view=Summary&amp;uc=84</t>
  </si>
  <si>
    <t>https://www.centris.ca/fr/condo~a-vendre~laval-chomedey/12340247?view=Summary&amp;uc=85</t>
  </si>
  <si>
    <t>https://www.centris.ca/fr/condo~a-vendre~laval-chomedey/15370988?view=Summary&amp;uc=86</t>
  </si>
  <si>
    <t>https://www.centris.ca/fr/condo~a-vendre~laval-chomedey/9928825?view=Summary&amp;uc=87</t>
  </si>
  <si>
    <t>https://www.centris.ca/fr/condo~a-vendre~laval-chomedey/16721206?view=Summary&amp;uc=88</t>
  </si>
  <si>
    <t>https://www.centris.ca/fr/condo~a-vendre~laval-chomedey/9261571?view=Summary&amp;uc=90</t>
  </si>
  <si>
    <t>https://www.centris.ca/fr/maison~a-vendre~laval-chomedey/9578146?view=Summary&amp;uc=91</t>
  </si>
  <si>
    <t>https://www.centris.ca/fr/condo~a-vendre~laval-chomedey/15527929?view=Summary&amp;uc=92</t>
  </si>
  <si>
    <t>https://www.centris.ca/fr/condo~a-vendre~laval-chomedey/11354671?view=Summary&amp;uc=93</t>
  </si>
  <si>
    <t>https://www.centris.ca/fr/condo~a-vendre~laval-chomedey/11987847?view=Summary&amp;uc=94</t>
  </si>
  <si>
    <t>https://www.centris.ca/fr/condo~a-vendre~laval-chomedey/15020163?view=Summary&amp;uc=96</t>
  </si>
  <si>
    <t>https://www.centris.ca/fr/condo~a-vendre~laval-chomedey/28576940?view=Summary&amp;uc=97</t>
  </si>
  <si>
    <t>https://www.centris.ca/fr/condo~a-vendre~laval-chomedey/15941594?view=Summary&amp;uc=98</t>
  </si>
  <si>
    <t>https://www.centris.ca/fr/condo~a-vendre~laval-chomedey/19199872?view=Summary&amp;uc=99</t>
  </si>
  <si>
    <t>https://www.centris.ca/fr/condo~a-vendre~laval-chomedey/27726600?view=Summary&amp;uc=100</t>
  </si>
  <si>
    <t>https://www.centris.ca/fr/condo~a-vendre~laval-chomedey/24699089?view=Summary&amp;uc=101</t>
  </si>
  <si>
    <t>https://www.centris.ca/fr/condo~a-vendre~laval-chomedey/9123946?view=Summary&amp;uc=102</t>
  </si>
  <si>
    <t>https://www.centris.ca/fr/condo~a-vendre~laval-chomedey/16976259?view=Summary&amp;uc=104</t>
  </si>
  <si>
    <t>https://www.centris.ca/fr/condo~a-vendre~laval-chomedey/27522600?view=Summary&amp;uc=108</t>
  </si>
  <si>
    <t>https://www.centris.ca/fr/condo~a-vendre~laval-chomedey/18767136?view=Summary&amp;uc=109</t>
  </si>
  <si>
    <t>https://www.centris.ca/fr/condo~a-vendre~laval-chomedey/24554800?view=Summary&amp;uc=110</t>
  </si>
  <si>
    <t>https://www.centris.ca/fr/condo~a-vendre~laval-chomedey/12231135?view=Summary&amp;uc=111</t>
  </si>
  <si>
    <t>https://www.centris.ca/fr/condo~a-vendre~laval-chomedey/26458332?view=Summary&amp;uc=113</t>
  </si>
  <si>
    <t>https://www.centris.ca/fr/condo~a-vendre~laval-chomedey/28311701?view=Summary&amp;uc=114</t>
  </si>
  <si>
    <t>https://www.centris.ca/fr/condo~a-vendre~laval-chomedey/9244704?view=Summary&amp;uc=115</t>
  </si>
  <si>
    <t>https://www.centris.ca/fr/condo~a-vendre~laval-chomedey/20159806?view=Summary&amp;uc=116</t>
  </si>
  <si>
    <t>https://www.centris.ca/fr/condo~a-vendre~laval-chomedey/19952294?view=Summary&amp;uc=117</t>
  </si>
  <si>
    <t>https://www.centris.ca/fr/condo~a-vendre~laval-chomedey/28518929?view=Summary&amp;uc=119</t>
  </si>
  <si>
    <t>https://www.centris.ca/fr/condo~a-vendre~laval-chomedey/18988883?view=Summary&amp;uc=123</t>
  </si>
  <si>
    <t>https://www.centris.ca/fr/maison~a-vendre~laval-chomedey/9097106?view=Summary&amp;uc=124</t>
  </si>
  <si>
    <t>https://www.centris.ca/fr/condo~a-vendre~laval-chomedey/13389785?view=Summary&amp;uc=125</t>
  </si>
  <si>
    <t>https://www.centris.ca/fr/condo~a-vendre~laval-chomedey/19095586?view=Summary&amp;uc=126</t>
  </si>
  <si>
    <t>https://www.centris.ca/fr/maison~a-vendre~laval-chomedey/11996054?view=Summary&amp;uc=127</t>
  </si>
  <si>
    <t>https://www.centris.ca/fr/condo~a-vendre~laval-chomedey/14763121?view=Summary&amp;uc=128</t>
  </si>
  <si>
    <t>https://www.centris.ca/fr/condo~a-vendre~laval-chomedey/16133752?view=Summary&amp;uc=130</t>
  </si>
  <si>
    <t>laval_desrapides</t>
  </si>
  <si>
    <t>https://www.centris.ca/fr/condo~a-vendre~laval-laval-des-rapides/10303320?view=Summary&amp;uc=132</t>
  </si>
  <si>
    <t>https://www.centris.ca/fr/condo~a-vendre~laval-chomedey/23418001?view=Summary&amp;uc=133</t>
  </si>
  <si>
    <t>https://www.centris.ca/fr/condo~a-vendre~laval-chomedey/17083515?view=Summary&amp;uc=134</t>
  </si>
  <si>
    <t>https://www.centris.ca/fr/condo~a-vendre~laval-chomedey/27466321?view=Summary&amp;uc=135</t>
  </si>
  <si>
    <t>https://www.centris.ca/fr/condo~a-vendre~laval-chomedey/22207216?view=Summary&amp;uc=136</t>
  </si>
  <si>
    <t>https://www.centris.ca/fr/condo~a-vendre~laval-chomedey/14414362?view=Summary&amp;uc=137</t>
  </si>
  <si>
    <t>https://www.centris.ca/fr/condo~a-vendre~laval-chomedey/17680717?view=Summary&amp;uc=138</t>
  </si>
  <si>
    <t>https://www.centris.ca/fr/condo~a-vendre~laval-laval-des-rapides/18182821?view=Summary&amp;uc=141</t>
  </si>
  <si>
    <t>https://www.centris.ca/fr/condo~a-vendre~laval-chomedey/27173457?view=Summary&amp;uc=142</t>
  </si>
  <si>
    <t>https://www.centris.ca/fr/condo~a-vendre~laval-chomedey/16765452?view=Summary&amp;uc=143</t>
  </si>
  <si>
    <t>https://www.centris.ca/fr/condo~a-vendre~laval-chomedey/17178026?view=Summary&amp;uc=146</t>
  </si>
  <si>
    <t>https://www.centris.ca/fr/condo~a-vendre~laval-chomedey/20750883?view=Summary&amp;uc=147</t>
  </si>
  <si>
    <t>https://www.centris.ca/fr/condo~a-vendre~laval-laval-des-rapides/28489491?view=Summary&amp;uc=112</t>
  </si>
  <si>
    <t>https://www.centris.ca/fr/condo~a-vendre~laval-chomedey/17955473?view=Summary&amp;uc=113</t>
  </si>
  <si>
    <t>https://www.centris.ca/fr/condo~a-vendre~laval-laval-des-rapides/17076172?view=Summary&amp;uc=116</t>
  </si>
  <si>
    <t>https://www.centris.ca/fr/condo~a-vendre~laval-laval-des-rapides/23658079?view=Summary&amp;uc=117</t>
  </si>
  <si>
    <t>https://www.centris.ca/fr/condo~a-vendre~laval-laval-des-rapides/26664885?view=Summary&amp;uc=118</t>
  </si>
  <si>
    <t>https://www.centris.ca/fr/condo~a-vendre~laval-laval-des-rapides/28107653?view=Summary&amp;uc=120</t>
  </si>
  <si>
    <t>https://www.centris.ca/fr/condo~a-vendre~laval-laval-des-rapides/11454086?view=Summary&amp;uc=123</t>
  </si>
  <si>
    <t>https://www.centris.ca/fr/condo~a-vendre~laval-laval-des-rapides/16981768?view=Summary&amp;uc=126</t>
  </si>
  <si>
    <t>https://www.centris.ca/fr/condo~a-vendre~laval-laval-des-rapides/23069439?view=Summary&amp;uc=127</t>
  </si>
  <si>
    <t>https://www.centris.ca/fr/condo~a-vendre~laval-laval-des-rapides/25390947?view=Summary&amp;uc=129</t>
  </si>
  <si>
    <t>https://www.centris.ca/fr/condo~a-vendre~laval-laval-des-rapides/25483576?view=Summary&amp;uc=131</t>
  </si>
  <si>
    <t>https://www.centris.ca/fr/condo~a-vendre~laval-laval-des-rapides/12935121?view=Summary&amp;uc=132</t>
  </si>
  <si>
    <t>https://www.centris.ca/fr/condo~a-vendre~laval-laval-des-rapides/16857207?view=Summary&amp;uc=133</t>
  </si>
  <si>
    <t>https://www.centris.ca/fr/condo~a-vendre~laval-laval-des-rapides/21611581?view=Summary&amp;uc=134</t>
  </si>
  <si>
    <t>https://www.centris.ca/fr/condo~a-vendre~laval-laval-des-rapides/9569530?view=Summary&amp;uc=136</t>
  </si>
  <si>
    <t>https://www.centris.ca/fr/condo~a-vendre~laval-laval-des-rapides/15719809?view=Summary&amp;uc=138</t>
  </si>
  <si>
    <t>https://www.centris.ca/fr/maison~a-vendre~laval-laval-des-rapides/15843725?view=Summary&amp;uc=139</t>
  </si>
  <si>
    <t>https://www.centris.ca/fr/condo~a-vendre~laval-laval-des-rapides/16908838?view=Summary&amp;uc=142</t>
  </si>
  <si>
    <t>https://www.centris.ca/fr/condo~a-vendre~laval-laval-des-rapides/12787314?view=Summary&amp;uc=144</t>
  </si>
  <si>
    <t>https://www.centris.ca/fr/condo~a-vendre~laval-laval-des-rapides/21490567?view=Summary&amp;uc=146</t>
  </si>
  <si>
    <t>https://www.centris.ca/fr/condo~a-vendre~laval-laval-des-rapides/15275353?view=Summary&amp;uc=148</t>
  </si>
  <si>
    <t>https://www.centris.ca/fr/maison~a-vendre~laval-laval-des-rapides/17186079?view=Summary&amp;uc=149</t>
  </si>
  <si>
    <t>laval_stedorothee</t>
  </si>
  <si>
    <t>https://www.centris.ca/fr/condo~a-vendre~laval-sainte-dorothee/22191814?view=Summary&amp;uc=155</t>
  </si>
  <si>
    <t>https://www.centris.ca/fr/condo~a-vendre~laval-sainte-dorothee/16638752?view=Summary&amp;uc=156</t>
  </si>
  <si>
    <t>https://www.centris.ca/fr/condo~a-vendre~laval-sainte-dorothee/11646122?view=Summary&amp;uc=157</t>
  </si>
  <si>
    <t>https://www.centris.ca/fr/condo~a-vendre~laval-sainte-dorothee/18929287?view=Summary&amp;uc=158</t>
  </si>
  <si>
    <t>https://www.centris.ca/fr/condo~a-vendre~laval-sainte-dorothee/17545960?view=Summary&amp;uc=159</t>
  </si>
  <si>
    <t>https://www.centris.ca/fr/condo~a-vendre~laval-sainte-dorothee/13567911?view=Summary&amp;uc=160</t>
  </si>
  <si>
    <t>https://www.centris.ca/fr/maison~a-vendre~laval-sainte-dorothee/17001690?view=Summary&amp;uc=162</t>
  </si>
  <si>
    <t>https://www.centris.ca/fr/condo~a-vendre~laval-sainte-dorothee/12340174?view=Summary&amp;uc=163</t>
  </si>
  <si>
    <t>https://www.centris.ca/fr/maison-en-copropriete~a-vendre~laval-sainte-dorothee/15225801?view=Summary&amp;uc=164</t>
  </si>
  <si>
    <t>https://www.centris.ca/fr/condo~a-vendre~laval-sainte-dorothee/20402608?view=Summary&amp;uc=165</t>
  </si>
  <si>
    <t>https://www.centris.ca/fr/maison~a-vendre~laval-sainte-dorothee/26388984?view=Summary&amp;uc=166</t>
  </si>
  <si>
    <t>https://www.centris.ca/fr/condo~a-vendre~laval-sainte-dorothee/18545694?view=Summary&amp;uc=167</t>
  </si>
  <si>
    <t>https://www.centris.ca/fr/maison~a-vendre~laval-sainte-dorothee/12905242?view=Summary&amp;uc=168</t>
  </si>
  <si>
    <t>https://www.centris.ca/fr/maison~a-vendre~laval-sainte-dorothee/26475736?view=Summary&amp;uc=169</t>
  </si>
  <si>
    <t>https://www.centris.ca/fr/maison~a-vendre~laval-sainte-dorothee/17936217?view=Summary&amp;uc=170</t>
  </si>
  <si>
    <t>https://www.centris.ca/fr/condo~a-vendre~laval-sainte-dorothee/15155465?view=Summary&amp;uc=171</t>
  </si>
  <si>
    <t>https://www.centris.ca/fr/maison~a-vendre~laval-sainte-dorothee/15683400?view=Summary&amp;uc=172</t>
  </si>
  <si>
    <t>https://www.centris.ca/fr/maison~a-vendre~laval-sainte-dorothee/25804802?view=Summary&amp;uc=175</t>
  </si>
  <si>
    <t>https://www.centris.ca/fr/maison~a-vendre~laval-sainte-dorothee/12130928?view=Summary&amp;uc=176</t>
  </si>
  <si>
    <t>https://www.centris.ca/fr/maison~a-vendre~laval-sainte-dorothee/23085549?view=Summary&amp;uc=177</t>
  </si>
  <si>
    <t>https://www.centris.ca/fr/maison~a-vendre~laval-sainte-dorothee/21271032?view=Summary&amp;uc=179</t>
  </si>
  <si>
    <t>https://www.centris.ca/fr/maison~a-vendre~laval-sainte-dorothee/26689969?view=Summary&amp;uc=180</t>
  </si>
  <si>
    <t>https://www.centris.ca/fr/maison~a-vendre~laval-sainte-dorothee/15242567?view=Summary&amp;uc=181</t>
  </si>
  <si>
    <t>https://www.centris.ca/fr/maison~a-vendre~laval-sainte-dorothee/22495336?view=Summary&amp;uc=182</t>
  </si>
  <si>
    <t>https://www.centris.ca/fr/maison~a-vendre~laval-sainte-dorothee/10554189?view=Summary&amp;uc=183</t>
  </si>
  <si>
    <t>laval_pontviau</t>
  </si>
  <si>
    <t>https://www.centris.ca/fr/condo~a-vendre~laval-pont-viau/21267852?view=Summary&amp;uc=120</t>
  </si>
  <si>
    <t>https://www.centris.ca/fr/maison~a-vendre~laval-pont-viau/11325773?view=Summary&amp;uc=122</t>
  </si>
  <si>
    <t>https://www.centris.ca/fr/condo~a-vendre~laval-pont-viau/9249919?view=Summary&amp;uc=124</t>
  </si>
  <si>
    <t>https://www.centris.ca/fr/maison~a-vendre~laval-pont-viau/21728947?view=Summary&amp;uc=125</t>
  </si>
  <si>
    <t>https://www.centris.ca/fr/condo~a-vendre~laval-pont-viau/17415206?view=Summary&amp;uc=126</t>
  </si>
  <si>
    <t>https://www.centris.ca/fr/maison~a-vendre~laval-pont-viau/15378682?view=Summary&amp;uc=128</t>
  </si>
  <si>
    <t>https://www.centris.ca/fr/condo~a-vendre~laval-pont-viau/27706073?view=Summary&amp;uc=130</t>
  </si>
  <si>
    <t>https://www.centris.ca/fr/condo~a-vendre~laval-pont-viau/15724858?view=Summary&amp;uc=133</t>
  </si>
  <si>
    <t>laval_duvernay</t>
  </si>
  <si>
    <t>https://www.centris.ca/fr/condo~a-vendre~laval-duvernay/27105922?view=Summary&amp;uc=135</t>
  </si>
  <si>
    <t>https://www.centris.ca/fr/loft-studio~a-vendre~laval-duvernay/20027536?view=Summary&amp;uc=136</t>
  </si>
  <si>
    <t>https://www.centris.ca/fr/condo~a-vendre~laval-duvernay/24584127?view=Summary&amp;uc=138</t>
  </si>
  <si>
    <t>https://www.centris.ca/fr/condo~a-vendre~laval-duvernay/17625920?view=Summary&amp;uc=139</t>
  </si>
  <si>
    <t>https://www.centris.ca/fr/condo~a-vendre~laval-duvernay/11322904?view=Summary&amp;uc=140</t>
  </si>
  <si>
    <t>https://www.centris.ca/fr/condo~a-vendre~laval-duvernay/11513959?view=Summary&amp;uc=142</t>
  </si>
  <si>
    <t>https://www.centris.ca/fr/condo~a-vendre~laval-duvernay/12219849?view=Summary&amp;uc=143</t>
  </si>
  <si>
    <t>https://www.centris.ca/fr/condo~a-vendre~laval-duvernay/20965946?view=Summary&amp;uc=144</t>
  </si>
  <si>
    <t>https://www.centris.ca/fr/condo~a-vendre~laval-duvernay/23629715?view=Summary&amp;uc=145</t>
  </si>
  <si>
    <t>https://www.centris.ca/fr/condo~a-vendre~laval-duvernay/13345332?view=Summary&amp;uc=146</t>
  </si>
  <si>
    <t>https://www.centris.ca/fr/condo~a-vendre~laval-duvernay/20074576?view=Summary&amp;uc=147</t>
  </si>
  <si>
    <t>https://www.centris.ca/fr/condo~a-vendre~laval-duvernay/13904276?view=Summary&amp;uc=134</t>
  </si>
  <si>
    <t>https://www.centris.ca/fr/condo~a-vendre~laval-duvernay/24225880?view=Summary&amp;uc=135</t>
  </si>
  <si>
    <t>https://www.centris.ca/fr/condo~a-vendre~laval-duvernay/12408242?view=Summary&amp;uc=136</t>
  </si>
  <si>
    <t>https://www.centris.ca/fr/condo~a-vendre~laval-duvernay/21011275?view=Summary&amp;uc=137</t>
  </si>
  <si>
    <t>https://www.centris.ca/fr/condo~a-vendre~laval-duvernay/17140016?view=Summary&amp;uc=139</t>
  </si>
  <si>
    <t>https://www.centris.ca/fr/maison~a-vendre~laval-duvernay/26574443?view=Summary&amp;uc=140</t>
  </si>
  <si>
    <t>https://www.centris.ca/fr/condo~a-vendre~laval-duvernay/11518153?view=Summary&amp;uc=142</t>
  </si>
  <si>
    <t>https://www.centris.ca/fr/condo~a-vendre~laval-duvernay/21352075?view=Summary&amp;uc=143</t>
  </si>
  <si>
    <t>https://www.centris.ca/fr/maison~a-vendre~laval-duvernay/16982896?view=Summary&amp;uc=146</t>
  </si>
  <si>
    <t>https://www.centris.ca/fr/condo~a-vendre~laval-duvernay/12042334?view=Summary&amp;uc=147</t>
  </si>
  <si>
    <t>https://www.centris.ca/fr/condo~a-vendre~laval-duvernay/12954162?view=Summary&amp;uc=149</t>
  </si>
  <si>
    <t>https://www.centris.ca/fr/maison~a-vendre~laval-duvernay/28989328?view=Summary&amp;uc=150</t>
  </si>
  <si>
    <t>https://www.centris.ca/fr/condo~a-vendre~laval-duvernay/19279963?view=Summary&amp;uc=151</t>
  </si>
  <si>
    <t>https://www.centris.ca/fr/condo~a-vendre~laval-duvernay/24585034?view=Summary&amp;uc=152</t>
  </si>
  <si>
    <t>https://www.centris.ca/fr/maison~a-vendre~laval-duvernay/14870375?view=Summary&amp;uc=153</t>
  </si>
  <si>
    <t>https://www.centris.ca/fr/condo~a-vendre~laval-duvernay/14885202?view=Summary&amp;uc=154</t>
  </si>
  <si>
    <t>https://www.centris.ca/fr/condo~a-vendre~laval-duvernay/16873023?view=Summary&amp;uc=155</t>
  </si>
  <si>
    <t>https://www.centris.ca/fr/maison~a-vendre~laval-duvernay/19054471?view=Summary&amp;uc=157</t>
  </si>
  <si>
    <t>https://www.centris.ca/fr/condo~a-vendre~laval-duvernay/23430011?view=Summary&amp;uc=158</t>
  </si>
  <si>
    <t>https://www.centris.ca/fr/maison-en-copropriete~a-vendre~laval-duvernay/11457706?view=Summary&amp;uc=159</t>
  </si>
  <si>
    <t>https://www.centris.ca/fr/condo~a-vendre~laval-duvernay/10797621?view=Summary&amp;uc=162</t>
  </si>
  <si>
    <t>https://www.centris.ca/fr/maison~a-vendre~laval-duvernay/18120379?view=Summary&amp;uc=164</t>
  </si>
  <si>
    <t>https://www.centris.ca/fr/condo~a-vendre~laval-duvernay/20624080?view=Summary&amp;uc=165</t>
  </si>
  <si>
    <t>https://www.centris.ca/fr/condo~a-vendre~laval-duvernay/14514908?view=Summary&amp;uc=166</t>
  </si>
  <si>
    <t>https://www.centris.ca/fr/condo~a-vendre~laval-duvernay/21867427?view=Summary&amp;uc=167</t>
  </si>
  <si>
    <t>https://www.centris.ca/fr/maison~a-vendre~laval-duvernay/10114148?view=Summary&amp;uc=169</t>
  </si>
  <si>
    <t>https://www.centris.ca/fr/maison~a-vendre~laval-duvernay/11155374?view=Summary&amp;uc=170</t>
  </si>
  <si>
    <t>https://www.centris.ca/fr/maison~a-vendre~laval-duvernay/13724526?view=Summary&amp;uc=171</t>
  </si>
  <si>
    <t>https://www.centris.ca/fr/maison~a-vendre~laval-duvernay/16189967?view=Summary&amp;uc=172</t>
  </si>
  <si>
    <t>https://www.centris.ca/fr/maison~a-vendre~laval-duvernay/10721324?view=Summary&amp;uc=174</t>
  </si>
  <si>
    <t>https://www.centris.ca/fr/maison~a-vendre~laval-duvernay/27139427?view=Summary&amp;uc=175</t>
  </si>
  <si>
    <t>https://www.centris.ca/fr/maison~a-vendre~laval-duvernay/11619645?view=Summary&amp;uc=178</t>
  </si>
  <si>
    <t>https://www.centris.ca/fr/maison~a-vendre~laval-duvernay/17155211?view=Summary&amp;uc=179</t>
  </si>
  <si>
    <t>laval_fabreville</t>
  </si>
  <si>
    <t>https://www.centris.ca/fr/condo~a-vendre~laval-fabreville/13628305?view=Summary&amp;uc=180</t>
  </si>
  <si>
    <t>https://www.centris.ca/fr/condo~a-vendre~laval-fabreville/10522367?view=Summary&amp;uc=183</t>
  </si>
  <si>
    <t>https://www.centris.ca/fr/condo~a-vendre~laval-fabreville/28604778?view=Summary&amp;uc=184</t>
  </si>
  <si>
    <t>https://www.centris.ca/fr/condo~a-vendre~laval-fabreville/20639185?view=Summary&amp;uc=185</t>
  </si>
  <si>
    <t>https://www.centris.ca/fr/condo~a-vendre~laval-fabreville/26678802?view=Summary&amp;uc=186</t>
  </si>
  <si>
    <t>https://www.centris.ca/fr/condo~a-vendre~laval-fabreville/10529726?view=Summary&amp;uc=187</t>
  </si>
  <si>
    <t>https://www.centris.ca/fr/condo~a-vendre~laval-fabreville/13858928?view=Summary&amp;uc=188</t>
  </si>
  <si>
    <t>https://www.centris.ca/fr/condo~a-vendre~laval-fabreville/15096323?view=Summary&amp;uc=189</t>
  </si>
  <si>
    <t>https://www.centris.ca/fr/maison-en-copropriete~a-vendre~laval-fabreville/13260944?view=Summary&amp;uc=190</t>
  </si>
  <si>
    <t>https://www.centris.ca/fr/condo~a-vendre~laval-fabreville/23603343?view=Summary&amp;uc=193</t>
  </si>
  <si>
    <t>https://www.centris.ca/fr/maison~a-vendre~laval-fabreville/14066190?view=Summary&amp;uc=196</t>
  </si>
  <si>
    <t>https://www.centris.ca/fr/condo~a-vendre~laval-fabreville/17180125?view=Summary&amp;uc=197</t>
  </si>
  <si>
    <t>https://www.centris.ca/fr/maison~a-vendre~laval-fabreville/27991353?view=Summary&amp;uc=201</t>
  </si>
  <si>
    <t>https://www.centris.ca/fr/condo~a-vendre~laval-fabreville/15747242?view=Summary&amp;uc=202</t>
  </si>
  <si>
    <t>https://www.centris.ca/fr/condo~a-vendre~laval-fabreville/26088048?view=Summary&amp;uc=203</t>
  </si>
  <si>
    <t>https://www.centris.ca/fr/maison~a-vendre~laval-fabreville/13964404?view=Summary&amp;uc=204</t>
  </si>
  <si>
    <t>https://www.centris.ca/fr/condo~a-vendre~laval-fabreville/9788419?view=Summary&amp;uc=205</t>
  </si>
  <si>
    <t>https://www.centris.ca/fr/maison~a-vendre~laval-fabreville/24958931?view=Summary&amp;uc=207</t>
  </si>
  <si>
    <t>https://www.centris.ca/fr/maison~a-vendre~laval-fabreville/24900415?view=Summary&amp;uc=210</t>
  </si>
  <si>
    <t>https://www.centris.ca/fr/maison~a-vendre~laval-fabreville/18708698?view=Summary&amp;uc=211</t>
  </si>
  <si>
    <t>https://www.centris.ca/fr/maison~a-vendre~laval-fabreville/28064092?view=Summary&amp;uc=214</t>
  </si>
  <si>
    <t>https://www.centris.ca/fr/condo~a-vendre~laval-fabreville/9286006?view=Summary&amp;uc=215</t>
  </si>
  <si>
    <t>https://www.centris.ca/fr/condo~a-vendre~laval-fabreville/10436296?view=Summary&amp;uc=216</t>
  </si>
  <si>
    <t>https://www.centris.ca/fr/maison~a-vendre~laval-fabreville/28851723?view=Summary&amp;uc=218</t>
  </si>
  <si>
    <t>https://www.centris.ca/fr/maison~a-vendre~laval-fabreville/11497430?view=Summary&amp;uc=220</t>
  </si>
  <si>
    <t>https://www.centris.ca/fr/maison~a-vendre~laval-fabreville/11506344?view=Summary&amp;uc=179</t>
  </si>
  <si>
    <t>https://www.centris.ca/fr/condo~a-vendre~laval-fabreville/28866369?view=Summary&amp;uc=183</t>
  </si>
  <si>
    <t>https://www.centris.ca/fr/maison~a-vendre~laval-fabreville/22779592?view=Summary&amp;uc=184</t>
  </si>
  <si>
    <t>https://www.centris.ca/fr/maison~a-vendre~laval-fabreville/20492235?view=Summary&amp;uc=186</t>
  </si>
  <si>
    <t>https://www.centris.ca/fr/maison~a-vendre~laval-fabreville/26532970?view=Summary&amp;uc=187</t>
  </si>
  <si>
    <t>type</t>
  </si>
  <si>
    <t>4040, Rue Ross, apt. 2, Montréal</t>
  </si>
  <si>
    <t>condo</t>
  </si>
  <si>
    <t>760, Chemin Marie-Le Ber, apt. 501, Montréal</t>
  </si>
  <si>
    <t>780, Rue Gordon, apt. 401, Montréal</t>
  </si>
  <si>
    <t>3473, Rue de Verdun, Montréal</t>
  </si>
  <si>
    <t>529, Rue De La Noue, Montréal</t>
  </si>
  <si>
    <t>4482, boulevard LaSalle, apt. 3, Montréal</t>
  </si>
  <si>
    <t>1200, Chemin du Golf, apt. 1210, Montréal</t>
  </si>
  <si>
    <t>248, Rue Corot, apt. 510, Montréal</t>
  </si>
  <si>
    <t>777, Rue De La Noue, apt. 507, Montréal</t>
  </si>
  <si>
    <t>760, Chemin Marie-Le Ber, apt. 106, Montréal</t>
  </si>
  <si>
    <t>525, Rue Gibbons, apt. 5, Montréal</t>
  </si>
  <si>
    <t>4400, boulevard Champlain, apt. 314</t>
  </si>
  <si>
    <t>175, Rue William-Paul, apt. 907, Montréal</t>
  </si>
  <si>
    <t>111, Chemin de la Pointe-Nord, apt. 403, Montréal</t>
  </si>
  <si>
    <t>200, Rue Berlioz, apt. 301, Montréal</t>
  </si>
  <si>
    <t>1200, Chemin du Golf, apt. 1510, Montréal</t>
  </si>
  <si>
    <t>80, Rue Berlioz, apt. 206, Montréal</t>
  </si>
  <si>
    <t>90, Rue Berlioz, apt. 1407, Montréal</t>
  </si>
  <si>
    <t>199, Rue de la Rotonde, apt. 1107, Montréal</t>
  </si>
  <si>
    <t>1513 - A, Rue Baxter, Montréal</t>
  </si>
  <si>
    <t>1170A, Rue Louis-Joliet, Montréal</t>
  </si>
  <si>
    <t>7070, boulevard Newman, apt. 204, Montréal</t>
  </si>
  <si>
    <t xml:space="preserve">
7227, boulevard Newman, apt. 614, Montréal (LaSalle)</t>
  </si>
  <si>
    <t>1601, Rue Viola-Desmond, apt. 827, Montréal (LaSalle)</t>
  </si>
  <si>
    <t>9241, boulevard LaSalle, apt. S01, Montréal (LaSalle)</t>
  </si>
  <si>
    <t>1173, Croissant du Collège, apt. 101, Montréal</t>
  </si>
  <si>
    <t>9635, boulevard LaSalle, Montréal (LaSalle)</t>
  </si>
  <si>
    <t>8673, Rue Centrale, Montréal (LaSalle)</t>
  </si>
  <si>
    <t>1221, Avenue Dollard, apt. 6, Montréal</t>
  </si>
  <si>
    <t>9267, boulevard LaSalle, apt. 6, Montréal</t>
  </si>
  <si>
    <t>6780, boulevard Newman, apt. 203, Montréal (LaSalle)</t>
  </si>
  <si>
    <t>6780, boulevard Newman, apt. 905, Montréal</t>
  </si>
  <si>
    <t xml:space="preserve">
7227, boulevard Newman, apt. 630, Montréal (LaSalle)</t>
  </si>
  <si>
    <t>7051, Rue Allard, apt. 305, Montréal (LaSalle)</t>
  </si>
  <si>
    <t>9889, boulevard LaSalle, apt. 2, Montréal (LaSalle)</t>
  </si>
  <si>
    <t>6904, Rue Marie-Guyart, Montréal (LaSalle)</t>
  </si>
  <si>
    <t>1071, boulevard Shevchenko, apt. 106, Montréal (LaSalle)</t>
  </si>
  <si>
    <t>7031, Rue Louis-Hébert, apt. 3D, Montréal (LaSalle)</t>
  </si>
  <si>
    <t xml:space="preserve">
7227, boulevard Newman, apt. 1214, Montréal (LaSalle)</t>
  </si>
  <si>
    <t xml:space="preserve">
2154, Rue Émile-Nelligan, app. 401, Montréal (LaSalle)</t>
  </si>
  <si>
    <t xml:space="preserve">
9268, Rue Centrale, app. S02, Montréal (LaSalle)</t>
  </si>
  <si>
    <t xml:space="preserve">
7070, boulevard Newman, app. 202, Montréal (LaSalle)</t>
  </si>
  <si>
    <t>7227, boulevard Newman, app. 1022, Montréal (LaSalle)</t>
  </si>
  <si>
    <t xml:space="preserve">
1800, boulevard Angrignon, app. 507, Montréal (LaSalle)</t>
  </si>
  <si>
    <t>1191, Croissant du Collège, app. 5, Montréal (LaSalle)</t>
  </si>
  <si>
    <t xml:space="preserve">
240, Rue Lyette, app. 303, Montréal (LaSalle)</t>
  </si>
  <si>
    <t>1578, Rue Baxter, Montréal (LaSalle)</t>
  </si>
  <si>
    <t xml:space="preserve">
7051, Rue Allard, app. 105, Montréal (LaSalle)</t>
  </si>
  <si>
    <t xml:space="preserve">
6900, boulevard Newman, app. 107, Montréal (LaSalle)</t>
  </si>
  <si>
    <t xml:space="preserve">
7051, Rue Allard, app. 203, Montréal (LaSalle)</t>
  </si>
  <si>
    <t xml:space="preserve">
7687, Rue Bourdeau, app. A01, Montréal (LaSalle)</t>
  </si>
  <si>
    <t>9435, boulevard LaSalle, app. 9, Montréal (LaSalle)</t>
  </si>
  <si>
    <t xml:space="preserve">
7227, boulevard Newman, app. 1110, Montréal (LaSalle)</t>
  </si>
  <si>
    <t>7227, boulevard Newman, app. 326, Montréal (LaSalle)</t>
  </si>
  <si>
    <t xml:space="preserve">
9640, Rue William-Fleming, app. 204, Montréal (LaSalle)</t>
  </si>
  <si>
    <t xml:space="preserve">
1173, Croissant du Collège, app. 203, Montréal (LaSalle)</t>
  </si>
  <si>
    <t>6900, boulevard Newman, app. 905, Montréal (LaSalle)</t>
  </si>
  <si>
    <t>7227, boulevard Newman, app. 912, Montréal (LaSalle)</t>
  </si>
  <si>
    <t>9640, Rue William-Fleming, app. 313, Montréal (LaSalle)</t>
  </si>
  <si>
    <t>1800, boulevard Angrignon, app. 411B, Montréal (LaSalle)</t>
  </si>
  <si>
    <t xml:space="preserve">
7070, boulevard Newman, app. 907, Montréal (LaSalle)</t>
  </si>
  <si>
    <t xml:space="preserve">
8050, Rue Jean-Chevalier, app. 607, Montréal (LaSalle)</t>
  </si>
  <si>
    <t xml:space="preserve">
6900, boulevard Newman, app. 902, Montréal (LaSalle)</t>
  </si>
  <si>
    <t xml:space="preserve">
1801, Rue Senkus, app. 201, Montréal (LaSalle)</t>
  </si>
  <si>
    <t>7020, Rue Allard, app. 605, Montréal (LaSalle)</t>
  </si>
  <si>
    <t>7051, Rue Allard, app. 1404, Montréal (LaSalle)</t>
  </si>
  <si>
    <t>7026, Rue Marie-Rollet, app. 2E, Montréal (LaSalle</t>
  </si>
  <si>
    <t>7303, Rue Chouinard, Montréal (LaSalle)</t>
  </si>
  <si>
    <t>1810, Rue Senkus, app. 201, Montréal (LaSalle)</t>
  </si>
  <si>
    <t>7020, Rue Allard, app. 135, Montréal (LaSalle)</t>
  </si>
  <si>
    <t>7000, Rue Allard, app. 252, Montréal (LaSalle)</t>
  </si>
  <si>
    <t xml:space="preserve">
7051, Rue Allard, app. 507, Montréal (LaSalle)</t>
  </si>
  <si>
    <t>7070, boulevard Newman, app. 606A, Montréal (LaSalle)</t>
  </si>
  <si>
    <t>7207, Rue Chouinard, app. H, Montréal (LaSalle)</t>
  </si>
  <si>
    <t>7299, Rue Chouinard, Montréal (LaSalle)</t>
  </si>
  <si>
    <t>7227, boulevard Newman, app. 105, Montréal (LaSalle)</t>
  </si>
  <si>
    <t>6780, boulevard Newman, app. 1101, Montréal (LaSalle)</t>
  </si>
  <si>
    <t>6780, boulevard Newman, app. 1506, Montréal (LaSalle)</t>
  </si>
  <si>
    <t>7227, boulevard Newman, app. 315, Montréal (LaSalle)</t>
  </si>
  <si>
    <t>7227, boulevard Newman, app. 903, Montréal (LaSalle)</t>
  </si>
  <si>
    <t>7051, Rue Allard, app. 1207, Montréal (LaSalle)</t>
  </si>
  <si>
    <t>1901, Rue Senkus, app. 1B, Montréal (LaSalle)</t>
  </si>
  <si>
    <t xml:space="preserve">
41, Rue Centrale, Montréal (LaSalle)</t>
  </si>
  <si>
    <t>7141, Rue Chouinard, app. 101, Montréal (LaSalle)</t>
  </si>
  <si>
    <t>7600, boulevard Champlain, Montréal (LaSalle)</t>
  </si>
  <si>
    <t>1801, Rue Viola-Desmond, app. 135, Montréal (LaSalle)</t>
  </si>
  <si>
    <t>9307, boulevard LaSalle, app. 210, Montréal (LaSalle)</t>
  </si>
  <si>
    <t>2253Z, boulevard Shevchenko, Montréal (LaSalle)</t>
  </si>
  <si>
    <t>769, 40e Avenue, Montréal (LaSalle)</t>
  </si>
  <si>
    <t>1171, Croissant du Collège, app. 304, Montréal (LaSalle)</t>
  </si>
  <si>
    <t>1067, Avenue du Pacifique, app. 6, Montréal (Lachine), Quartier Saint-Pierre</t>
  </si>
  <si>
    <t>1077, Avenue du Pacifique, app. 5, Montréal (Lachine), Quartier Saint-Pierre</t>
  </si>
  <si>
    <t>795, 1re Avenue, app. 323, Montréal (Lachine), Quartier Est</t>
  </si>
  <si>
    <t>715, 7e Avenue, Montréal (Lachine), Quartier Est</t>
  </si>
  <si>
    <t>32, Avenue Jolicoeur, Montréal (Lachine), Quartier Saint-Pierre</t>
  </si>
  <si>
    <t>3111, Rue Victoria, app. 3304, Montréal (Lachine), Quartier Est</t>
  </si>
  <si>
    <t>2268, Rue Victoria, app. 1, Montréal (Lachine), Quartier Est</t>
  </si>
  <si>
    <t>795, 1re Avenue, app. 225, Montréal (Lachine), Quartier Est</t>
  </si>
  <si>
    <t>795, 1re Avenue, app. 319, Montréal (Lachine), Quartier Est</t>
  </si>
  <si>
    <t>2264, Rue Victoria, app. 1, Montréal (Lachine), Quartier Est</t>
  </si>
  <si>
    <t>440, 19e Avenue, app. 402, Montréal (Lachine), Quartier Est</t>
  </si>
  <si>
    <t>735, 1re Avenue, app. 203, Montréal (Lachine), Quartier Est</t>
  </si>
  <si>
    <t>525, 5e Avenue, Montréal (Lachine), Quartier Est</t>
  </si>
  <si>
    <t>2240, Rue Victoria, app. 5, Montréal (Lachine), Quartier Est</t>
  </si>
  <si>
    <t>696, 10e Avenue, app. 2, Montréal (Lachine), Quartier Est</t>
  </si>
  <si>
    <t>740, 32e Avenue, app. 301, Montréal (Lachine), Quartier Ouest</t>
  </si>
  <si>
    <t>779, 7e Avenue, Montréal (Lachine), Quartier Est</t>
  </si>
  <si>
    <t>745, 1re Avenue, app. 106, Montréal (Lachine), Quartier Est</t>
  </si>
  <si>
    <t>664, 36e Avenue, app. 202, Montréal (Lachine), Quartier Oues</t>
  </si>
  <si>
    <t>722E, 2e Avenue, Montréal (Lachine), Quartier Est</t>
  </si>
  <si>
    <t>745, 1re Avenue, app. 115, Montréal (Lachine), Quartier Est</t>
  </si>
  <si>
    <t>427, 21e Avenue, app. 4, Montréal (Lachine), Quartier Est</t>
  </si>
  <si>
    <t>378, Avenue George-V, app. 202, Montréal (Lachine), Quartier Est</t>
  </si>
  <si>
    <t>2272, Rue Victoria, app. 4, Montréal (Lachine), Quartier Est</t>
  </si>
  <si>
    <t xml:space="preserve">
2268, Rue Victoria, app. 5, Montréal (Lachine), Quartier Est</t>
  </si>
  <si>
    <t xml:space="preserve">
185, 16e Avenue, app. 206, Montréal (Lachine), Quartier Est</t>
  </si>
  <si>
    <t>1820, Rue Victoria, app. 104, Montréal (Lachine), Quartier Est</t>
  </si>
  <si>
    <t>2220, Rue Victoria, Montréal (Lachine), Quartier Est</t>
  </si>
  <si>
    <t>3455, Rue du Fort-Rolland, app. 2, Montréal (Lachine), Quartier Ouest</t>
  </si>
  <si>
    <t>1820, Rue Victoria, app. 506, Montréal (Lachine), Quartier Est</t>
  </si>
  <si>
    <t>300, Avenue George-V, app. 301, Montréal (Lachine), Quartier Est</t>
  </si>
  <si>
    <t>645 - 655, Rue Saint-Louis, Montréal (Lachine), Quartier Est</t>
  </si>
  <si>
    <t>2260, Rue Victoria, app. 102, Montréal (Lachine), Quartier Est</t>
  </si>
  <si>
    <t>669, Avenue George-V, app. 302, Montréal (Lachine), Quartier Est</t>
  </si>
  <si>
    <t>750, 32e Avenue, app. 313, Montréal (Lachine), Quartier Ouest</t>
  </si>
  <si>
    <t>112, Rue Saint-Jacques, Montréal (Lachine), Quartier Saint-Pierre</t>
  </si>
  <si>
    <t>669, Avenue George-V, app. 402, Montréal (Lachine), Quartier Est</t>
  </si>
  <si>
    <t>2284, Rue Victoria, app. 5, Montréal (Lachine), Quartier Est</t>
  </si>
  <si>
    <t>427, 21e Avenue, app. 5, Montréal (Lachine), Quartier Est</t>
  </si>
  <si>
    <t>540, Avenue George-V, Montréal (Lachine), Quartier Est</t>
  </si>
  <si>
    <t>653, Terrasse du Ruisseau, Montréal (Lachine), Quartier Ouest</t>
  </si>
  <si>
    <t xml:space="preserve">
690, 6e Avenue, Montréal (Lachine), Quartier Est</t>
  </si>
  <si>
    <t>300, Avenue George-V, app. 405, Montréal (Lachine), Quartier Est</t>
  </si>
  <si>
    <t>378, Avenue George-V, app. 302, Montréal (Lachine), Quartier Est</t>
  </si>
  <si>
    <t>2765, Rue Notre-Dame, app. 103, Montréal (Lachine), Quartier Est</t>
  </si>
  <si>
    <t>325 - 327, 10e Avenue, Montréal (Lachine), Quartier Est</t>
  </si>
  <si>
    <t>115, Avenue Richardson, Montréal (Lachine), Quartier Saint-Pierre</t>
  </si>
  <si>
    <t>672, Terrasse du Ruisseau, Montréal (Lachine), Quartier Ouest</t>
  </si>
  <si>
    <t>670, Terrasse du Ruisseau, Montréal (Lachine), Quartier Ouest</t>
  </si>
  <si>
    <t>300, Avenue George-V, app. 205, Montréal (Lachine), Quartier Est</t>
  </si>
  <si>
    <t>3357, Rue Anatole-Carignan, Montréal (Lachine), Quartier Ouest</t>
  </si>
  <si>
    <t>90 - 92, Avenue Rolland, Montréal (Lachine), Quartier Saint-Pierre</t>
  </si>
  <si>
    <t>3040, boulevard Tessier, app. 173, Laval (Chomedey), Quartier Domaine Renaud</t>
  </si>
  <si>
    <t>2555, Avenue du Havre-des-Îles, app. 218, Laval (Chomedey), Quartier Autres</t>
  </si>
  <si>
    <t>25, Promenade des Îles, app. 720, Laval (Chomedey), Quartier Autres</t>
  </si>
  <si>
    <t>2555, Avenue du Havre-des-Îles, app. 709, Laval (Chomedey), Quartier Autres</t>
  </si>
  <si>
    <t>25, Promenade des Îles, app. 724, Laval (Chomedey), Quartier Autres</t>
  </si>
  <si>
    <t>2030, boulevard Tessier, app. 16, Laval (Chomedey), Quartier Domaine Renaud</t>
  </si>
  <si>
    <t>25, Promenade des Îles, app. 812, Laval (Chomedey), Quartier Autres</t>
  </si>
  <si>
    <t>4095, Rue de la Seine, app. 7, Laval (Chomedey), Quartier Autres</t>
  </si>
  <si>
    <t>1905, Rue Jean-Picard, app. 4Z, Laval (Chomedey), Quartier Carrefour Saint-Martin</t>
  </si>
  <si>
    <t>900, 80e Avenue, app. 508, Laval (Chomedey), Quartier Autres</t>
  </si>
  <si>
    <t>5101, Avenue Eliot, app. 217, Laval (Chomedey), Quartier Autres</t>
  </si>
  <si>
    <t>2555, Avenue du Havre-des-Îles, app. 704, Laval (Chomedey), Quartier Autres</t>
  </si>
  <si>
    <t>2030, boulevard Tessier, app. 8, Laval (Chomedey), Quartier Domaine Renaud</t>
  </si>
  <si>
    <t>3715, Avenue Jean-Béraud, app. 210, Laval (Chomedey), Quartier Carrefour Saint-Martin</t>
  </si>
  <si>
    <t>5530, Avenue Clarendon, Laval (Chomedey), Quartier Autres</t>
  </si>
  <si>
    <t>3775, boulevard Le Carrefour, app. 105, Laval (Chomedey), Quartier Carrefour Saint-Martin</t>
  </si>
  <si>
    <t>3795, boulevard Le Carrefour, app. 106, Laval (Chomedey), Quartier Carrefour Saint-Martin</t>
  </si>
  <si>
    <t xml:space="preserve">
919, Rue Jules-Huot, app. 306, Laval (Chomedey), Quartier Autres</t>
  </si>
  <si>
    <t>768, Avenue Ampère, app. 6, Laval (Chomedey), Quartier Place Renaud</t>
  </si>
  <si>
    <t>961, Avenue Saint-Charles, app. 401, Laval (Chomedey), Quartier Autres</t>
  </si>
  <si>
    <t>3230, Rue des Châteaux, app. 101, Laval (Chomedey), Quartier Autres</t>
  </si>
  <si>
    <t>3755, Avenue Jean-Béraud, app. 202, Laval (Chomedey), Quartier Carrefour Saint-Martin</t>
  </si>
  <si>
    <t>4480, Promenade Paton, app. 203, Laval (Chomedey), Quartier Autres</t>
  </si>
  <si>
    <t>3449, Avenue Jacques-Bureau, app. 302, Laval (Chomedey), Quartier Autres</t>
  </si>
  <si>
    <t>706, Place de Monaco, app. 301, Laval (Chomedey), Quartier Place Renaud</t>
  </si>
  <si>
    <t>5151, Avenue Eliot, app. 203, Laval (Chomedey), Quartier Autres</t>
  </si>
  <si>
    <t>4689, boulevard Cleroux, app. 1, Laval (Chomedey), Quartier Carrefour Saint-Martin</t>
  </si>
  <si>
    <t>2951, boulevard Daniel-Johnson, Laval (Chomedey), Quartier Autres</t>
  </si>
  <si>
    <t>5001, Avenue Eliot, app. 304, Laval (Chomedey), Quartier Autres</t>
  </si>
  <si>
    <t>4929, boulevard Cleroux, Laval (Chomedey), Quartier Carrefour Saint-Martin</t>
  </si>
  <si>
    <t>3641, Avenue Jean-Béraud, app. 105, Laval (Chomedey), Quartier Carrefour Saint-Martin</t>
  </si>
  <si>
    <t>3641, Avenue Jean-Béraud, app. 503, Laval (Chomedey), Quartier Carrefour Saint-Martin</t>
  </si>
  <si>
    <t>4450, Promenade Paton, app. 605, Laval (Chomedey), Quartier Autres</t>
  </si>
  <si>
    <t>2200, Avenue Terry-Fox, app. 602, Laval (Chomedey), Quartier Carrefour Saint-Martin</t>
  </si>
  <si>
    <t>5270, Avenue Clarendon, Laval (Chomedey), Quartier Autres</t>
  </si>
  <si>
    <t>25, Promenade des Îles, app. 628, Laval (Chomedey), Quartier Autres</t>
  </si>
  <si>
    <t>4001, Rue Elsa-Triolet, app. 302, Laval (Chomedey), Quartier Autres</t>
  </si>
  <si>
    <t>3665, Avenue Jean-Béraud, app. 404, Laval (Chomedey), Quartier Carrefour Saint-Martin</t>
  </si>
  <si>
    <t>4410, Chemin des Cageux, app. 2, Laval (Chomedey), Quartier Autres</t>
  </si>
  <si>
    <t>3197, boulevard Saint-Elzear Ouest, Laval (Chomedey), Quartier Autres</t>
  </si>
  <si>
    <t>3465, boulevard Saint-Elzear Ouest, Laval (Chomedey), Quartier Autres</t>
  </si>
  <si>
    <t>4500, Chemin des Cageux, app. 909, Laval (Chomedey), Quartier Autres</t>
  </si>
  <si>
    <t>2160, Avenue Terry-Fox, app. 414, Laval (Chomedey), Quartier Carrefour Saint-Martin</t>
  </si>
  <si>
    <t>77, Promenade des Îles, app. 203, Laval (Chomedey), Quartier Autres</t>
  </si>
  <si>
    <t>1710, Rue McNamara, app. 602, Laval (Chomedey), Quartier Autres</t>
  </si>
  <si>
    <t>77, Promenade des Îles, app. 403, Laval (Chomedey), Quartier Autres</t>
  </si>
  <si>
    <t>4500, Chemin des Cageux, app. 1207, Laval (Chomedey), Quartier Autres</t>
  </si>
  <si>
    <t>81, Promenade des Îles, app. 401, Laval (Chomedey), Quartier Autres</t>
  </si>
  <si>
    <t>4540, Promenade Paton, app. 404, Laval (Chomedey), Quartier Autres</t>
  </si>
  <si>
    <t>3865, boulevard de Chenonceau, app. 1501, Laval (Chomedey), Quartier Carrefour Saint-Martin</t>
  </si>
  <si>
    <t>3500, boulevard Saint-Elzear Ouest, app. 403, Laval (Chomedey), Quartier Autres</t>
  </si>
  <si>
    <t>4450, Promenade Paton, app. 103, Laval (Chomedey), Quartier Autres</t>
  </si>
  <si>
    <t>2910, Rue Édouard-Montpetit, app. 303, Laval (Chomedey), Quartier Carrefour Saint-Martin</t>
  </si>
  <si>
    <t>2100, Avenue Terry-Fox, app. 310, Laval (Chomedey), Quartier Carrefour Saint-Martin</t>
  </si>
  <si>
    <t>57, Promenade des Îles, app. 7, Laval (Chomedey), Quartier Autres</t>
  </si>
  <si>
    <t>2815, Avenue du Cosmodôme, app. 1004, Laval (Chomedey), Quartier Carrefour Saint-Martin</t>
  </si>
  <si>
    <t>2825, Avenue du Cosmodôme, app. 1103, Laval (Chomedey), Quartier Carrefour Saint-Martin</t>
  </si>
  <si>
    <t>1963, Rue Romiti, Laval (Chomedey), Quartier Carrefour Saint-Martin</t>
  </si>
  <si>
    <t>3045, boulevard Notre-Dame, app. 604, Laval (Chomedey), Quartier Autres</t>
  </si>
  <si>
    <t>3635, Avenue Jean-Béraud, app. 507, Laval (Chomedey), Quartier Carrefour Saint-Martin</t>
  </si>
  <si>
    <t>4491, Chemin Bélair, Laval (Chomedey), Quartier Autres</t>
  </si>
  <si>
    <t>3855, boulevard de Chenonceau, app. 909, Laval (Chomedey), Quartier Carrefour Saint-Martin</t>
  </si>
  <si>
    <t>2160, Avenue Terry-Fox, app. 207, Laval (Chomedey), Quartier Carrefour Saint-Martin</t>
  </si>
  <si>
    <t>250, 15e Rue, app. 301, Laval (Laval-des-Rapides</t>
  </si>
  <si>
    <t>2555, Avenue du Havre-des-Îles, app. 710, Laval (Chomedey), Quartier Autres</t>
  </si>
  <si>
    <t>900, 80e Avenue, app. 209, Laval (Chomedey), Quartier Autres</t>
  </si>
  <si>
    <t>131, Rue François-Souillard, app. 602, Laval (Laval-des-Rapides)</t>
  </si>
  <si>
    <t>5101, Avenue Eliot, app. 106, Laval (Chomedey), Quartier Autres</t>
  </si>
  <si>
    <t>1900, Rue Émile-Martineau, app. 1003, Laval (Laval-des-Rapides)</t>
  </si>
  <si>
    <t>3330, boulevard Le Carrefour, app. 605, Laval (Chomedey), Quartier Carrefour Saint-Martin</t>
  </si>
  <si>
    <t>3735, Avenue Jean-Béraud, app. 408, Laval (Chomedey), Quartier Carrefour Saint-Martin</t>
  </si>
  <si>
    <t>1655, boulevard du Souvenir, app. 27, Laval (Laval-des-Rapides)</t>
  </si>
  <si>
    <t>1605, boulevard du Souvenir, app. 118, Laval (Laval-des-Rapides)</t>
  </si>
  <si>
    <t>216, Avenue Léo-Lacombe, Laval (Laval-des-Rapides)</t>
  </si>
  <si>
    <t>663, Rue Robert-Élie, app. 101, Laval (Laval-des-Rapides)</t>
  </si>
  <si>
    <t>1665, boulevard du Souvenir, app. 104, Laval (Laval-des-Rapides)</t>
  </si>
  <si>
    <t>663, Rue Robert-Élie, app. 104, Laval (Laval-des-Rapides)</t>
  </si>
  <si>
    <t>603, Rue Robert-Élie, app. 606, Laval (Laval-des-Rapides)</t>
  </si>
  <si>
    <t>1465, boulevard Le Corbusier, app. 305, Laval (Laval-des-Rapides)</t>
  </si>
  <si>
    <t>1565, boulevard du Souvenir, app. 102, Laval (Laval-des-Rapides)</t>
  </si>
  <si>
    <t>603, Rue Robert-Élie, app. 406, Laval (Laval-des-Rapides)</t>
  </si>
  <si>
    <t>603, Rue Robert-Élie, app. 1006, Laval (Laval-des-Rapides)</t>
  </si>
  <si>
    <t>31, Avenue Laval, app. A, Laval (Laval-des-Rapides)</t>
  </si>
  <si>
    <t xml:space="preserve">
1440, Rue Lucien-Paiement, app. 301, Laval (Laval-des-Rapides)</t>
  </si>
  <si>
    <t>55C, Avenue Sauriol, Laval (Laval-des-Rapides)</t>
  </si>
  <si>
    <t>550, 11e Avenue, Laval (Laval-des-Rapides)</t>
  </si>
  <si>
    <t>502, boulevard des Prairies, app. 502, Laval (Laval-des-Rapides)</t>
  </si>
  <si>
    <t>1400, Rue Lucien-Paiement, app. 1502, Laval (Laval-des-Rapides)</t>
  </si>
  <si>
    <t>1420, Rue Lucien-Paiement, app. 1101, Laval (Laval-des-Rapides)</t>
  </si>
  <si>
    <t>1925, Rue Émile-Martineau, app. 203, Laval (Laval-des-Rapides)</t>
  </si>
  <si>
    <t>36, Montée Major, Laval (Laval-des-Rapides)</t>
  </si>
  <si>
    <t>1011, boulevard de l'Hôtel-de-Ville, Laval (Sainte-Dorothée), Quartier Est Islemère</t>
  </si>
  <si>
    <t>850, Rue Étienne-Lavoie, app. 4, Laval (Sainte-Dorothée), Quartier Est Islemère</t>
  </si>
  <si>
    <t>7165, boulevard Notre-Dame, Laval (Sainte-Dorothée), Quartier Est Islemère</t>
  </si>
  <si>
    <t>7139, boulevard Notre-Dame, Laval (Sainte-Dorothée), Quartier Est Islemère</t>
  </si>
  <si>
    <t>591, Rue Étienne-Lavoie, Laval (Sainte-Dorothée), Quartier Est Islemère</t>
  </si>
  <si>
    <t>76, Rue Principale, app. C, Laval (Sainte-Dorothée), Quartier Est Islemère</t>
  </si>
  <si>
    <t>501, Chemin du Bois, Laval (Sainte-Dorothée), Quartier Îles Laval</t>
  </si>
  <si>
    <t>1315, Rue Graveline, app. 202, Laval (Sainte-Dorothée), Quartier Ouest Islemère</t>
  </si>
  <si>
    <t>596, Rue Étienne-Lavoie, Laval (Sainte-Dorothée), Quartier Est Islemère</t>
  </si>
  <si>
    <t>76, Rue Principale, app. A, Laval (Sainte-Dorothée), Quartier Est Islemère</t>
  </si>
  <si>
    <t>208, Chemin du Tour, Laval (Sainte-Dorothée), Quartier Îles Laval</t>
  </si>
  <si>
    <t>420, Rue Étienne-Lavoie, Laval (Sainte-Dorothée), Quartier Est Islemère</t>
  </si>
  <si>
    <t>695, Rue Filiatrault, Laval (Sainte-Dorothée), Quartier Est Islemère</t>
  </si>
  <si>
    <t>783, Chemin du Bord-de-l'Eau, Laval (Sainte-Dorothée), Quartier Est Islemère</t>
  </si>
  <si>
    <t>951, Rue des Primevères, Laval (Sainte-Dorothée), Quartier Est Islemère</t>
  </si>
  <si>
    <t>1298, Chemin du Bord-de-l'Eau, app. 202, Laval (Sainte-Dorothée), Quartier Ouest Islemère</t>
  </si>
  <si>
    <t>534, boulevard Samson, Laval (Sainte-Dorothée), Quartier Est Islemère</t>
  </si>
  <si>
    <t>504, Rue Filiatrault, Laval (Sainte-Dorothée), Quartier Est Islemère</t>
  </si>
  <si>
    <t>495, Chemin du Bois, Laval (Sainte-Dorothée), Quartier Îles Laval</t>
  </si>
  <si>
    <t>617, Rue Filiatrault, Laval (Sainte-Dorothée), Quartier Est Islemère</t>
  </si>
  <si>
    <t>1245, Chemin du Bord-de-l'Eau, Laval (Sainte-Dorothée), Quartier Ouest Islemère</t>
  </si>
  <si>
    <t>1323, Chemin du Bord-de-l'Eau, Laval (Sainte-Dorothée), Quartier Ouest Islemère</t>
  </si>
  <si>
    <t>1274, Rue de Val-Brillant, Laval (Sainte-Dorothée), Quartier Ouest Islemère</t>
  </si>
  <si>
    <t>55, Rue Comtois, Laval (Sainte-Dorothée), Quartier Îles Laval</t>
  </si>
  <si>
    <t>495, Rue Gervais, Laval (Sainte-Dorothée), Quartier Est Islemère</t>
  </si>
  <si>
    <t>174, boulevard Lévesque Est, app. 250, Laval (Pont-Viau)</t>
  </si>
  <si>
    <t>361, Rue Saint-André, Laval (Pont-Viau)</t>
  </si>
  <si>
    <t>75, Rue Videl, app. 301, Laval (Pont-Viau)</t>
  </si>
  <si>
    <t>555, Rue Saint-Hubert, Laval (Pont-Viau)</t>
  </si>
  <si>
    <t>600, Place Juge-Desnoyers, app. C204, Laval (Pont-Viau)</t>
  </si>
  <si>
    <t>290, Rue Cousineau, Laval (Pont-Viau)</t>
  </si>
  <si>
    <t>9, boulevard des Prairies, app. 307, Laval (Pont-Viau)</t>
  </si>
  <si>
    <t>9, boulevard des Prairies, app. 405, Laval (Pont-Viau)</t>
  </si>
  <si>
    <t>530, boulevard des Cépages, Laval (Duvernay), Quartier Est</t>
  </si>
  <si>
    <t>3060, Rue de la Comtesse, app. 306, Laval (Duvernay), Quartier Val des Brises</t>
  </si>
  <si>
    <t>3025, Avenue des Gouverneurs, app. 214, Laval (Duvernay), Quartier Val des Brises</t>
  </si>
  <si>
    <t>3035, Avenue des Gouverneurs, app. 106, Laval (Duvernay), Quartier Val des Brises</t>
  </si>
  <si>
    <t>7934, boulevard Lévesque Est, app. A, Laval (Duvernay), Quartier Est</t>
  </si>
  <si>
    <t xml:space="preserve">
3060, Rue de la Comtesse, app. 407, Laval (Duvernay), Quartier Val des Brises</t>
  </si>
  <si>
    <t>3572, boulevard Pie-IX, app. 302, Laval (Duvernay), Quartier Val des Brises</t>
  </si>
  <si>
    <t>3552, boulevard Pie-IX, app. 102, Laval (Duvernay), Quartier Val des Brises</t>
  </si>
  <si>
    <t>3025, Avenue des Gouverneurs, app. 313, Laval (Duvernay), Quartier Val des Brises</t>
  </si>
  <si>
    <t>2425, boulevard Saint-Martin Est, app. 203, Laval (Duvernay), Quartier Val des Arbres</t>
  </si>
  <si>
    <t>2365, boulevard Saint-Martin Est, app. 201, Laval (Duvernay), Quartier Val des Arbres</t>
  </si>
  <si>
    <t>3025, Avenue des Gouverneurs, app. 209, Laval (Duvernay), Quartier Val des Brises</t>
  </si>
  <si>
    <t>3060, Rue de la Comtesse, app. 312, Laval (Duvernay), Quartier Val des Brises</t>
  </si>
  <si>
    <t>584, boulevard des Cépages, Laval (Duvernay), Quartier Est</t>
  </si>
  <si>
    <t>155, Avenue J.-J.-Joubert, app. 110, Laval (Duvernay), Quartier Autres</t>
  </si>
  <si>
    <t>3040, Rue de la Comtesse, app. 203, Laval (Duvernay), Quartier Val des Brises</t>
  </si>
  <si>
    <t>5119, Rang du Bas-Saint-François, Laval (Duvernay), Quartier Val des Brises</t>
  </si>
  <si>
    <t>3440, boulevard Pie-IX, app. 301, Laval (Duvernay), Quartier Val des Brises</t>
  </si>
  <si>
    <t>8050, Rue Angèle, Laval (Duvernay), Quartier Est</t>
  </si>
  <si>
    <t>3243, Rang Saint-Elzear Est, Laval (Duvernay), Quartier Val des Brises</t>
  </si>
  <si>
    <t>3025, Avenue des Gouverneurs, app. 304, Laval (Duvernay), Quartier Val des Brises</t>
  </si>
  <si>
    <t>3060, Rue de la Comtesse, app. 313, Laval (Duvernay), Quartier Val des Brises</t>
  </si>
  <si>
    <t>4870, Rang Saint-Elzear Est, Laval (Duvernay), Quartier Val des Brises</t>
  </si>
  <si>
    <t>155, Avenue J.-J.-Joubert, app. 308, Laval (Duvernay), Quartier Autres</t>
  </si>
  <si>
    <t>3280, Rue Matisse, app. 101, Laval (Duvernay), Quartier Val des Brises</t>
  </si>
  <si>
    <t>7842, Rue de l'Aurore, Laval (Duvernay), Quartier Est</t>
  </si>
  <si>
    <t>3230, Rue Matisse, app. 301, Laval (Duvernay), Quartier Val des Brises</t>
  </si>
  <si>
    <t>2310, Rue Monet, app. 201, Laval (Duvernay), Quartier Val des Brises</t>
  </si>
  <si>
    <t>7952, Rue des Châtaigniers, Laval (Duvernay), Quartier Est</t>
  </si>
  <si>
    <t>3035, Avenue des Gouverneurs, app. 312, Laval (Duvernay), Quartier Val des Brises</t>
  </si>
  <si>
    <t>8344Z, Avenue des Trembles, Laval (Duvernay), Quartier Est</t>
  </si>
  <si>
    <t>3040, Rue de la Comtesse, app. 105, Laval (Duvernay), Quartier Val des Brises</t>
  </si>
  <si>
    <t>275, Rue du Cresson, Laval (Duvernay), Quartier Est</t>
  </si>
  <si>
    <t>155, Avenue J.-J.-Joubert, app. 510, Laval (Duvernay), Quartier Autres</t>
  </si>
  <si>
    <t>3350, boulevard de la Concorde Est, app. 207, Laval (Duvernay), Quartier Autres</t>
  </si>
  <si>
    <t>2100, boulevard Lévesque Est, app. 10E, Laval (Duvernay), Quartier Autres</t>
  </si>
  <si>
    <t>2240, Rue Pincourt, Laval (Duvernay), Quartier Autres</t>
  </si>
  <si>
    <t>7448, Rue François-Chartrand, Laval (Duvernay), Quartier Est</t>
  </si>
  <si>
    <t>2395 - 2395A, boulevard de la Concorde Est, Laval (Duvernay), Quartier Val des Arbres</t>
  </si>
  <si>
    <t>8373, Avenue des Trembles, Laval (Duvernay), Quartier Est</t>
  </si>
  <si>
    <t>1085, Croissant Albanel, Laval (Duvernay), Quartier Autres</t>
  </si>
  <si>
    <t>1039, Croissant d'Ailleboust, Laval (Duvernay), Quartier Autres</t>
  </si>
  <si>
    <t>3145, Croissant de Paris, Laval (Duvernay), Quartier Autres</t>
  </si>
  <si>
    <t>251, Rue du Genévrier, Laval (Duvernay), Quartier Est</t>
  </si>
  <si>
    <t>591, Place Guillemette, app. 73, Laval (Fabreville), Quartier Est</t>
  </si>
  <si>
    <t>4705, boulevard Dagenais Ouest, app. 301, Laval (Fabreville), Quartier Ouest</t>
  </si>
  <si>
    <t>635, Rue Guillemette, app. 103, Laval (Fabreville), Quartier Est</t>
  </si>
  <si>
    <t>471, Rue Éricka, app. 18, Laval (Fabreville), Quartier Est</t>
  </si>
  <si>
    <t>1085, boulevard Mattawa, app. 5, Laval (Fabreville), Quartier Est</t>
  </si>
  <si>
    <t>325, Rue Éricka, app. 244, Laval (Fabreville), Quartier Est</t>
  </si>
  <si>
    <t>823, Montée Montrougeau, Laval (Fabreville), Quartier Est</t>
  </si>
  <si>
    <t>631, Rue Maheux, app. 4, Laval (Fabreville), Quartier Ouest</t>
  </si>
  <si>
    <t>407, Rue Éricka, app. 21, Laval (Fabreville), Quartier Est</t>
  </si>
  <si>
    <t>1135, boulevard Mattawa, app. 3, Laval (Fabreville), Quartier Est</t>
  </si>
  <si>
    <t>1269, Rue Chalutier, Laval (Fabreville), Quartier Ouest</t>
  </si>
  <si>
    <t>635, Rue Guillemette, app. 201, Laval (Fabreville), Quartier Est</t>
  </si>
  <si>
    <t>1178, 45e Avenue, Laval (Fabreville), Quartier Ouest</t>
  </si>
  <si>
    <t>321, Rue Imelda, Laval (Fabreville), Quartier Est</t>
  </si>
  <si>
    <t>3583, boulevard Sainte-Rose, app. 5, Laval (Fabreville), Quartier Est</t>
  </si>
  <si>
    <t>902, Rue de Brétigny, Laval (Fabreville), Quartier Est</t>
  </si>
  <si>
    <t>4537, boulevard Dagenais Ouest, Laval (Fabreville), Quartier Ouest</t>
  </si>
  <si>
    <t>1220, 43e Avenue, Laval (Fabreville), Quartier Ouest</t>
  </si>
  <si>
    <t>558, Montée Montrougeau, Laval (Fabreville), Quartier Est</t>
  </si>
  <si>
    <t>915, Rue Laforest, Laval (Fabreville), Quartier Ouest</t>
  </si>
  <si>
    <t>680, Montée Sauriol, Laval (Fabreville), Quartier Ouest</t>
  </si>
  <si>
    <t>1130, boulevard Mattawa, app. 503, Laval (Fabreville), Quartier Est</t>
  </si>
  <si>
    <t>1130, boulevard Mattawa, app. 206, Laval (Fabreville), Quartier Est</t>
  </si>
  <si>
    <t>961, Rue Roseline, Laval (Fabreville), Quartier Ouest</t>
  </si>
  <si>
    <t>965, Rue De Magellan, Laval (Fabreville), Quartier Ouest</t>
  </si>
  <si>
    <t>1116, 44e Avenue, Laval (Fabreville), Quartier Ouest</t>
  </si>
  <si>
    <t>625, Place Georges-Dor, app. 502, Laval (Fabreville), Quartier Ouest</t>
  </si>
  <si>
    <t>3553, Croissant Heloise, Laval (Fabreville), Quartier Est</t>
  </si>
  <si>
    <t>4225, Rue Morisset, Laval (Fabreville), Quartier Ouest</t>
  </si>
  <si>
    <t>486, Rue Donatien, Laval (Fabreville), Quartier Est</t>
  </si>
  <si>
    <t>1390, boulevard Rome, apt. 18, Brossard, Neighbourhood Street names (R)</t>
  </si>
  <si>
    <t>https://www.centris.ca/en/condos~for-sale~brossard/16013492?view=Summary&amp;uc=19</t>
  </si>
  <si>
    <t>6722, Rue Claudel, Brossard, Neighbourhood Street names (C)</t>
  </si>
  <si>
    <t>https://www.centris.ca/en/condos~for-sale~brossard/24898252?view=Summary&amp;uc=20</t>
  </si>
  <si>
    <t>7255, Rue de Lunan, apt. 407, Brossard, Neighbourhood Street names</t>
  </si>
  <si>
    <t>https://www.centris.ca/en/condos~for-sale~brossard/27239180?view=Summary&amp;uc=21</t>
  </si>
  <si>
    <t>2285, Avenue Auguste, Brossard, Neighbourhood Street names (A)</t>
  </si>
  <si>
    <t>https://www.centris.ca/en/condos~for-sale~brossard/16160517?view=Summary&amp;uc=22</t>
  </si>
  <si>
    <t>6250, boulevard Chevrier, apt. 112, Brossard, Neighbourhood Street names (C)</t>
  </si>
  <si>
    <t>https://www.centris.ca/en/lofts-studios~for-sale~brossard/20701789?view=Summary&amp;uc=23</t>
  </si>
  <si>
    <t>2165, Rue de Lyne, Brossard, Neighbourhood Street names</t>
  </si>
  <si>
    <t>https://www.centris.ca/en/condos~for-sale~brossard/18314596?view=Summary&amp;uc=24</t>
  </si>
  <si>
    <t>7750, Avenue Trahan, apt. 21, Brossard, Neighbourhood Street names</t>
  </si>
  <si>
    <t>https://www.centris.ca/en/condos~for-sale~brossard/26231046?view=Summary&amp;uc=25</t>
  </si>
  <si>
    <t>7620, boulevard Marie-Victorin, apt. 308, Brossard, Neighbourhood Street names</t>
  </si>
  <si>
    <t>https://www.centris.ca/en/condos~for-sale~brossard/18595739?view=Summary&amp;uc=26</t>
  </si>
  <si>
    <t>2100, Rue de Lyne, Brossard, Neighbourhood Street names (L)</t>
  </si>
  <si>
    <t>https://www.centris.ca/en/condos~for-sale~brossard/28186396?view=Summary&amp;uc=27</t>
  </si>
  <si>
    <t>1550, Avenue Panama, apt. 316, Brossard, Neighbourhood Street names</t>
  </si>
  <si>
    <t>https://www.centris.ca/en/condos~for-sale~brossard/27940723?view=Summary&amp;uc=28</t>
  </si>
  <si>
    <t>2580, Rue Neuville, apt. 107, Brossard, Neighbourhood Street names</t>
  </si>
  <si>
    <t>https://www.centris.ca/en/condos~for-sale~brossard/15315365?view=Summary&amp;uc=30</t>
  </si>
  <si>
    <t>7815, Avenue Niagara, apt. 1, Brossard, Neighbourhood Street names</t>
  </si>
  <si>
    <t>https://www.centris.ca/en/condos~for-sale~brossard/20442043?view=Summary&amp;uc=33</t>
  </si>
  <si>
    <t>8200, boulevard Saint-Laurent, apt. 507, Brossard, Neighbourhood Street names</t>
  </si>
  <si>
    <t>https://www.centris.ca/en/condos~for-sale~brossard/17256545?view=Summary&amp;uc=34</t>
  </si>
  <si>
    <t>505, Rue Saint-Francois, apt. 706, Brossard, Neighbourhood Street names</t>
  </si>
  <si>
    <t>https://www.centris.ca/en/condos~for-sale~brossard/13628552?view=Summary&amp;uc=35</t>
  </si>
  <si>
    <t>5305, Rue Charpentier, Brossard, Neighbourhood Street names</t>
  </si>
  <si>
    <t>https://www.centris.ca/en/condos~for-sale~brossard/18312777?view=Summary&amp;uc=36</t>
  </si>
  <si>
    <t>1390, boulevard Rome, apt. 12, Brossard, Neighbourhood Street names</t>
  </si>
  <si>
    <t>https://www.centris.ca/en/condos~for-sale~brossard/20920121?view=Summary&amp;uc=37</t>
  </si>
  <si>
    <t>6400, Rue de Chambéry, apt. 106, Brossard, Neighbourhood Street names</t>
  </si>
  <si>
    <t>https://www.centris.ca/en/condos~for-sale~brossard/22267169?view=Summary&amp;uc=38</t>
  </si>
  <si>
    <t>325, Place Trianon, apt. 202, Brossard, Neighbourhood Street names</t>
  </si>
  <si>
    <t>https://www.centris.ca/en/condos~for-sale~brossard/25965397?view=Summary&amp;uc=39</t>
  </si>
  <si>
    <t>6400, Rue Christophe, apt. 210, Brossard, Neighbourhood Street names</t>
  </si>
  <si>
    <t>https://www.centris.ca/en/condos~for-sale~brossard/26534656?view=Summary&amp;uc=40</t>
  </si>
  <si>
    <t>https://www.centris.ca/en/condos~for-sale~brossard/25965397?view=Summary&amp;uc=41</t>
  </si>
  <si>
    <t>https://www.centris.ca/en/condos~for-sale~brossard/26534656?view=Summary&amp;uc=43</t>
  </si>
  <si>
    <t>1390, Rue Palerme, apt. 608, Brossard, Neighbourhood Street names</t>
  </si>
  <si>
    <t>https://www.centris.ca/en/condos~for-sale~brossard/26832142?view=Summary&amp;uc=44</t>
  </si>
  <si>
    <t>2120, Rue de Lyne, Brossard, Neighbourhood Street names</t>
  </si>
  <si>
    <t>https://www.centris.ca/en/condos~for-sale~brossard/27296353?view=Summary&amp;uc=45</t>
  </si>
  <si>
    <t>8050, boulevard Saint-Laurent, apt. 403, Brossard, Neighbourhood Street names</t>
  </si>
  <si>
    <t>https://www.centris.ca/en/condos~for-sale~brossard/10512252?view=Summary&amp;uc=46</t>
  </si>
  <si>
    <t>6405, Rue Corbière, apt. 303, Brossard, Neighbourhood Street names</t>
  </si>
  <si>
    <t>https://www.centris.ca/en/condos~for-sale~brossard/23180293?view=Summary&amp;uc=47</t>
  </si>
  <si>
    <t>7085, Rue de Lunan, apt. 202, Brossard, Neighbourhood Street names</t>
  </si>
  <si>
    <t>https://www.centris.ca/en/condos~for-sale~brossard/17408113?view=Summary&amp;uc=50</t>
  </si>
  <si>
    <t>6400, Rue de Chambéry, apt. 115, Brossard, Neighbourhood Street names</t>
  </si>
  <si>
    <t>https://www.centris.ca/en/condos~for-sale~brossard/22689118?view=Summary&amp;uc=51</t>
  </si>
  <si>
    <t>7275, Rue de Lunan, apt. 413, Brossard, Neighbourhood Street names</t>
  </si>
  <si>
    <t>https://www.centris.ca/en/condos~for-sale~brossard/25485681?view=Summary&amp;uc=52</t>
  </si>
  <si>
    <t>1470, Rue Palerme, apt. 604, Brossard, Neighbourhood Street names</t>
  </si>
  <si>
    <t>https://www.centris.ca/en/condos~for-sale~brossard/16677638?view=Summary&amp;uc=53</t>
  </si>
  <si>
    <t>505, Rue de l'Escale, apt. 419, Brossard, Neighbourhood Street names</t>
  </si>
  <si>
    <t>https://www.centris.ca/en/condos~for-sale~brossard/10981185?view=Summary&amp;uc=224</t>
  </si>
  <si>
    <t>1650, Avenue Panama, apt. 217, Brossard, Neighbourhood Street names</t>
  </si>
  <si>
    <t>https://www.centris.ca/en/condos~for-sale~brossard/24439227?view=Summary&amp;uc=225</t>
  </si>
  <si>
    <t>39, Rue Provost, Montréal (Lachine), Neighbourhood East</t>
  </si>
  <si>
    <t>https://www.centris.ca/en/condominium-houses~for-sale~montreal-lachine/23048097?view=Summary&amp;uc=47</t>
  </si>
  <si>
    <t>4290, Rue Sir-George-Simpson, Montréal (Lachine), Neighbourhood West</t>
  </si>
  <si>
    <t>https://www.centris.ca/en/houses~for-sale~montreal-lachine/26942590?view=Summary&amp;uc=52</t>
  </si>
  <si>
    <t>585 - 587, 5e Avenue, Montréal (Lachine), Neighbourhood East</t>
  </si>
  <si>
    <t>https://www.centris.ca/en/duplexes~for-sale~montreal-lachine/15412110?view=Summary&amp;uc=53</t>
  </si>
  <si>
    <t>414, Avenue Skaniatarati, Montréal (Lachine), Neighbourhood East</t>
  </si>
  <si>
    <t>https://www.centris.ca/en/condos~for-sale~montreal-lachine/17726347?view=Summary&amp;uc=54</t>
  </si>
  <si>
    <t>875, 13e Avenue, Montréal (Lachine), Neighbourhood East</t>
  </si>
  <si>
    <t>https://www.centris.ca/en/houses~for-sale~montreal-lachine/16238456?view=Summary&amp;uc=46</t>
  </si>
  <si>
    <t>2225, Rue Notre-Dame, apt. 101, Montréal (Lachine), Neighbourhood East</t>
  </si>
  <si>
    <t>https://www.centris.ca/en/condos~for-sale~montreal-lachine/10026262?view=Summary&amp;uc=47</t>
  </si>
  <si>
    <t>380, Avenue Skaniatarati, Montréal (Lachine), Neighbourhood East</t>
  </si>
  <si>
    <t>https://www.centris.ca/en/condos~for-sale~montreal-lachine/10475098?view=Summary&amp;uc=48</t>
  </si>
  <si>
    <t>48, Avenue Hillcrest, Montréal (Lachine), Neighbourhood Saint-Pierre</t>
  </si>
  <si>
    <t>https://www.centris.ca/en/houses~for-sale~montreal-lachine/18608957?view=Summary&amp;uc=49</t>
  </si>
  <si>
    <t>396, Avenue Skaniatarati, Montréal (Lachine), Neighbourhood East</t>
  </si>
  <si>
    <t>https://www.centris.ca/en/condos~for-sale~montreal-lachine/19618264?view=Summary&amp;uc=50</t>
  </si>
  <si>
    <t>168, Avenue Milton, Montréal (Lachine), Neighbourhood Saint-Pierre</t>
  </si>
  <si>
    <t>https://www.centris.ca/en/houses~for-sale~montreal-lachine/10220974?view=Summary&amp;uc=52</t>
  </si>
  <si>
    <t>775, 50e Avenue, Montréal (Lachine), Neighbourhood West</t>
  </si>
  <si>
    <t>https://www.centris.ca/en/houses~for-sale~montreal-lachine/16864168?view=Summary&amp;uc=53</t>
  </si>
  <si>
    <t>2800, Rue Sherbrooke, Montréal (Lachine), Neighbourhood East</t>
  </si>
  <si>
    <t>https://www.centris.ca/en/houses~for-sale~montreal-lachine/20251342?view=Summary&amp;uc=54</t>
  </si>
  <si>
    <t>855, 54e Avenue, Montréal (Lachine), Neighbourhood West</t>
  </si>
  <si>
    <t>https://www.centris.ca/en/houses~for-sale~montreal-lachine/12624162?view=Summary&amp;uc=55</t>
  </si>
  <si>
    <t>2760, Terrasse Émile-Pelletier, Montréal (Lachine), Neighbourhood East</t>
  </si>
  <si>
    <t>https://www.centris.ca/en/houses~for-sale~montreal-lachine/19609473?view=Summary&amp;uc=58</t>
  </si>
  <si>
    <t>420, 19e Avenue, apt. 402, Montréal (Lachine), Neighbourhood East</t>
  </si>
  <si>
    <t>https://www.centris.ca/en/condos~for-sale~montreal-lachine/14160797?view=Summary&amp;uc=59</t>
  </si>
  <si>
    <t>2000, boulevard Saint-Joseph, apt. 302, Montréal (Lachine), Neighbourhood East</t>
  </si>
  <si>
    <t>https://www.centris.ca/en/condos~for-sale~montreal-lachine/27972738?view=Summary&amp;uc=60</t>
  </si>
  <si>
    <t>641 - 643, 10e Avenue, Montréal (Lachine), Neighbourhood East</t>
  </si>
  <si>
    <t>https://www.centris.ca/en/duplexes~for-sale~montreal-lachine/16483450?view=Summary&amp;uc=61</t>
  </si>
  <si>
    <t>492, Avenue Émile-Pominville, Montréal (Lachine), Neighbourhood Saint-Pierre</t>
  </si>
  <si>
    <t>https://www.centris.ca/en/houses~for-sale~montreal-lachine/17420993?view=Summary&amp;uc=64</t>
  </si>
  <si>
    <t>2225, Rue Notre-Dame, apt. 429, Montréal (Lachine), Neighbourhood East</t>
  </si>
  <si>
    <t>https://www.centris.ca/en/condos~for-sale~montreal-lachine/13206420?view=Summary&amp;uc=66</t>
  </si>
  <si>
    <t>402, 44e Avenue, Montréal (Lachine), Neighbourhood West</t>
  </si>
  <si>
    <t>https://www.centris.ca/en/houses~for-sale~montreal-lachine/19866983?view=Summary&amp;uc=68</t>
  </si>
  <si>
    <t>470 - 472, Avenue George-V, Montréal (Lachine), Neighbourhood East</t>
  </si>
  <si>
    <t>https://www.centris.ca/en/duplexes~for-sale~montreal-lachine/15588212?view=Summary&amp;uc=69</t>
  </si>
  <si>
    <t>854, 53e Avenue, Montréal (Lachine), Neighbourhood West</t>
  </si>
  <si>
    <t>https://www.centris.ca/en/houses~for-sale~montreal-lachine/19815820?view=Summary&amp;uc=72</t>
  </si>
  <si>
    <t>2010, Rue Victoria, Montréal (Lachine), Neighbourhood East</t>
  </si>
  <si>
    <t>175, 48e Avenue, Montréal (Lachine), Neighbourhood West</t>
  </si>
  <si>
    <t>https://www.centris.ca/en/houses~for-sale~montreal-lachine/9543138?view=Summary&amp;uc=74</t>
  </si>
  <si>
    <t>5140, Rue Sir-George-Simpson, apt. SIR-GEOR, Montréal (Lachine), Neighbourhood West</t>
  </si>
  <si>
    <t>https://www.centris.ca/en/houses~for-sale~montreal-lachine/19352931?view=Summary&amp;uc=57</t>
  </si>
  <si>
    <t>458, 21e Avenue, Montréal (Lachine), Neighbourhood East</t>
  </si>
  <si>
    <t>https://www.centris.ca/en/condominium-houses~for-sale~montreal-lachine/12371098?view=Summary&amp;uc=59</t>
  </si>
  <si>
    <t>735, 37e Avenue, Montréal (Lachine), Neighbourhood West</t>
  </si>
  <si>
    <t>https://www.centris.ca/en/houses~for-sale~montreal-lachine/9008581?view=Summary&amp;uc=61</t>
  </si>
  <si>
    <t>782 - 784, 9e Avenue, Montréal (Lachine), Neighbourhood East</t>
  </si>
  <si>
    <t>https://www.centris.ca/en/duplexes~for-sale~montreal-lachine/19921561?view=Summary&amp;uc=62</t>
  </si>
  <si>
    <t>420, Avenue Jenkins, Montréal (Lachine), Neighbourhood East</t>
  </si>
  <si>
    <t>https://www.centris.ca/en/houses~for-sale~montreal-lachine/10530766?view=Summary&amp;uc=65</t>
  </si>
  <si>
    <t>3010, boulevard Saint-Joseph, apt. 104, Montréal (Lachine), Neighbourhood East</t>
  </si>
  <si>
    <t>https://www.centris.ca/en/condos~for-sale~montreal-lachine/22388255?view=Summary&amp;uc=66</t>
  </si>
  <si>
    <t>178 - 180, 18e Avenue, Montréal (Lachine), Neighbourhood East</t>
  </si>
  <si>
    <t>https://www.centris.ca/en/duplexes~for-sale~montreal-lachine/18568666?view=Summary&amp;uc=67</t>
  </si>
  <si>
    <t>453, Avenue Émile-Pominville, Montréal (Lachine), Neighbourhood Saint-Pierre</t>
  </si>
  <si>
    <t>https://www.centris.ca/en/houses~for-sale~montreal-lachine/22714330?view=Summary&amp;uc=68</t>
  </si>
  <si>
    <t>810, 49e Avenue, Montréal (Lachine), Neighbourhood West</t>
  </si>
  <si>
    <t>https://www.centris.ca/en/houses~for-sale~montreal-lachine/20709029?view=Summary&amp;uc=69</t>
  </si>
  <si>
    <t>645, 37e Avenue, Montréal (Lachine), Neighbourhood West</t>
  </si>
  <si>
    <t>https://www.centris.ca/en/duplexes~for-sale~montreal-lachine/9389728?view=Summary&amp;uc=70</t>
  </si>
  <si>
    <t>761, 36e Avenue, Montréal (Lachine), Neighbourhood West</t>
  </si>
  <si>
    <t>https://www.centris.ca/en/houses~for-sale~montreal-lachine/16168371?view=Summary&amp;uc=71</t>
  </si>
  <si>
    <t xml:space="preserve">
105 - 107, 17e Avenue, Montréal (Lachine), Neighbourhood East</t>
  </si>
  <si>
    <t>https://www.centris.ca/en/triplexes~for-sale~montreal-lachine/26579364?view=Summary&amp;uc=72</t>
  </si>
  <si>
    <t>https://www.centris.ca/en/condos~for-sale~montreal-verdun-ile-des-soeurs/18534836?view=Summary&amp;uc=75</t>
  </si>
  <si>
    <t>https://www.centris.ca/en/condos~for-sale~montreal-verdun-ile-des-soeurs/20514913?view=Summary&amp;uc=76</t>
  </si>
  <si>
    <t>https://www.centris.ca/en/condos~for-sale~montreal-verdun-ile-des-soeurs/20425839?view=Summary&amp;uc=77</t>
  </si>
  <si>
    <t>https://www.centris.ca/en/condos~for-sale~montreal-verdun-ile-des-soeurs/20809751?view=Summary&amp;uc=78</t>
  </si>
  <si>
    <t>https://www.centris.ca/en/condos~for-sale~montreal-verdun-ile-des-soeurs/19079330?view=Summary&amp;uc=79</t>
  </si>
  <si>
    <t>https://www.centris.ca/en/condos~for-sale~montreal-verdun-ile-des-soeurs/12268290?view=Summary&amp;uc=80</t>
  </si>
  <si>
    <t>https://www.centris.ca/en/condos~for-sale~montreal-verdun-ile-des-soeurs/16623850?view=Summary&amp;uc=81</t>
  </si>
  <si>
    <t>https://www.centris.ca/en/condos~for-sale~montreal-verdun-ile-des-soeurs/28639251?view=Summary&amp;uc=82</t>
  </si>
  <si>
    <t>https://www.centris.ca/en/condos~for-sale~montreal-verdun-ile-des-soeurs/21010683?view=Summary&amp;uc=83</t>
  </si>
  <si>
    <t>https://www.centris.ca/en/condos~for-sale~montreal-verdun-ile-des-soeurs/16409183?view=Summary&amp;uc=84</t>
  </si>
  <si>
    <t>https://www.centris.ca/en/condos~for-sale~montreal-verdun-ile-des-soeurs/10385380?view=Summary&amp;uc=86</t>
  </si>
  <si>
    <t>https://www.centris.ca/en/condos~for-sale~montreal-verdun-ile-des-soeurs/15878953?view=Summary&amp;uc=87</t>
  </si>
  <si>
    <t>https://www.centris.ca/en/condos~for-sale~montreal-verdun-ile-des-soeurs/28655682?view=Summary&amp;uc=88</t>
  </si>
  <si>
    <t>https://www.centris.ca/en/condos~for-sale~montreal-verdun-ile-des-soeurs/19046563?view=Summary&amp;uc=89</t>
  </si>
  <si>
    <t>https://www.centris.ca/en/condos~for-sale~montreal-verdun-ile-des-soeurs/9869692?view=Summary&amp;uc=91</t>
  </si>
  <si>
    <t>https://www.centris.ca/en/condos~for-sale~montreal-verdun-ile-des-soeurs/11585024?view=Summary&amp;uc=92</t>
  </si>
  <si>
    <t>https://www.centris.ca/en/condos~for-sale~montreal-verdun-ile-des-soeurs/27728034?view=Summary&amp;uc=93</t>
  </si>
  <si>
    <t>https://www.centris.ca/en/condos~for-sale~montreal-verdun-ile-des-soeurs/16283253?view=Summary&amp;uc=94</t>
  </si>
  <si>
    <t>https://www.centris.ca/en/condos~for-sale~montreal-verdun-ile-des-soeurs/21436212?view=Summary&amp;uc=95</t>
  </si>
  <si>
    <t>https://www.centris.ca/en/4plex~for-sale~montreal-verdun-ile-des-soeurs/27158533?view=Summary&amp;uc=97</t>
  </si>
  <si>
    <t>https://www.centris.ca/en/condos~for-sale~montreal-verdun-ile-des-soeurs/11146141?view=Summary&amp;uc=98</t>
  </si>
  <si>
    <t>https://www.centris.ca/en/condos~for-sale~montreal-verdun-ile-des-soeurs/18800864?view=Summary&amp;uc=99</t>
  </si>
  <si>
    <t>https://www.centris.ca/en/houses~for-sale~montreal-verdun-ile-des-soeurs/9666084?view=Summary&amp;uc=75</t>
  </si>
  <si>
    <t>https://www.centris.ca/en/condos~for-sale~montreal-verdun-ile-des-soeurs/28286814?view=Summary&amp;uc=76</t>
  </si>
  <si>
    <t>https://www.centris.ca/en/duplexes~for-sale~montreal-verdun-ile-des-soeurs/16488723?view=Summary&amp;uc=78</t>
  </si>
  <si>
    <t>https://www.centris.ca/en/condos~for-sale~montreal-verdun-ile-des-soeurs/28109831?view=Summary&amp;uc=80</t>
  </si>
  <si>
    <t>https://www.centris.ca/en/condos~for-sale~montreal-verdun-ile-des-soeurs/13444184?view=Summary&amp;uc=81</t>
  </si>
  <si>
    <t>https://www.centris.ca/en/condos~for-sale~montreal-verdun-ile-des-soeurs/10462519?view=Summary&amp;uc=82</t>
  </si>
  <si>
    <t>https://www.centris.ca/en/condos~for-sale~montreal-verdun-ile-des-soeurs/13411509?view=Summary&amp;uc=74</t>
  </si>
  <si>
    <t>https://www.centris.ca/en/condos~for-sale~montreal-verdun-ile-des-soeurs/17814820?view=Summary&amp;uc=85</t>
  </si>
  <si>
    <t>https://www.centris.ca/en/triplexes~for-sale~montreal-verdun-ile-des-soeurs/9224237?view=Summary&amp;uc=88</t>
  </si>
  <si>
    <t>https://www.centris.ca/en/duplexes~for-sale~montreal-verdun-ile-des-soeurs/12719512?view=Summary&amp;uc=89</t>
  </si>
  <si>
    <t>https://www.centris.ca/en/triplexes~for-sale~montreal-verdun-ile-des-soeurs/25516897?view=Summary&amp;uc=93</t>
  </si>
  <si>
    <t>https://www.centris.ca/en/duplexes~for-sale~montreal-verdun-ile-des-soeurs/10440883?view=Summary&amp;uc=95</t>
  </si>
  <si>
    <t>https://www.centris.ca/en/duplexes~for-sale~montreal-verdun-ile-des-soeurs/17314875?view=Summary&amp;uc=96</t>
  </si>
  <si>
    <t>https://www.centris.ca/en/duplexes~for-sale~montreal-verdun-ile-des-soeurs/21054023?view=Summary&amp;uc=97</t>
  </si>
  <si>
    <t>https://www.centris.ca/en/duplexes~for-sale~montreal-verdun-ile-des-soeurs/20014638?view=Summary&amp;uc=101</t>
  </si>
  <si>
    <t>https://www.centris.ca/en/duplexes~for-sale~montreal-verdun-ile-des-soeurs/28952486?view=Summary&amp;uc=103</t>
  </si>
  <si>
    <t>https://www.centris.ca/en/duplexes~for-sale~montreal-verdun-ile-des-soeurs/26395266?view=Summary&amp;uc=74</t>
  </si>
  <si>
    <t>https://www.centris.ca/en/duplexes~for-sale~montreal-verdun-ile-des-soeurs/26732252?view=Summary&amp;uc=75</t>
  </si>
  <si>
    <t>https://www.centris.ca/en/4plex~for-sale~montreal-verdun-ile-des-soeurs/11922693?view=Summary&amp;uc=79</t>
  </si>
  <si>
    <t xml:space="preserve">273, Rue Régina, Montréal </t>
  </si>
  <si>
    <t xml:space="preserve">3780, boulevard LaSalle, apt. 1, Montréal </t>
  </si>
  <si>
    <t>530, Rue Henri-Duhamel, apt. 1, Montréal</t>
  </si>
  <si>
    <t xml:space="preserve">3920, Rue Bannantyne, apt. 304, Montréal </t>
  </si>
  <si>
    <t xml:space="preserve">874, 2e Avenue, Montréal </t>
  </si>
  <si>
    <t xml:space="preserve">872, 2e Avenue, Montréal </t>
  </si>
  <si>
    <t xml:space="preserve">201, Rue Jacques-Le Ber, apt. 332, Montréal </t>
  </si>
  <si>
    <t xml:space="preserve">9889, boulevard LaSalle, apt. 1, Montréal </t>
  </si>
  <si>
    <t xml:space="preserve">9267, boulevard LaSalle, apt. 9, Montréal </t>
  </si>
  <si>
    <t xml:space="preserve">9267, boulevard LaSalle, apt. 6, Montréal </t>
  </si>
  <si>
    <t xml:space="preserve">1900, boulevard Angrignon, app. 1002, Montréal (LaSalle)
</t>
  </si>
  <si>
    <t xml:space="preserve">9885, boulevard LaSalle, app. 5, Montréal (LaSalle)
</t>
  </si>
  <si>
    <t xml:space="preserve">350, Rue de Villars, Laval (Chomedey), Quartier Place Renaud
</t>
  </si>
  <si>
    <t>150, Rue Berlioz, apt. 907, Montréal (Verdun/Île-des-Soeurs), Neighbourhood Île-des-Soeurs</t>
  </si>
  <si>
    <t>111, Chemin de la Pointe-Nord, apt. 325, Montréal (Verdun/Île-des-Soeurs), Neighbourhood Île-des-Soeurs</t>
  </si>
  <si>
    <t>299, Rue de la Rotonde, apt. PH1-4, Montréal (Verdun/Île-des-Soeurs), Neighbourhood Île-des-Soeurs</t>
  </si>
  <si>
    <t>760, Chemin Marie-Le Ber, apt. 610, Montréal (Verdun/Île-des-Soeurs), Neighbourhood Île-des-Soeurs</t>
  </si>
  <si>
    <t>150, Rue Berlioz, apt. 308, Montréal (Verdun/Île-des-Soeurs), Neighbourhood Île-des-Soeurs</t>
  </si>
  <si>
    <t>210, Chemin du Golf, apt. 608, Montréal (Verdun/Île-des-Soeurs), Neighbourhood Île-des-Soeurs</t>
  </si>
  <si>
    <t>150, Rue Berlioz, apt. B2, Montréal (Verdun/Île-des-Soeurs), Neighbourhood Île-des-Soeurs</t>
  </si>
  <si>
    <t>230, Chemin du Golf, apt. 210, Montréal (Verdun/Île-des-Soeurs), Neighbourhood Île-des-Soeurs</t>
  </si>
  <si>
    <t>210, Chemin du Golf, apt. 312, Montréal (Verdun/Île-des-Soeurs), Neighbourhood Île-des-Soeurs</t>
  </si>
  <si>
    <t>1000, Rue Levert, apt. 206, Montréal (Verdun/Île-des-Soeurs), Neighbourhood Île-des-Soeurs</t>
  </si>
  <si>
    <t>50, Rue Berlioz, apt. 1404, Montréal (Verdun/Île-des-Soeurs), Neighbourhood Île-des-Soeurs</t>
  </si>
  <si>
    <t>199, Rue de la Rotonde, apt. 1710, Montréal (Verdun/Île-des-Soeurs), Neighbourhood Île-des-Soeurs</t>
  </si>
  <si>
    <t>3886, Rue Newmarch, Montréal (Verdun/Île-des-Soeurs), Neighbourhood Verdun</t>
  </si>
  <si>
    <t>100, Rue André-Prévost, apt. 610, Montréal (Verdun/Île-des-Soeurs), Neighbourhood Île-des-Soeurs</t>
  </si>
  <si>
    <t>5547, Rue Bannantyne, Montréal (Verdun/Île-des-Soeurs), Neighbourhood Verdun</t>
  </si>
  <si>
    <t>60, Rue Berlioz, apt. 404, Montréal (Verdun/Île-des-Soeurs), Neighbourhood Île-des-Soeurs</t>
  </si>
  <si>
    <t>4141, boulevard LaSalle, apt. 201, Montréal (Verdun/Île-des-Soeurs), Neighbourhood Verdun</t>
  </si>
  <si>
    <t>220, Chemin du Golf, apt. 107, Montréal (Verdun/Île-des-Soeurs), Neighbourhood Île-des-Soeurs</t>
  </si>
  <si>
    <t>51, Rue Berlioz, apt. 302, Montréal (Verdun/Île-des-Soeurs), Neighbourhood Île-des-Soeurs</t>
  </si>
  <si>
    <t>747 - 753, Rue Riverview, Montréal (Verdun/Île-des-Soeurs), Neighbourhood Verdun</t>
  </si>
  <si>
    <t>3755Z, Rue Wellington, Montréal (Verdun/Île-des-Soeurs), Neighbourhood Verdun</t>
  </si>
  <si>
    <t>120, Rue Ferland, apt. 7D, Montréal (Verdun/Île-des-Soeurs), Neighbourhood Île-des-Soeurs</t>
  </si>
  <si>
    <t>7318, boulevard Champlain, Montréal (Verdun/Île-des-Soeurs), Neighbourhood Verdun</t>
  </si>
  <si>
    <t>3757Z, Rue Wellington, Montréal (Verdun/Île-des-Soeurs), Neighbourhood Verdun</t>
  </si>
  <si>
    <t>1077 - 1079, Rue Woodland, Montréal (Verdun/Île-des-Soeurs), Neighbourhood Verdun</t>
  </si>
  <si>
    <t>5989, Rue Bannantyne, Montréal (Verdun/Île-des-Soeurs), Neighbourhood Verdun</t>
  </si>
  <si>
    <t>250, Chemin de la Pointe-Sud, apt. 1904, Montréal (Verdun/Île-des-Soeurs), Neighbourhood Île-des-Soeurs</t>
  </si>
  <si>
    <t>100, Rue Berlioz, apt. 1402, Montréal (Verdun/Île-des-Soeurs), Neighbourhood Île-des-Soeurs</t>
  </si>
  <si>
    <t>112, Chemin de la Pointe-Nord, apt. 706, Montréal (Verdun/Île-des-Soeurs), Neighbourhood Île-des-Soeurs</t>
  </si>
  <si>
    <t>100, Rue André-Prévost, apt. 1701, Montréal (Verdun/Île-des-Soeurs), Neighbourhood Île-des-Soeurs</t>
  </si>
  <si>
    <t>273 - 277, 5e Avenue, Montréal (Verdun/Île-des-Soeurs), Neighbourhood Verdun</t>
  </si>
  <si>
    <t>399 - 401, Rue Woodland, Montréal (Verdun/Île-des-Soeurs), Neighbourhood Verdun</t>
  </si>
  <si>
    <t>791, Rue Woodland, Montréal (Verdun/Île-des-Soeurs), Neighbourhood Verdun</t>
  </si>
  <si>
    <t>1277 - 1279, Rue Godin, Montréal (Verdun/Île-des-Soeurs), Neighbourhood Verdun</t>
  </si>
  <si>
    <t>1340 - 1342, Rue Beatty, Montréal (Verdun/Île-des-Soeurs), Neighbourhood Verdun</t>
  </si>
  <si>
    <t>6451 - 6453, Rue Beurling, Montréal (Verdun/Île-des-Soeurs), Neighbourhood Verdun</t>
  </si>
  <si>
    <t>1106 - 1108, Rue Valiquette, Montréal (Verdun/Île-des-Soeurs), Neighbourhood Verdun</t>
  </si>
  <si>
    <t>738 - 740, Rue Allard, Montréal (Verdun/Île-des-Soeurs), Neighbourhood Verdun</t>
  </si>
  <si>
    <t>253 - 255, Avenue Desmarchais, Montréal (Verdun/Île-des-Soeurs), Neighbourhood Verdun</t>
  </si>
  <si>
    <t>1165 - 1167, Rue Valiquette, Montréal (Verdun/Île-des-Soeurs), Neighbourhood Verdun</t>
  </si>
  <si>
    <t>1038 - 1044, Avenue Brown, Montréal (Verdun/Île-des-Soeurs), Neighbourhood Verdun</t>
  </si>
  <si>
    <t>https://www.centris.ca/fr/condo~a-vendre~montreal-verdun-ile-des-soeurs/26718811?view=Summary&amp;uc=274</t>
  </si>
  <si>
    <t>453, Rue Brault, Montréal (Verdun/Île-des-Soeurs), Quartier Verdun</t>
  </si>
  <si>
    <t>https://www.centris.ca/fr/condo~a-vendre~montreal-verdun-ile-des-soeurs/17978642?view=Summary&amp;uc=273</t>
  </si>
  <si>
    <t>3930, Rue Évangéline, app. 5, Montréal (Verdun/Île-des-Soeurs), Quartier Verdun</t>
  </si>
  <si>
    <t>https://www.centris.ca/fr/condo~a-vendre~montreal-verdun-ile-des-soeurs/28286814?view=Summary&amp;uc=272</t>
  </si>
  <si>
    <t>3757Z, Rue Wellington, Montréal (Verdun/Île-des-Soeurs), Quartier Verdun</t>
  </si>
  <si>
    <t>https://www.centris.ca/fr/condo~a-vendre~montreal-verdun-ile-des-soeurs/17653768?view=Summary&amp;uc=271</t>
  </si>
  <si>
    <t>30, Allée des Brises-du-Fleuve, app. 806, Montréal (Verdun/Île-des-Soeurs), Quartier Verdun</t>
  </si>
  <si>
    <t>https://www.centris.ca/fr/condo~a-vendre~montreal-verdun-ile-des-soeurs/11146141?view=Summary&amp;uc=270</t>
  </si>
  <si>
    <t>3755Z, Rue Wellington, Montréal (Verdun/Île-des-Soeurs), Quartier Verdun</t>
  </si>
  <si>
    <t>https://www.centris.ca/fr/condo~a-vendre~montreal-verdun-ile-des-soeurs/27728034?view=Summary&amp;uc=269</t>
  </si>
  <si>
    <t>4141, boulevard LaSalle, app. 201, Montréal (Verdun/Île-des-Soeurs), Quartier Verdun</t>
  </si>
  <si>
    <t>https://www.centris.ca/fr/condo~a-vendre~montreal-verdun-ile-des-soeurs/12377279?view=Summary&amp;uc=268</t>
  </si>
  <si>
    <t>350, Rue Caisse, app. 401, Montréal (Verdun/Île-des-Soeurs), Quartier Verdun</t>
  </si>
  <si>
    <t>https://www.centris.ca/fr/condo~a-vendre~montreal-verdun-ile-des-soeurs/9869692?view=Summary&amp;uc=267</t>
  </si>
  <si>
    <t>547, Rue Bannantyne, Montréal (Verdun/Île-des-Soeurs), Quartier Verdun</t>
  </si>
  <si>
    <t>https://www.centris.ca/fr/condo~a-vendre~montreal-verdun-ile-des-soeurs/28655682?view=Summary&amp;uc=266</t>
  </si>
  <si>
    <t>3886, Rue Newmarch, Montréal (Verdun/Île-des-Soeurs), Quartier Verdun</t>
  </si>
  <si>
    <t>https://www.centris.ca/fr/condo~a-vendre~montreal-verdun-ile-des-soeurs/9088875?view=Summary&amp;uc=265</t>
  </si>
  <si>
    <t>520, Rue Rielle, app. 404, Montréal (Verdun/Île-des-Soeurs), Quartier Verdun</t>
  </si>
  <si>
    <t>https://www.centris.ca/fr/condo~a-vendre~montreal-verdun-ile-des-soeurs/11052274?view=Summary&amp;uc=264</t>
  </si>
  <si>
    <t>5257, Rue Wellington, Montréal (Verdun/Île-des-Soeurs), Quartier Verdun</t>
  </si>
  <si>
    <t>https://www.centris.ca/fr/condo~a-vendre~montreal-verdun-ile-des-soeurs/15450181?view=Summary&amp;uc=263</t>
  </si>
  <si>
    <t>962, Rue Moffat, app. 203, Montréal (Verdun/Île-des-Soeurs), Quartier Verdun</t>
  </si>
  <si>
    <t>https://www.centris.ca/fr/condo~a-vendre~montreal-verdun-ile-des-soeurs/10956088?view=Summary&amp;uc=261</t>
  </si>
  <si>
    <t>745, Rue Manning, Montréal (Verdun/Île-des-Soeurs), Quartier Verdun</t>
  </si>
  <si>
    <t>https://www.centris.ca/fr/condo~a-vendre~montreal-verdun-ile-des-soeurs/10097413?view=Summary&amp;uc=260</t>
  </si>
  <si>
    <t>4022, Rue Évangéline, Montréal (Verdun/Île-des-Soeurs), Quartier Verdun</t>
  </si>
  <si>
    <t>https://www.centris.ca/fr/condo~a-vendre~montreal-verdun-ile-des-soeurs/21957728?view=Summary&amp;uc=259</t>
  </si>
  <si>
    <t>1041, Rue Rielle, Montréal (Verdun/Île-des-Soeurs), Quartier Verdun</t>
  </si>
  <si>
    <t>https://www.centris.ca/fr/condo~a-vendre~montreal-verdun-ile-des-soeurs/27618828?view=Summary&amp;uc=257</t>
  </si>
  <si>
    <t>5261, Rue Wellington, Montréal (Verdun/Île-des-Soeurs), Quartier Verdun</t>
  </si>
  <si>
    <t>https://www.centris.ca/fr/condo~a-vendre~montreal-verdun-ile-des-soeurs/16257605?view=Summary&amp;uc=256</t>
  </si>
  <si>
    <t>640, Rue Henri-Duhamel, app. 3, Montréal (Verdun/Île-des-Soeurs), Quartier Verdun</t>
  </si>
  <si>
    <t>https://www.centris.ca/fr/condo~a-vendre~montreal-verdun-ile-des-soeurs/25261009?view=Summary&amp;uc=255</t>
  </si>
  <si>
    <t>811, Rue Rielle, app. 204, Montréal (Verdun/Île-des-Soeurs), Quartier Verdun</t>
  </si>
  <si>
    <t>https://www.centris.ca/fr/condo~a-vendre~montreal-verdun-ile-des-soeurs/28865723?view=Summary&amp;uc=254</t>
  </si>
  <si>
    <t>4141, boulevard LaSalle, app. 604, Montréal (Verdun/Île-des-Soeurs), Quartier Verdun</t>
  </si>
  <si>
    <t>https://www.centris.ca/fr/condo~a-vendre~montreal-verdun-ile-des-soeurs/24677265?view=Summary&amp;uc=253</t>
  </si>
  <si>
    <t>3975, Rue Evelyn, Montréal (Verdun/Île-des-Soeurs), Quartier Verdun</t>
  </si>
  <si>
    <t>https://www.centris.ca/fr/condo~a-vendre~montreal-verdun-ile-des-soeurs/27554863?view=Summary&amp;uc=252</t>
  </si>
  <si>
    <t>780, Rue Gordon, app. 202, Montréal (Verdun/Île-des-Soeurs), Quartier Verdun</t>
  </si>
  <si>
    <t>https://www.centris.ca/fr/condo~a-vendre~montreal-verdun-ile-des-soeurs/22284231?view=Summary&amp;uc=251</t>
  </si>
  <si>
    <t>261, 1re Avenue, Montréal (Verdun/Île-des-Soeurs), Quartier Verdun</t>
  </si>
  <si>
    <t>https://www.centris.ca/fr/condo~a-vendre~montreal-verdun-ile-des-soeurs/13742095?view=Summary&amp;uc=250</t>
  </si>
  <si>
    <t>100, Rue Rhéaume, app. 701, Montréal (Verdun/Île-des-Soeurs), Quartier Verdun</t>
  </si>
  <si>
    <t>https://www.centris.ca/fr/condo~a-vendre~montreal-verdun-ile-des-soeurs/10584375?view=Summary&amp;uc=243</t>
  </si>
  <si>
    <t>3271, Rue de Rushbrooke, app. 201, Montréal (Verdun/Île-des-Soeurs), Quartier Verdun</t>
  </si>
  <si>
    <t>https://www.centris.ca/fr/condo~a-vendre~montreal-verdun-ile-des-soeurs/17719230?view=Summary&amp;uc=241</t>
  </si>
  <si>
    <t>30, Allée des Brises-du-Fleuve, app. 505, Montréal (Verdun/Île-des-Soeurs), Quartier Verdun</t>
  </si>
  <si>
    <t>https://www.centris.ca/fr/condo~a-vendre~montreal-verdun-ile-des-soeurs/13388547?view=Summary&amp;uc=241</t>
  </si>
  <si>
    <t>3973, Rue Evelyn, Montréal (Verdun/Île-des-Soeurs), Quartier Verdun</t>
  </si>
  <si>
    <t>https://www.centris.ca/fr/condo~a-vendre~montreal-verdun-ile-des-soeurs/18947261?view=Summary&amp;uc=239</t>
  </si>
  <si>
    <t>4337, Rue de Verdun, Montréal (Verdun/Île-des-Soeurs), Quartier Verdun</t>
  </si>
  <si>
    <t>https://www.centris.ca/fr/condo~a-vendre~montreal-verdun-ile-des-soeurs/28615694?view=Summary&amp;uc=240</t>
  </si>
  <si>
    <t>986, Rue Manning, Montréal (Verdun/Île-des-Soeurs), Quartier Verdun</t>
  </si>
  <si>
    <t>https://www.centris.ca/fr/condo~a-vendre~montreal-verdun-ile-des-soeurs/20826623?view=Summary&amp;uc=237</t>
  </si>
  <si>
    <t>248, Rue Corot, app. 510, Montréal (Verdun/Île-des-Soeurs), Quartier Île-des-Sœurs</t>
  </si>
  <si>
    <t>https://www.centris.ca/fr/condo~a-vendre~montreal-verdun-ile-des-soeurs/18706048?view=Summary&amp;uc=236</t>
  </si>
  <si>
    <t>1000, Rue Gordon, app. 314, Montréal (Verdun/Île-des-Soeurs), Quartier Verdun</t>
  </si>
  <si>
    <t>https://www.centris.ca/fr/condo~a-vendre~montreal-verdun-ile-des-soeurs/12887347?view=Summary&amp;uc=235</t>
  </si>
  <si>
    <t>721, Rue Moffat, Montréal (Verdun/Île-des-Soeurs), Quartier Verdun</t>
  </si>
  <si>
    <t>https://www.centris.ca/fr/condo~a-vendre~montreal-verdun-ile-des-soeurs/13483745?view=Summary&amp;uc=234</t>
  </si>
  <si>
    <t>760, Chemin Marie-Le Ber, app. 301, Montréal (Verdun/Île-des-Soeurs), Quartier Île-des-Sœurs</t>
  </si>
  <si>
    <t>https://www.centris.ca/fr/condo~a-vendre~montreal-verdun-ile-des-soeurs/20119949?view=Summary&amp;uc=233</t>
  </si>
  <si>
    <t>1000, Rue Gordon, app. 101, Montréal (Verdun/Île-des-Soeurs), Quartier Verdun</t>
  </si>
  <si>
    <t>https://www.centris.ca/fr/condo~a-vendre~montreal-verdun-ile-des-soeurs/25197549?view=Summary&amp;uc=226</t>
  </si>
  <si>
    <t>760, Chemin Marie-Le Ber, app. 501, Montréal (Verdun/Île-des-Soeurs), Quartier Île-des-Sœurs</t>
  </si>
  <si>
    <t>https://www.centris.ca/fr/condo~a-vendre~montreal-verdun-ile-des-soeurs/23575929?view=Summary&amp;uc=228</t>
  </si>
  <si>
    <t>540, Rue Henri-Duhamel, app. 1, Montréal (Verdun/Île-des-Soeurs), Quartier Verdun</t>
  </si>
  <si>
    <t>https://www.centris.ca/fr/condo~a-vendre~montreal-verdun-ile-des-soeurs/25244187?view=Summary&amp;uc=227</t>
  </si>
  <si>
    <t>440, 3e Avenue, Montréal (Verdun/Île-des-Soeurs), Quartier Verdun</t>
  </si>
  <si>
    <t>https://www.centris.ca/fr/condo~a-vendre~laval-chomedey/20203170?view=Summary&amp;uc=350</t>
  </si>
  <si>
    <t>4001, Rue Elsa-Triolet, app. 809, Laval (Chomedey), Quartier Autres</t>
  </si>
  <si>
    <t>https://www.centris.ca/fr/condo~a-vendre~laval-chomedey/17844297?view=Summary&amp;uc=349</t>
  </si>
  <si>
    <t>3045, boulevard Notre-Dame, app. 1102, Laval (Chomedey), Quartier Autres</t>
  </si>
  <si>
    <t>https://www.centris.ca/fr/condo~a-vendre~laval-chomedey/10069994?view=Summary&amp;uc=348</t>
  </si>
  <si>
    <t>4500, Promenade Paton, app. 305, Laval (Chomedey), Quartier Autres</t>
  </si>
  <si>
    <t>https://www.centris.ca/fr/maison-en-copropriete~a-vendre~laval-chomedey/22658487?view=Summary&amp;uc=347</t>
  </si>
  <si>
    <t>3130, boulevard de Chenonceau, Laval (Chomedey), Quartier Carrefour Saint-Martin</t>
  </si>
  <si>
    <t>https://www.centris.ca/fr/condo~a-vendre~laval-chomedey/11915590?view=Summary&amp;uc=346</t>
  </si>
  <si>
    <t>3730, boulevard Saint-Elzear Ouest, app. 603, Laval (Chomedey), Quartier Autres</t>
  </si>
  <si>
    <t>https://www.centris.ca/fr/condo~a-vendre~laval-chomedey/20695844?view=Summary&amp;uc=345</t>
  </si>
  <si>
    <t>4450, Promenade Paton, app. 511, Laval (Chomedey), Quartier Autres</t>
  </si>
  <si>
    <t>https://www.centris.ca/fr/condo~a-vendre~laval-chomedey/19821699?view=Summary&amp;uc=344</t>
  </si>
  <si>
    <t>3647, Avenue Jean-Béraud, app. 1203, Laval (Chomedey), Quartier Carrefour Saint-Martin</t>
  </si>
  <si>
    <t>https://www.centris.ca/fr/condo~a-vendre~laval-chomedey/23863902?view=Summary&amp;uc=342</t>
  </si>
  <si>
    <t>3480, boulevard Saint-Elzear Ouest, app. 908, Laval (Chomedey), Quartier Autres</t>
  </si>
  <si>
    <t>https://www.centris.ca/fr/maison-en-copropriete~a-vendre~laval-chomedey/12592208?view=Summary&amp;uc=340</t>
  </si>
  <si>
    <t>3453, Rue Joachim-Du Bellay, Laval (Chomedey), Quartier Autres</t>
  </si>
  <si>
    <t>https://www.centris.ca/fr/condo~a-vendre~laval-chomedey/28460756?view=Summary&amp;uc=339</t>
  </si>
  <si>
    <t>3665, Avenue Jean-Béraud, app. 907, Laval (Chomedey), Quartier Carrefour Saint-Martin</t>
  </si>
  <si>
    <t>https://www.centris.ca/fr/condo~a-vendre~laval-chomedey/20430643?view=Summary&amp;uc=338</t>
  </si>
  <si>
    <t>1710, Rue McNamara, app. 1101, Laval (Chomedey), Quartier Autres</t>
  </si>
  <si>
    <t>https://www.centris.ca/fr/condo~a-vendre~laval-chomedey/17697445?view=Summary&amp;uc=337</t>
  </si>
  <si>
    <t>4500, Chemin des Cageux, app. 1405, Laval (Chomedey), Quartier Autres</t>
  </si>
  <si>
    <t>https://www.centris.ca/fr/condo~a-vendre~laval-chomedey/21767271?view=Summary&amp;uc=336</t>
  </si>
  <si>
    <t>2825, Avenue du Cosmodôme, app. 206, Laval (Chomedey), Quartier Carrefour Saint-Martin</t>
  </si>
  <si>
    <t>https://www.centris.ca/fr/condo~a-vendre~laval-chomedey/15007708?view=Summary&amp;uc=335</t>
  </si>
  <si>
    <t>3671, Avenue Jean-Béraud, app. 905, Laval (Chomedey), Quartier Carrefour Saint-Martin</t>
  </si>
  <si>
    <t>https://www.centris.ca/fr/maison-en-copropriete~a-vendre~laval-chomedey/22539821?view=Summary&amp;uc=334</t>
  </si>
  <si>
    <t>3010, boulevard de Chenonceau, Laval (Chomedey), Quartier Carrefour Saint-Martin</t>
  </si>
  <si>
    <t>https://www.centris.ca/fr/condo~a-vendre~laval-chomedey/23337264?view=Summary&amp;uc=333</t>
  </si>
  <si>
    <t>4300, Place des Cageux, app. 1008, Laval (Chomedey), Quartier Autres</t>
  </si>
  <si>
    <t>https://www.centris.ca/fr/condo~a-vendre~laval-chomedey/27812094?view=Summary&amp;uc=332</t>
  </si>
  <si>
    <t>2825, Avenue du Cosmodôme, app. 1107, Laval (Chomedey), Quartier Carrefour Saint-Martin</t>
  </si>
  <si>
    <t>https://www.centris.ca/fr/condo~a-vendre~laval-chomedey/26469409?view=Summary&amp;uc=331</t>
  </si>
  <si>
    <t>3665, Avenue Jean-Béraud, app. 1008, Laval (Chomedey), Quartier Carrefour Saint-Martin</t>
  </si>
  <si>
    <t>https://www.centris.ca/fr/maison-en-copropriete~a-vendre~laval-chomedey/18896207?view=Summary&amp;uc=330</t>
  </si>
  <si>
    <t>3260, boulevard de Chenonceau, Laval (Chomedey), Quartier Carrefour Saint-Martin</t>
  </si>
  <si>
    <t>https://www.centris.ca/fr/condo~a-vendre~laval-chomedey/28785534?view=Summary&amp;uc=329</t>
  </si>
  <si>
    <t>3480, boulevard Saint-Elzear Ouest, app. 902, Laval (Chomedey), Quartier Autres</t>
  </si>
  <si>
    <t>https://www.centris.ca/fr/condo~a-vendre~laval-chomedey/25577012?view=Summary&amp;uc=328</t>
  </si>
  <si>
    <t>3855, boulevard de Chenonceau, app. 1002, Laval (Chomedey), Quartier Carrefour Saint-Martin</t>
  </si>
  <si>
    <t>https://www.centris.ca/fr/condo~a-vendre~laval-chomedey/23259407?view=Summary&amp;uc=327</t>
  </si>
  <si>
    <t>4450, Promenade Paton, app. 1111, Laval (Chomedey), Quartier Autres</t>
  </si>
  <si>
    <t>https://www.centris.ca/fr/condo~a-vendre~laval-chomedey/14544857?view=Summary&amp;uc=326</t>
  </si>
  <si>
    <t>3635, Avenue Jean-Béraud, app. 807, Laval (Chomedey), Quartier Carrefour Saint-Martin</t>
  </si>
  <si>
    <t>https://www.centris.ca/fr/condo~a-vendre~laval-chomedey/12931816?view=Summary&amp;uc=325</t>
  </si>
  <si>
    <t>4540, Promenade Paton, app. 805, Laval (Chomedey), Quartier Autres</t>
  </si>
  <si>
    <t>https://www.centris.ca/fr/condo~a-vendre~laval-chomedey/26249303?view=Summary&amp;uc=324</t>
  </si>
  <si>
    <t>4500, Promenade Paton, app. 1105, Laval (Chomedey), Quartier Autres</t>
  </si>
  <si>
    <t>https://www.centris.ca/fr/condo~a-vendre~laval-chomedey/25935421?view=Summary&amp;uc=323</t>
  </si>
  <si>
    <t>2160, Avenue Terry-Fox, app. 403, Laval (Chomedey), Quartier Carrefour Saint-Martin</t>
  </si>
  <si>
    <t>https://www.centris.ca/fr/condo~a-vendre~laval-chomedey/19609809?view=Summary&amp;uc=322</t>
  </si>
  <si>
    <t>4300, Place des Cageux, app. 1503, Laval (Chomedey), Quartier Autres</t>
  </si>
  <si>
    <t>https://www.centris.ca/fr/condo~a-vendre~laval-chomedey/12801011?view=Summary&amp;uc=319</t>
  </si>
  <si>
    <t>3480, boulevard Saint-Elzear Ouest, app. 102, Laval (Chomedey), Quartier Autres</t>
  </si>
  <si>
    <t>https://www.centris.ca/fr/condo~a-vendre~laval-chomedey/28346723?view=Summary&amp;uc=317</t>
  </si>
  <si>
    <t>3715, Avenue Jean-Béraud, app. 301, Laval (Chomedey), Quartier Carrefour Saint-Martin</t>
  </si>
  <si>
    <t>https://www.centris.ca/fr/condo~a-vendre~laval-chomedey/16180666?view=Summary&amp;uc=315</t>
  </si>
  <si>
    <t>4540, Promenade Paton, app. 507, Laval (Chomedey), Quartier Autres</t>
  </si>
  <si>
    <t>https://www.centris.ca/fr/condo~a-vendre~laval-chomedey/15008049?view=Summary&amp;uc=314</t>
  </si>
  <si>
    <t>4001, Rue Elsa-Triolet, app. 702, Laval (Chomedey), Quartier Autres</t>
  </si>
  <si>
    <t>https://www.centris.ca/fr/condo~a-vendre~laval-chomedey/16531055?view=Summary&amp;uc=313</t>
  </si>
  <si>
    <t>4500, Chemin des Cageux, app. 801, Laval (Chomedey), Quartier Autres</t>
  </si>
  <si>
    <t>https://www.centris.ca/fr/condo~a-vendre~laval-chomedey/27132636?view=Summary&amp;uc=312</t>
  </si>
  <si>
    <t>https://www.centris.ca/fr/condo~a-vendre~laval-chomedey/23715145?view=Summary&amp;uc=311</t>
  </si>
  <si>
    <t>2555, Avenue du Havre-des-Îles, app. 707, Laval (Chomedey), Quartier Autres</t>
  </si>
  <si>
    <t>https://www.centris.ca/fr/condo~a-vendre~laval-chomedey/17955473?view=Summary&amp;uc=310</t>
  </si>
  <si>
    <t>https://www.centris.ca/fr/condo~a-vendre~laval-chomedey/18007720?view=Summary&amp;uc=309</t>
  </si>
  <si>
    <t>760, boulevard Laval, app. 104, Laval (Chomedey), Quartier Autres</t>
  </si>
  <si>
    <t>https://www.centris.ca/fr/condo~a-vendre~laval-chomedey/23532722?view=Summary&amp;uc=306</t>
  </si>
  <si>
    <t>4084, Rue de la Seine, app. 2, Laval (Chomedey), Quartier Autres</t>
  </si>
  <si>
    <t>https://www.centris.ca/fr/condo~a-vendre~laval-chomedey/22178141?view=Summary&amp;uc=303</t>
  </si>
  <si>
    <t>750, boulevard Laval, app. 97, Laval (Chomedey), Quartier Autres</t>
  </si>
  <si>
    <t>https://www.centris.ca/fr/condo~a-vendre~laval-chomedey/24841219?view=Summary&amp;uc=302</t>
  </si>
  <si>
    <t>2555, Avenue du Havre-des-Îles, app. 524, Laval (Chomedey), Quartier Autres</t>
  </si>
  <si>
    <t>https://www.centris.ca/fr/condo~a-vendre~laval-chomedey/17680717?view=Summary&amp;uc=301</t>
  </si>
  <si>
    <t>https://www.centris.ca/fr/condo~a-vendre~laval-chomedey/26984664?view=Summary&amp;uc=299</t>
  </si>
  <si>
    <t>2181, Avenue Albert-Murphy, Laval (Chomedey), Quartier Carrefour Saint-Martin</t>
  </si>
  <si>
    <t>https://www.centris.ca/fr/condo~a-vendre~laval-chomedey/15672928?view=Summary&amp;uc=298</t>
  </si>
  <si>
    <t>3040, boulevard Tessier, app. 174, Laval (Chomedey), Quartier Domaine Renaud</t>
  </si>
  <si>
    <t>https://www.centris.ca/fr/condo~a-vendre~laval-chomedey/27466321?view=Summary&amp;uc=295</t>
  </si>
  <si>
    <t>https://www.centris.ca/fr/condo~a-vendre~laval-chomedey/26853427?view=Summary&amp;uc=294</t>
  </si>
  <si>
    <t>3020, boulevard Tessier, app. 70, Laval (Chomedey), Quartier Domaine Renaud</t>
  </si>
  <si>
    <t>https://www.centris.ca/fr/condo~a-vendre~laval-laval-des-rapides/20880623?view=Summary&amp;uc=276</t>
  </si>
  <si>
    <t>1330, Rue Lucien-Paiement, Laval (Laval-des-Rapides)</t>
  </si>
  <si>
    <t>https://www.centris.ca/fr/condo~a-vendre~laval-laval-des-rapides/15640282?view=Summary&amp;uc=275</t>
  </si>
  <si>
    <t>1400, Rue Lucien-Paiement, app. 1505, Laval (Laval-des-Rapides)</t>
  </si>
  <si>
    <t>https://www.centris.ca/fr/condo~a-vendre~laval-laval-des-rapides/26513782?view=Summary&amp;uc=274</t>
  </si>
  <si>
    <t>1900, boulevard du Souvenir, app. 1601, Laval (Laval-des-Rapides)</t>
  </si>
  <si>
    <t>https://www.centris.ca/fr/condo~a-vendre~laval-laval-des-rapides/28115449?view=Summary&amp;uc=269</t>
  </si>
  <si>
    <t>1420, Rue Lucien-Paiement, app. 1204, Laval (Laval-des-Rapides)</t>
  </si>
  <si>
    <t>https://www.centris.ca/fr/condo~a-vendre~laval-laval-des-rapides/18456763?view=Summary&amp;uc=268</t>
  </si>
  <si>
    <t>1400, Rue Lucien-Paiement, app. 1511, Laval (Laval-des-Rapides)</t>
  </si>
  <si>
    <t>https://www.centris.ca/fr/condo~a-vendre~laval-laval-des-rapides/24164929?view=Summary&amp;uc=265</t>
  </si>
  <si>
    <t>603, Rue Robert-Élie, app. 206, Laval (Laval-des-Rapides)</t>
  </si>
  <si>
    <t>https://www.centris.ca/fr/condo~a-vendre~laval-laval-des-rapides/14451093?view=Summary&amp;uc=263</t>
  </si>
  <si>
    <t>603, Rue Robert-Élie, app. 902, Laval (Laval-des-Rapides)</t>
  </si>
  <si>
    <t>https://www.centris.ca/fr/condo~a-vendre~laval-laval-des-rapides/21611581?view=Summary&amp;uc=262</t>
  </si>
  <si>
    <t>https://www.centris.ca/fr/condo~a-vendre~laval-laval-des-rapides/27912942?view=Summary&amp;uc=260</t>
  </si>
  <si>
    <t>575, Rue Robert-Élie, app. 109, Laval (Laval-des-Rapides)</t>
  </si>
  <si>
    <t>https://www.centris.ca/fr/condo~a-vendre~laval-laval-des-rapides/24293420?view=Summary&amp;uc=259</t>
  </si>
  <si>
    <t>510, boulevard des Prairies, app. 206, Laval (Laval-des-Rapides)</t>
  </si>
  <si>
    <t>https://www.centris.ca/fr/condo~a-vendre~laval-laval-des-rapides/25756353?view=Summary&amp;uc=266</t>
  </si>
  <si>
    <t>1400, Rue Lucien-Paiement, app. 516, Laval (Laval-des-Rapides)</t>
  </si>
  <si>
    <t>https://www.centris.ca/fr/condo~a-vendre~laval-laval-des-rapides/23069439?view=Summary&amp;uc=264</t>
  </si>
  <si>
    <t>https://www.centris.ca/fr/condo~a-vendre~laval-laval-des-rapides/19397720?view=Summary&amp;uc=262</t>
  </si>
  <si>
    <t>639, Rue Robert-Élie, app. 706, Laval (Laval-des-Rapides)</t>
  </si>
  <si>
    <t>https://www.centris.ca/fr/condo~a-vendre~laval-laval-des-rapides/11978330?view=Summary&amp;uc=261</t>
  </si>
  <si>
    <t>603, Rue Robert-Élie, app. 1507, Laval (Laval-des-Rapides)</t>
  </si>
  <si>
    <t>https://www.centris.ca/fr/condo~a-vendre~laval-laval-des-rapides/28007285?view=Summary&amp;uc=258</t>
  </si>
  <si>
    <t>1900, boulevard du Souvenir, app. 1105, Laval (Laval-des-Rapides)</t>
  </si>
  <si>
    <t>https://www.centris.ca/fr/condo~a-vendre~laval-laval-des-rapides/28107653?view=Summary&amp;uc=257</t>
  </si>
  <si>
    <t>https://www.centris.ca/fr/condo~a-vendre~laval-laval-des-rapides/15331234?view=Summary&amp;uc=256</t>
  </si>
  <si>
    <t>627, Rue Robert-Élie, app. 103, Laval (Laval-des-Rapides)</t>
  </si>
  <si>
    <t>https://www.centris.ca/fr/condo~a-vendre~laval-laval-des-rapides/24016077?view=Summary&amp;uc=255</t>
  </si>
  <si>
    <t>1605, boulevard du Souvenir, app. 123, Laval (Laval-des-Rapides)</t>
  </si>
  <si>
    <t>https://www.centris.ca/fr/condo~a-vendre~laval-laval-des-rapides/26844856?view=Summary&amp;uc=361</t>
  </si>
  <si>
    <t>350, Rue Lulli, app. 8, Laval (Laval-des-Rapides)</t>
  </si>
  <si>
    <t>https://www.centris.ca/fr/condo~a-vendre~laval-laval-des-rapides/16081052?view=Summary&amp;uc=359</t>
  </si>
  <si>
    <t>575, Rue Robert-Élie, app. 309, Laval (Laval-des-Rapides)</t>
  </si>
  <si>
    <t>https://www.centris.ca/fr/condo~a-vendre~laval-laval-des-rapides/13332489?view=Summary&amp;uc=357</t>
  </si>
  <si>
    <t>1900, boulevard du Souvenir, app. 805, Laval (Laval-des-Rapides)</t>
  </si>
  <si>
    <t>https://www.centris.ca/fr/condo~a-vendre~laval-laval-des-rapides/18787254?view=Summary&amp;uc=356</t>
  </si>
  <si>
    <t>639, Rue Robert-Élie, app. 703, Laval (Laval-des-Rapides)</t>
  </si>
  <si>
    <t>https://www.centris.ca/fr/condo~a-vendre~laval-laval-des-rapides/26304894?view=Summary&amp;uc=355</t>
  </si>
  <si>
    <t>1900, Rue Émile-Martineau, app. 315, Laval (Laval-des-Rapides)</t>
  </si>
  <si>
    <t>https://www.centris.ca/fr/condo~a-vendre~laval-laval-des-rapides/13330193?view=Summary&amp;uc=354</t>
  </si>
  <si>
    <t>627, Rue Robert-Élie, app. 408, Laval (Laval-des-Rapides)</t>
  </si>
  <si>
    <t>https://www.centris.ca/fr/condo~a-vendre~laval-laval-des-rapides/19045673?view=Summary&amp;uc=353</t>
  </si>
  <si>
    <t>502, boulevard des Prairies, app. 106, Laval (Laval-des-Rapides)</t>
  </si>
  <si>
    <t>https://www.centris.ca/fr/maison-en-copropriete~a-vendre~laval-duvernay/13837541?view=Summary&amp;uc=317</t>
  </si>
  <si>
    <t>7091, boulevard Lévesque Est, Laval (Duvernay), Quartier Est</t>
  </si>
  <si>
    <t>https://www.centris.ca/fr/condo~a-vendre~laval-duvernay/26141295?view=Summary&amp;uc=308</t>
  </si>
  <si>
    <t>3025, Avenue des Gouverneurs, app. 210, Laval (Duvernay), Quartier Val des Brises</t>
  </si>
  <si>
    <t>https://www.centris.ca/fr/condo~a-vendre~laval-duvernay/12042334?view=Summary&amp;uc=302</t>
  </si>
  <si>
    <t xml:space="preserve">
3025, Avenue des Gouverneurs, app. 304, Laval (Duvernay), Quartier Val des Brises</t>
  </si>
  <si>
    <t>https://www.centris.ca/fr/condo~a-vendre~laval-duvernay/15447892?view=Summary&amp;uc=301</t>
  </si>
  <si>
    <t>3025, Avenue des Gouverneurs, app. 204, Laval (Duvernay), Quartier Val des Brises</t>
  </si>
  <si>
    <t>https://www.centris.ca/fr/condo~a-vendre~laval-duvernay/23937287?view=Summary&amp;uc=298</t>
  </si>
  <si>
    <t>3025, Avenue des Gouverneurs, app. 109, Laval (Duvernay), Quartier Val des Brises</t>
  </si>
  <si>
    <t>https://www.centris.ca/fr/condo~a-vendre~laval-duvernay/12408242?view=Summary&amp;uc=296</t>
  </si>
  <si>
    <t>https://www.centris.ca/fr/condo~a-vendre~laval-duvernay/28287188?view=Summary&amp;uc=295</t>
  </si>
  <si>
    <t>3060, Rue de la Comtesse, app. 210, Laval (Duvernay), Quartier Val des Brises</t>
  </si>
  <si>
    <t>https://www.centris.ca/fr/condo~a-vendre~laval-duvernay/13822789?view=Summary&amp;uc=294</t>
  </si>
  <si>
    <t>3025, Avenue des Gouverneurs, app. 101, Laval (Duvernay), Quartier Val des Brises</t>
  </si>
  <si>
    <t>https://www.centris.ca/fr/condo~a-vendre~laval-duvernay/17487664?view=Summary&amp;uc=293</t>
  </si>
  <si>
    <t>3060, Rue de la Comtesse, app. 302, Laval (Duvernay), Quartier Val des Brises</t>
  </si>
  <si>
    <t>https://www.centris.ca/fr/condo~a-vendre~laval-duvernay/22939490?view=Summary&amp;uc=291</t>
  </si>
  <si>
    <t>3035, Avenue des Gouverneurs, app. 213, Laval (Duvernay), Quartier Val des Brises</t>
  </si>
  <si>
    <t>https://www.centris.ca/fr/condo~a-vendre~laval-duvernay/23236586?view=Summary&amp;uc=287</t>
  </si>
  <si>
    <t>2365, boulevard Saint-Martin Est, app. 103, Laval (Duvernay), Quartier Val des Arbres</t>
  </si>
  <si>
    <t>https://www.centris.ca/fr/condo~a-vendre~laval-duvernay/21261170?view=Summary&amp;uc=283</t>
  </si>
  <si>
    <t>3035, Avenue des Gouverneurs, app. 105, Laval (Duvernay), Quartier Val des Brises</t>
  </si>
  <si>
    <t>https://www.centris.ca/fr/condo~a-vendre~laval-duvernay/15653594?view=Summary&amp;uc=282</t>
  </si>
  <si>
    <t>2930, Avenue des Aristocrates, app. 203, Laval (Duvernay), Quartier Val des Brises</t>
  </si>
  <si>
    <t>https://www.centris.ca/fr/condo~a-vendre~laval-duvernay/20132076?view=Summary&amp;uc=280</t>
  </si>
  <si>
    <t>3025, Avenue des Gouverneurs, app. 112, Laval (Duvernay), Quartier Val des Brises</t>
  </si>
  <si>
    <t>https://www.centris.ca/fr/condo~a-vendre~laval-duvernay/27837847?view=Summary&amp;uc=278</t>
  </si>
  <si>
    <t>3035, Avenue des Gouverneurs, app. 211, Laval (Duvernay), Quartier Val des Brises</t>
  </si>
  <si>
    <t>https://www.centris.ca/fr/condo~a-vendre~laval-chomedey/12923858?view=Summary&amp;uc=282</t>
  </si>
  <si>
    <t>3647, Avenue Jean-Béraud, app. 1501, Laval (Chomedey), Quartier Carrefour Saint-Martin</t>
  </si>
  <si>
    <t>https://www.centris.ca/fr/condo~a-vendre~laval-chomedey/17177047?view=Summary&amp;uc=281</t>
  </si>
  <si>
    <t>3665, Avenue Jean-Béraud, app. 1606, Laval (Chomedey), Quartier Carrefour Saint-Martin</t>
  </si>
  <si>
    <t>https://www.centris.ca/fr/condo~a-vendre~laval-chomedey/13754754?view=Summary&amp;uc=280</t>
  </si>
  <si>
    <t>2875, Avenue du Cosmodôme, app. 1201, Laval (Chomedey), Quartier Carrefour Saint-Martin</t>
  </si>
  <si>
    <t>https://www.centris.ca/fr/condo~a-vendre~laval-chomedey/26105175?view=Summary&amp;uc=279</t>
  </si>
  <si>
    <t>2815, Avenue du Cosmodôme, app. 1201, Laval (Chomedey), Quartier Carrefour Saint-Martin</t>
  </si>
  <si>
    <t>https://www.centris.ca/fr/condo~a-vendre~laval-chomedey/10347018?view=Summary&amp;uc=278</t>
  </si>
  <si>
    <t>2875, Avenue du Cosmodôme, app. 1102, Laval (Chomedey), Quartier Carrefour Saint-Martin</t>
  </si>
  <si>
    <t>https://www.centris.ca/fr/condo~a-vendre~laval-chomedey/23031814?view=Summary&amp;uc=276</t>
  </si>
  <si>
    <t>3671, Avenue Jean-Béraud, app. 1508, Laval (Chomedey), Quartier Carrefour Saint-Martin</t>
  </si>
  <si>
    <t>https://www.centris.ca/fr/condo~a-vendre~laval-chomedey/19746401?view=Summary&amp;uc=272</t>
  </si>
  <si>
    <t>2825, Avenue du Cosmodôme, app. 1404, Laval (Chomedey), Quartier Carrefour Saint-Martin</t>
  </si>
  <si>
    <t>https://www.centris.ca/fr/condo~a-vendre~laval-chomedey/17362313?view=Summary&amp;uc=271</t>
  </si>
  <si>
    <t>2815, Avenue du Cosmodôme, app. 1204, Laval (Chomedey), Quartier Carrefour Saint-Martin</t>
  </si>
  <si>
    <t>https://www.centris.ca/fr/condo~a-vendre~laval-chomedey/15401978?view=Summary&amp;uc=270</t>
  </si>
  <si>
    <t>2875, Avenue du Cosmodôme, app. 1103, Laval (Chomedey), Quartier Carrefour Saint-Martin</t>
  </si>
  <si>
    <t>https://www.centris.ca/fr/condo~a-vendre~laval-chomedey/28494827?view=Summary&amp;uc=269</t>
  </si>
  <si>
    <t>3665, Avenue Jean-Béraud, app. 1505, Laval (Chomedey), Quartier Carrefour Saint-Martin</t>
  </si>
  <si>
    <t>https://www.centris.ca/fr/condo~a-vendre~laval-chomedey/27471913?view=Summary&amp;uc=268</t>
  </si>
  <si>
    <t>2825, Avenue du Cosmodôme, app. 1001, Laval (Chomedey), Quartier Carrefour Saint-Martin</t>
  </si>
  <si>
    <t>https://www.centris.ca/fr/condo~a-vendre~laval-chomedey/14504412?view=Summary&amp;uc=266</t>
  </si>
  <si>
    <t>3665, Avenue Jean-Béraud, app. 1401, Laval (Chomedey), Quartier Carrefour Saint-Martin</t>
  </si>
  <si>
    <t>https://www.centris.ca/fr/condo~a-vendre~laval-chomedey/13746636?view=Summary&amp;uc=264</t>
  </si>
  <si>
    <t>3647, Avenue Jean-Béraud, app. 1401, Laval (Chomedey), Quartier Carrefour Saint-Martin</t>
  </si>
  <si>
    <t>https://www.centris.ca/fr/condo~a-vendre~laval-chomedey/9391282?view=Summary&amp;uc=263</t>
  </si>
  <si>
    <t>2825, Avenue du Cosmodôme, app. 901, Laval (Chomedey), Quartier Carrefour Saint-Martin</t>
  </si>
  <si>
    <t>https://www.centris.ca/fr/condo~a-vendre~laval-chomedey/11881821?view=Summary&amp;uc=261</t>
  </si>
  <si>
    <t>2855, Avenue du Cosmodôme, app. 901, Laval (Chomedey), Quartier Carrefour Saint-Martin</t>
  </si>
  <si>
    <t>https://www.centris.ca/fr/condo~a-vendre~laval-chomedey/11191249?view=Summary&amp;uc=258</t>
  </si>
  <si>
    <t>2100, Avenue Terry-Fox, app. 313, Laval (Chomedey), Quartier Carrefour Saint-Martin</t>
  </si>
  <si>
    <t>https://www.centris.ca/fr/condo~a-vendre~laval-chomedey/24097797?view=Summary&amp;uc=257</t>
  </si>
  <si>
    <t>3671, Avenue Jean-Béraud, app. 1107, Laval (Chomedey), Quartier Carrefour Saint-Martin</t>
  </si>
  <si>
    <t>https://www.centris.ca/fr/condo~a-vendre~laval-chomedey/21013338?view=Summary&amp;uc=256</t>
  </si>
  <si>
    <t>2855, Avenue du Cosmodôme, app. 1004, Laval (Chomedey), Quartier Carrefour Saint-Martin</t>
  </si>
  <si>
    <t>https://www.centris.ca/fr/condo~a-vendre~laval-chomedey/10562103?view=Summary&amp;uc=255</t>
  </si>
  <si>
    <t>3671, Avenue Jean-Béraud, app. 1208, Laval (Chomedey), Quartier Carrefour Saint-Martin</t>
  </si>
  <si>
    <t>https://www.centris.ca/fr/condo~a-vendre~laval-chomedey/12132341?view=Summary&amp;uc=252</t>
  </si>
  <si>
    <t>2855, Avenue du Cosmodôme, app. 1206, Laval (Chomedey), Quartier Carrefour Saint-Martin</t>
  </si>
  <si>
    <t>https://www.centris.ca/fr/condo~a-vendre~laval-chomedey/28362281?view=Summary&amp;uc=250</t>
  </si>
  <si>
    <t>3671, Avenue Jean-Béraud, app. 1006, Laval (Chomedey), Quartier Carrefour Saint-Martin</t>
  </si>
  <si>
    <t>https://www.centris.ca/fr/condo~a-vendre~laval-chomedey/14549341?view=Summary&amp;uc=248</t>
  </si>
  <si>
    <t>2875, Avenue du Cosmodôme, app. 301, Laval (Chomedey), Quartier Carrefour Saint-Martin</t>
  </si>
  <si>
    <t>https://www.centris.ca/fr/condo~a-vendre~laval-chomedey/15047421?view=Summary&amp;uc=237</t>
  </si>
  <si>
    <t>3671, Avenue Jean-Béraud, app. 703, Laval (Chomedey), Quartier Carrefour Saint-Martin</t>
  </si>
  <si>
    <t>https://www.centris.ca/fr/condo~a-vendre~laval-chomedey/14850117?view=Summary&amp;uc=236</t>
  </si>
  <si>
    <t>3635, Avenue Jean-Béraud, app. 704, Laval (Chomedey), Quartier Carrefour Saint-Martin</t>
  </si>
  <si>
    <t>https://www.centris.ca/fr/condo~a-vendre~laval-chomedey/22335905?view=Summary&amp;uc=234</t>
  </si>
  <si>
    <t>2160, Avenue Terry-Fox, app. 417, Laval (Chomedey), Quartier Carrefour Saint-Martin</t>
  </si>
  <si>
    <t>https://www.centris.ca/fr/condo~a-vendre~laval-chomedey/15625556?view=Summary&amp;uc=233</t>
  </si>
  <si>
    <t>3647, Avenue Jean-Béraud, app. 208, Laval (Chomedey), Quartier Carrefour Saint-Martin</t>
  </si>
  <si>
    <t>https://www.centris.ca/fr/condo~a-vendre~laval-chomedey/11577717?view=Summary&amp;uc=231</t>
  </si>
  <si>
    <t>2100, Avenue Terry-Fox, app. 209, Laval (Chomedey), Quartier Carrefour Saint-Martin</t>
  </si>
  <si>
    <t>https://www.centris.ca/fr/condo~a-vendre~laval-chomedey/19009110?view=Summary&amp;uc=229</t>
  </si>
  <si>
    <t>2875, Avenue du Cosmodôme, app. 405, Laval (Chomedey), Quartier Carrefour Saint-Martin</t>
  </si>
  <si>
    <t>https://www.centris.ca/fr/condo~a-vendre~laval-chomedey/28679655?view=Summary&amp;uc=228</t>
  </si>
  <si>
    <t>3855, boulevard de Chenonceau, app. 409, Laval (Chomedey), Quartier Carrefour Saint-Marti</t>
  </si>
  <si>
    <t>https://www.centris.ca/fr/condo~a-vendre~laval-chomedey/17141397?view=Summary&amp;uc=227</t>
  </si>
  <si>
    <t>3865, boulevard de Chenonceau, app. 409, Laval (Chomedey), Quartier Carrefour Saint-Martin</t>
  </si>
  <si>
    <t>https://www.centris.ca/fr/condo~a-vendre~laval-chomedey/15240702?view=Summary&amp;uc=226</t>
  </si>
  <si>
    <t>3330, boulevard Le Carrefour, app. 308, Laval (Chomedey), Quartier Carrefour Saint-Martin</t>
  </si>
  <si>
    <t>https://www.centris.ca/fr/condo~a-vendre~laval-chomedey/27430178?view=Summary&amp;uc=223</t>
  </si>
  <si>
    <t>3695, Avenue Jean-Béraud, app. 401, Laval (Chomedey), Quartier Carrefour Saint-Marti</t>
  </si>
  <si>
    <t>https://www.centris.ca/fr/condo~a-vendre~laval-chomedey/21666310?view=Summary&amp;uc=219</t>
  </si>
  <si>
    <t>2865, Avenue du Cosmodôme, app. 1304, Laval (Chomedey), Quartier Carrefour Saint-Martin</t>
  </si>
  <si>
    <t>https://www.centris.ca/fr/condo~a-vendre~laval-chomedey/22208480?view=Summary&amp;uc=216</t>
  </si>
  <si>
    <t>2160, Avenue Terry-Fox, app. 115, Laval (Chomedey), Quartier Carrefour Saint-Martin</t>
  </si>
  <si>
    <t>https://www.centris.ca/fr/condo~a-vendre~laval-chomedey/11101108?view=Summary&amp;uc=214</t>
  </si>
  <si>
    <t>3875, boulevard de Chenonceau, app. 1003, Laval (Chomedey), Quartier Carrefour Saint-Martin</t>
  </si>
  <si>
    <t>https://www.centris.ca/fr/condo~a-vendre~laval-chomedey/25325281?view=Summary&amp;uc=209</t>
  </si>
  <si>
    <t>3990, boulevard de Chenonceau, app. 301, Laval (Chomedey), Quartier Carrefour Saint-Martin</t>
  </si>
  <si>
    <t>https://www.centris.ca/fr/condo~a-vendre~laval-chomedey/20351455?view=Summary&amp;uc=207</t>
  </si>
  <si>
    <t>2808, Rue Frégault, Laval (Chomedey), Quartier Carrefour Saint-Martin</t>
  </si>
  <si>
    <t>https://www.centris.ca/fr/condo~a-vendre~laval-chomedey/14747586?view=Summary&amp;uc=206</t>
  </si>
  <si>
    <t>3855, boulevard de Chenonceau, app. 109, Laval (Chomedey), Quartier Carrefour Saint-Martin</t>
  </si>
  <si>
    <t>https://www.centris.ca/fr/condo~a-vendre~laval-chomedey/28404289?view=Summary&amp;uc=236</t>
  </si>
  <si>
    <t>3350, boulevard Le Carrefour, app. 302, Laval (Chomedey), Quartier Carrefour Saint-Martin</t>
  </si>
  <si>
    <t>https://www.centris.ca/fr/condo~a-vendre~laval-chomedey/16632812?view=Summary&amp;uc=235</t>
  </si>
  <si>
    <t>2336, 100e Avenue, app. 201, Laval (Chomedey), Quartier Carrefour Saint-Martin</t>
  </si>
  <si>
    <t>https://www.centris.ca/fr/condo~a-vendre~laval-sainte-dorothee/15053955?view=Summary&amp;uc=234</t>
  </si>
  <si>
    <t>1315, Rue Graveline, app. 101, Laval (Sainte-Dorothée), Quartier Ouest Islemère</t>
  </si>
  <si>
    <t>https://www.centris.ca/fr/condo~a-vendre~laval-chomedey/14964626?view=Summary&amp;uc=231</t>
  </si>
  <si>
    <t>2266, 100e Avenue, app. 201, Laval (Chomedey), Quartier Carrefour Saint-Martin</t>
  </si>
  <si>
    <t>https://www.centris.ca/fr/condo~a-vendre~laval-chomedey/11944478?view=Summary&amp;uc=230</t>
  </si>
  <si>
    <t>2346, 100e Avenue, app. 202, Laval (Chomedey), Quartier Carrefour Saint-Martin</t>
  </si>
  <si>
    <t>https://www.centris.ca/fr/condo~a-vendre~laval-chomedey/28478600?view=Summary&amp;uc=228</t>
  </si>
  <si>
    <t>3430, boulevard Le Carrefour, app. 102, Laval (Chomedey), Quartier Carrefour Saint-Martin</t>
  </si>
  <si>
    <t>https://www.centris.ca/fr/condo~a-vendre~laval-chomedey/27851639?view=Summary&amp;uc=227</t>
  </si>
  <si>
    <t>2346, 100e Avenue, app. 102, Laval (Chomedey), Quartier Carrefour Saint-Martin</t>
  </si>
  <si>
    <t>https://www.centris.ca/fr/condo~a-vendre~laval-chomedey/13709913?view=Summary&amp;uc=226</t>
  </si>
  <si>
    <t>2906, Rue Frégault, Laval (Chomedey), Quartier Carrefour Saint-Martin</t>
  </si>
  <si>
    <t>https://www.centris.ca/fr/condo~a-vendre~laval-chomedey/27916267?view=Summary&amp;uc=224</t>
  </si>
  <si>
    <t>2865, Avenue du Cosmodôme, app. 502, Laval (Chomedey), Quartier Carrefour Saint-Martin</t>
  </si>
  <si>
    <t>https://www.centris.ca/fr/condo~a-vendre~laval-chomedey/27676576?view=Summary&amp;uc=223</t>
  </si>
  <si>
    <t>2112, Avenue Albert-Murphy, app. 202, Laval (Chomedey), Quartier Carrefour Saint-Martin</t>
  </si>
  <si>
    <t>https://www.centris.ca/fr/condo~a-vendre~laval-chomedey/25977405?view=Summary&amp;uc=221</t>
  </si>
  <si>
    <t>2340, boulevard Daniel-Johnson, app. 401, Laval (Chomedey), Quartier Carrefour Saint-Martin</t>
  </si>
  <si>
    <t>https://www.centris.ca/fr/condo~a-vendre~laval-chomedey/11369222?view=Summary&amp;uc=219</t>
  </si>
  <si>
    <t>3073, Rue Édouard-Montpetit, app. 308, Laval (Chomedey), Quartier Carrefour Saint-Martin</t>
  </si>
  <si>
    <t>https://www.centris.ca/fr/condo~a-vendre~laval-chomedey/22086882?view=Summary&amp;uc=218</t>
  </si>
  <si>
    <t>3081, Rue Édouard-Montpetit, app. 203, Laval (Chomedey), Quartier Carrefour Saint-Martin</t>
  </si>
  <si>
    <t>https://www.centris.ca/fr/condo~a-vendre~laval-chomedey/14589561?view=Summary&amp;uc=214</t>
  </si>
  <si>
    <t>3715, Avenue Jean-Béraud, app. 408, Laval (Chomedey), Quartier Carrefour Saint-Martin</t>
  </si>
  <si>
    <t>https://www.centris.ca/fr/condo~a-vendre~laval-chomedey/24332082?view=Summary&amp;uc=212</t>
  </si>
  <si>
    <t>2067, Avenue Albert-Murphy, app. 102, Laval (Chomedey), Quartier Carrefour Saint-Martin</t>
  </si>
  <si>
    <t>https://www.centris.ca/fr/condo~a-vendre~laval-sainte-dorothee/16638752?view=Summary&amp;uc=209</t>
  </si>
  <si>
    <t>https://www.centris.ca/fr/condo~a-vendre~laval-chomedey/27259682?view=Summary&amp;uc=208</t>
  </si>
  <si>
    <t>4041, boulevard Saint-Martin Ouest, app. 302, Laval (Chomedey), Quartier Carrefour Saint-Martin</t>
  </si>
  <si>
    <t>https://www.centris.ca/fr/condo~a-vendre~laval-sainte-dorothee/24966269?view=Summary&amp;uc=236</t>
  </si>
  <si>
    <t>255, Rue Étienne-Lavoie, app. 1901, Laval (Sainte-Dorothée), Quartier Est Islemère</t>
  </si>
  <si>
    <t>https://www.centris.ca/fr/condo~a-vendre~laval-sainte-dorothee/28679226?view=Summary&amp;uc=235</t>
  </si>
  <si>
    <t>255, Rue Étienne-Lavoie, app. SPH03, Laval (Sainte-Dorothée), Quartier Est Islemère</t>
  </si>
  <si>
    <t>https://www.centris.ca/fr/condo~a-vendre~laval-sainte-dorothee/9030358?view=Summary&amp;uc=234</t>
  </si>
  <si>
    <t>275, Rue Étienne-Lavoie, app. PH301, Laval (Sainte-Dorothée), Quartier Est Islemère</t>
  </si>
  <si>
    <t>https://www.centris.ca/fr/condo~a-vendre~laval-sainte-dorothee/16886738?view=Summary&amp;uc=232</t>
  </si>
  <si>
    <t>100, Rue Étienne-Lavoie, app. PH3102, Laval (Sainte-Dorothée), Quartier Est Islemère</t>
  </si>
  <si>
    <t>https://www.centris.ca/fr/condo~a-vendre~laval-sainte-dorothee/17518378?view=Summary&amp;uc=231</t>
  </si>
  <si>
    <t>255, Rue Étienne-Lavoie, app. 706, Laval (Sainte-Dorothée), Quartier Est Islemère</t>
  </si>
  <si>
    <t>https://www.centris.ca/fr/condo~a-vendre~laval-sainte-dorothee/14992435?view=Summary&amp;uc=230</t>
  </si>
  <si>
    <t>255, Rue Étienne-Lavoie, app. 1507, Laval (Sainte-Dorothée), Quartier Est Islemère</t>
  </si>
  <si>
    <t>https://www.centris.ca/fr/condo~a-vendre~laval-sainte-dorothee/12402550?view=Summary&amp;uc=229</t>
  </si>
  <si>
    <t>255, Rue Étienne-Lavoie, app. 101, Laval (Sainte-Dorothée), Quartier Est Islemère</t>
  </si>
  <si>
    <t>https://www.centris.ca/fr/condo~a-vendre~laval-sainte-dorothee/25024171?view=Summary&amp;uc=228</t>
  </si>
  <si>
    <t>275, Rue Étienne-Lavoie, app. 401, Laval (Sainte-Dorothée), Quartier Est Islemère</t>
  </si>
  <si>
    <t>https://www.centris.ca/fr/maison-en-copropriete~a-vendre~laval-sainte-dorothee/15977207?view=Summary&amp;uc=227</t>
  </si>
  <si>
    <t>255, Rue Étienne-Lavoie, app. V103, Laval (Sainte-Dorothée), Quartier Est Islemère</t>
  </si>
  <si>
    <t>https://www.centris.ca/fr/condo~a-vendre~laval-sainte-dorothee/20369468?view=Summary&amp;uc=226</t>
  </si>
  <si>
    <t>255, Rue Étienne-Lavoie, app. 1407, Laval (Sainte-Dorothée), Quartier Est Islemère</t>
  </si>
  <si>
    <t>https://www.centris.ca/fr/condo~a-vendre~laval-sainte-dorothee/14821014?view=Summary&amp;uc=225</t>
  </si>
  <si>
    <t>255, Rue Étienne-Lavoie, app. V102, Laval (Sainte-Dorothée), Quartier Est Islemère</t>
  </si>
  <si>
    <t>https://www.centris.ca/fr/condo~a-vendre~laval-sainte-dorothee/10607389?view=Summary&amp;uc=224</t>
  </si>
  <si>
    <t>255, Rue Étienne-Lavoie, app. 1207, Laval (Sainte-Dorothée), Quartier Est Islemère</t>
  </si>
  <si>
    <t>https://www.centris.ca/fr/condo~a-vendre~laval-sainte-dorothee/25071635?view=Summary&amp;uc=223</t>
  </si>
  <si>
    <t>275, Rue Étienne-Lavoie, app. 602, Laval (Sainte-Dorothée), Quartier Est Islemère</t>
  </si>
  <si>
    <t>https://www.centris.ca/fr/condo~a-vendre~laval-sainte-dorothee/11136368?view=Summary&amp;uc=222</t>
  </si>
  <si>
    <t>255, Rue Étienne-Lavoie, app. T207, Laval (Sainte-Dorothée), Quartier Est Islemère</t>
  </si>
  <si>
    <t>https://www.centris.ca/fr/condo~a-vendre~laval-sainte-dorothee/24010159?view=Summary&amp;uc=221</t>
  </si>
  <si>
    <t>275, Rue Étienne-Lavoie, app. 502, Laval (Sainte-Dorothée), Quartier Est Islemère</t>
  </si>
  <si>
    <t>https://www.centris.ca/fr/condo~a-vendre~laval-sainte-dorothee/25743439?view=Summary&amp;uc=219</t>
  </si>
  <si>
    <t>7775, boulevard Saint-Martin Ouest, app. 405, Laval (Sainte-Dorothée), Quartier Est Islemère</t>
  </si>
  <si>
    <t>https://www.centris.ca/fr/condo~a-vendre~laval-sainte-dorothee/26294075?view=Summary&amp;uc=218</t>
  </si>
  <si>
    <t>854, Chemin du Bord-de-l'Eau, Laval (Sainte-Dorothée), Quartier Est Islemère</t>
  </si>
  <si>
    <t>https://www.centris.ca/fr/condo~a-vendre~laval-sainte-dorothee/17551536?view=Summary&amp;uc=216</t>
  </si>
  <si>
    <t xml:space="preserve">
446, Rue Étienne-Lavoie, Laval (Sainte-Dorothée), Quartier Est Islemère</t>
  </si>
  <si>
    <t>https://www.centris.ca/fr/condo~a-vendre~laval-sainte-dorothee/12340174?view=Summary&amp;uc=213</t>
  </si>
  <si>
    <t>https://www.centris.ca/fr/condo~a-vendre~laval-sainte-dorothee/19651690?view=Summary&amp;uc=211</t>
  </si>
  <si>
    <t>181, Rue Marineau, app. 201, Laval (Sainte-Dorothée), Quartier Est Islemère</t>
  </si>
  <si>
    <t>https://www.centris.ca/fr/condo~a-vendre~laval-sainte-dorothee/25979834?view=Summary&amp;uc=209</t>
  </si>
  <si>
    <t>820, Rue Étienne-Lavoie, app. 4, Laval (Sainte-Dorothée), Quartier Est Islemère</t>
  </si>
  <si>
    <t>https://www.centris.ca/fr/condo~a-vendre~laval-fabreville/25354750?view=Summary&amp;uc=204</t>
  </si>
  <si>
    <t>1130, boulevard Mattawa, app. 203, Laval (Fabreville), Quartier Est</t>
  </si>
  <si>
    <t>https://www.centris.ca/fr/condo~a-vendre~laval-fabreville/21657030?view=Summary&amp;uc=203</t>
  </si>
  <si>
    <t>1130, boulevard Mattawa, app. 407, Laval (Fabreville), Quartier Est</t>
  </si>
  <si>
    <t>https://www.centris.ca/fr/maison-en-copropriete~a-vendre~laval-fabreville/14835404?view=Summary&amp;uc=196</t>
  </si>
  <si>
    <t>4667, boulevard Dagenais Ouest, Laval (Fabreville), Quartier Ouest</t>
  </si>
  <si>
    <t>https://www.centris.ca/fr/condo~a-vendre~laval-fabreville/15396922?view=Summary&amp;uc=195</t>
  </si>
  <si>
    <t>668, Rue Russell, Laval (Fabreville), Quartier Ouest</t>
  </si>
  <si>
    <t>https://www.centris.ca/fr/condo~a-vendre~laval-fabreville/25603230?view=Summary&amp;uc=186</t>
  </si>
  <si>
    <t>3965, boulevard Sainte-Rose, Laval (Fabreville), Quartier Ouest</t>
  </si>
  <si>
    <t>https://www.centris.ca/fr/condo~a-vendre~laval-fabreville/11353724?view=Summary&amp;uc=184</t>
  </si>
  <si>
    <t>3530, Rue Marian, app. 104, Laval (Fabreville), Quartier Est</t>
  </si>
  <si>
    <t>https://www.centris.ca/fr/condo~a-vendre~laval-fabreville/14496061?view=Summary&amp;uc=182</t>
  </si>
  <si>
    <t>1067, boulevard Mattawa, Laval (Fabreville), Quartier Est</t>
  </si>
  <si>
    <t>3000, boulevard Thimens, app. 322, Montréal (Saint-Laurent), Quartier Saint-Laurent Ouest</t>
  </si>
  <si>
    <t>saint_laurent</t>
  </si>
  <si>
    <t>https://www.centris.ca/fr/condo~a-vendre~montreal-saint-laurent/24405021?view=Summary&amp;uc=89</t>
  </si>
  <si>
    <t>2030, Rue Lucien-Thimens, app. 302, Montréal (Saint-Laurent), Quartier Saint-Laurent Ouest</t>
  </si>
  <si>
    <t>https://www.centris.ca/fr/condo~a-vendre~montreal-saint-laurent/17294215?view=Summary&amp;uc=90</t>
  </si>
  <si>
    <t>200, boulevard Marcel-Laurin, app. 412, Montréal (Saint-Laurent), Quartier Autres</t>
  </si>
  <si>
    <t>https://www.centris.ca/fr/condo~a-vendre~montreal-saint-laurent/25406289?view=Summary&amp;uc=91</t>
  </si>
  <si>
    <t>926, Avenue Sainte-Croix, app. 105, Montréal (Saint-Laurent), Quartier Vieux Saint-Laurent</t>
  </si>
  <si>
    <t>https://www.centris.ca/fr/condo~a-vendre~montreal-saint-laurent/23684379?view=Summary&amp;uc=92</t>
  </si>
  <si>
    <t>4885, boulevard Henri-Bourassa Ouest, app. 428, Montréal (Saint-Laurent), Quartier Autres</t>
  </si>
  <si>
    <t>https://www.centris.ca/fr/condo~a-vendre~montreal-saint-laurent/9947384?view=Summary&amp;uc=93</t>
  </si>
  <si>
    <t>750, boulevard Montpellier, app. 707, Montréal (Saint-Laurent), Quartier Autres</t>
  </si>
  <si>
    <t>https://www.centris.ca/fr/condo~a-vendre~montreal-saint-laurent/20706109?view=Summary&amp;uc=94</t>
  </si>
  <si>
    <t>375, boulevard Décarie, app. 103, Montréal (Saint-Laurent), Quartier Autres</t>
  </si>
  <si>
    <t>https://www.centris.ca/fr/condo~a-vendre~montreal-saint-laurent/25623349?view=Summary&amp;uc=354</t>
  </si>
  <si>
    <t>3000, boulevard Thimens, app. 1108, Montréal (Saint-Laurent), Quartier Saint-Laurent Ouest</t>
  </si>
  <si>
    <t>https://www.centris.ca/fr/condo~a-vendre~montreal-saint-laurent/22929107?view=Summary&amp;uc=355</t>
  </si>
  <si>
    <t>750, boulevard Montpellier, app. 704, Montréal (Saint-Laurent), Quartier Autres</t>
  </si>
  <si>
    <t>https://www.centris.ca/fr/condo~a-vendre~montreal-saint-laurent/22098014?view=Summary&amp;uc=359</t>
  </si>
  <si>
    <t>335, boulevard Marcel-Laurin, app. 120, Montréal (Saint-Laurent), Quartier Autres</t>
  </si>
  <si>
    <t>https://www.centris.ca/fr/condo~a-vendre~montreal-saint-laurent/10414434?view=Summary&amp;uc=360</t>
  </si>
  <si>
    <t xml:space="preserve">
4885, boulevard Henri-Bourassa Ouest, app. 208, Montréal (Saint-Laurent), Quartier Autres</t>
  </si>
  <si>
    <t>https://www.centris.ca/fr/condo~a-vendre~montreal-saint-laurent/12250763?view=Summary&amp;uc=361</t>
  </si>
  <si>
    <t>200, boulevard Marcel-Laurin, app. 407, Montréal (Saint-Laurent), Quartier Autres</t>
  </si>
  <si>
    <t>https://www.centris.ca/fr/condo~a-vendre~montreal-saint-laurent/13534491?view=Summary&amp;uc=362</t>
  </si>
  <si>
    <t>3000, boulevard Thimens, app. E08, Montréal (Saint-Laurent), Quartier Saint-Laurent Ouest</t>
  </si>
  <si>
    <t>https://www.centris.ca/fr/condo~a-vendre~montreal-saint-laurent/10423120?view=Summary&amp;uc=363</t>
  </si>
  <si>
    <t>5250, boulevard Henri-Bourassa Ouest, app. 608, Montréal (Saint-Laurent), Quartier Nouveau Saint-Laurent/Bois-Franc</t>
  </si>
  <si>
    <t>https://www.centris.ca/fr/condo~a-vendre~montreal-saint-laurent/21524909?view=Summary&amp;uc=364</t>
  </si>
  <si>
    <t>1500, Rue Saint-Louis, app. 409, Montréal (Saint-Laurent), Quartier Vieux Saint-Laurent</t>
  </si>
  <si>
    <t>https://www.centris.ca/fr/condo~a-vendre~montreal-saint-laurent/24341190?view=Summary&amp;uc=365</t>
  </si>
  <si>
    <t xml:space="preserve">
5250, boulevard Henri-Bourassa Ouest, app. 207, Montréal (Saint-Laurent), Quartier Nouveau Saint-Laurent/Bois-Franc</t>
  </si>
  <si>
    <t>https://www.centris.ca/fr/condo~a-vendre~montreal-saint-laurent/24917177?view=Summary&amp;uc=366</t>
  </si>
  <si>
    <t>750, boulevard Montpellier, app. 1002, Montréal (Saint-Laurent), Quartier Autres</t>
  </si>
  <si>
    <t>https://www.centris.ca/fr/condo~a-vendre~montreal-saint-laurent/23169558?view=Summary&amp;uc=367</t>
  </si>
  <si>
    <t>2030, Rue Lucien-Thimens, app. 202, Montréal (Saint-Laurent), Quartier Saint-Laurent Ouest</t>
  </si>
  <si>
    <t>https://www.centris.ca/fr/condo~a-vendre~montreal-saint-laurent/11338861?view=Summary&amp;uc=368</t>
  </si>
  <si>
    <t>5250, boulevard Henri-Bourassa Ouest, app. 418, Montréal (Saint-Laurent), Quartier Nouveau Saint-Laurent/Bois-Franc</t>
  </si>
  <si>
    <t>https://www.centris.ca/fr/condo~a-vendre~montreal-saint-laurent/19514462?view=Summary&amp;uc=369</t>
  </si>
  <si>
    <t xml:space="preserve">
4655, boulevard Henri-Bourassa Ouest, app. 113, Montréal (Saint-Laurent), Quartier Autres</t>
  </si>
  <si>
    <t>https://www.centris.ca/fr/condo~a-vendre~montreal-saint-laurent/10638426?view=Summary&amp;uc=371</t>
  </si>
  <si>
    <t>4655, boulevard Henri-Bourassa Ouest, app. 512, Montréal (Saint-Laurent), Quartier Autres</t>
  </si>
  <si>
    <t>https://www.centris.ca/fr/condo~a-vendre~montreal-saint-laurent/19756579?view=Summary&amp;uc=372</t>
  </si>
  <si>
    <t xml:space="preserve">
2300, Rue Ward, app. 308, Montréal (Saint-Laurent), Quartier Saint-Laurent Ouest</t>
  </si>
  <si>
    <t>https://www.centris.ca/fr/condo~a-vendre~montreal-saint-laurent/26420372?view=Summary&amp;uc=374</t>
  </si>
  <si>
    <t>2385, Rue des Équinoxes, app. 406, Montréal (Saint-Laurent), Quartier Nouveau Saint-Laurent/Bois-Franc</t>
  </si>
  <si>
    <t>https://www.centris.ca/fr/condo~a-vendre~montreal-saint-laurent/13498868?view=Summary&amp;uc=375</t>
  </si>
  <si>
    <t>5250, boulevard Henri-Bourassa Ouest, app. 215, Montréal (Saint-Laurent), Quartier Nouveau Saint-Laurent/Bois-Franc</t>
  </si>
  <si>
    <t>https://www.centris.ca/fr/condo~a-vendre~montreal-saint-laurent/22313105?view=Summary&amp;uc=376</t>
  </si>
  <si>
    <t xml:space="preserve">
2335, Rue des Équinoxes, app. 216, Montréal (Saint-Laurent), Quartier Nouveau Saint-Laurent/Bois-Franc</t>
  </si>
  <si>
    <t>https://www.centris.ca/fr/loft-studio~a-vendre~montreal-saint-laurent/21376012?view=Summary&amp;uc=377</t>
  </si>
  <si>
    <t xml:space="preserve">
200, boulevard Marcel-Laurin, app. 204, Montréal (Saint-Laurent), Quartier Autres</t>
  </si>
  <si>
    <t>https://www.centris.ca/fr/condo~a-vendre~montreal-saint-laurent/19344778?view=Summary&amp;uc=378</t>
  </si>
  <si>
    <t>3000, boulevard Thimens, app. 814, Montréal (Saint-Laurent), Quartier Saint-Laurent Ouest</t>
  </si>
  <si>
    <t>https://www.centris.ca/fr/condo~a-vendre~montreal-saint-laurent/19421456?view=Summary&amp;uc=379</t>
  </si>
  <si>
    <t>6500, boulevard Henri-Bourassa Ouest, app. 306, Montréal (Saint-Laurent), Quartier Nouveau Saint-Laurent/Bois-Franc</t>
  </si>
  <si>
    <t>https://www.centris.ca/fr/condo~a-vendre~montreal-saint-laurent/10177422?view=Summary&amp;uc=380</t>
  </si>
  <si>
    <t>925, Croissant du Ruisseau, app. A4, Montréal (Saint-Laurent), Quartier Autres</t>
  </si>
  <si>
    <t>https://www.centris.ca/fr/condo~a-vendre~montreal-saint-laurent/25169844?view=Summary&amp;uc=381</t>
  </si>
  <si>
    <t>1750, Rue Saint-Louis, app. 209, Montréal (Saint-Laurent), Quartier Vieux Saint-Laurent</t>
  </si>
  <si>
    <t>https://www.centris.ca/fr/condo~a-vendre~montreal-saint-laurent/11394319?view=Summary&amp;uc=382</t>
  </si>
  <si>
    <t>720, boulevard Montpellier, app. 306, Montréal (Saint-Laurent), Quartier Autres</t>
  </si>
  <si>
    <t>https://www.centris.ca/fr/condo~a-vendre~montreal-saint-laurent/9586103?view=Summary&amp;uc=383</t>
  </si>
  <si>
    <t>11111, boulevard Cavendish, app. 302, Montréal (Saint-Laurent), Quartier Saint-Laurent Ouest</t>
  </si>
  <si>
    <t>https://www.centris.ca/fr/condo~a-vendre~montreal-saint-laurent/10406632?view=Summary&amp;uc=384</t>
  </si>
  <si>
    <t>4885, boulevard Henri-Bourassa Ouest, app. 331, Montréal (Saint-Laurent), Quartier Autres</t>
  </si>
  <si>
    <t>https://www.centris.ca/fr/condo~a-vendre~montreal-saint-laurent/19480115?view=Summary&amp;uc=80</t>
  </si>
  <si>
    <t>2250, Rue Ward, app. 202, Montréal (Saint-Laurent), Quartier Saint-Laurent Ouest</t>
  </si>
  <si>
    <t>https://www.centris.ca/fr/condo~a-vendre~montreal-saint-laurent/20449546?view=Summary&amp;uc=81</t>
  </si>
  <si>
    <t>2310, Rue Ward, app. 303, Montréal (Saint-Laurent), Quartier Saint-Laurent Ouest</t>
  </si>
  <si>
    <t>https://www.centris.ca/fr/condo~a-vendre~montreal-saint-laurent/23557970?view=Summary&amp;uc=82</t>
  </si>
  <si>
    <t>4700, boulevard Henri-Bourassa Ouest, app. 513, Montréal (Saint-Laurent), Quartier Autres</t>
  </si>
  <si>
    <t>https://www.centris.ca/fr/condo~a-vendre~montreal-saint-laurent/16855445?view=Summary&amp;uc=83</t>
  </si>
  <si>
    <t>930, boulevard Marcel-Laurin, app. 201, Montréal (Saint-Laurent), Quartier Saint-Laurent Ouest</t>
  </si>
  <si>
    <t>https://www.centris.ca/fr/condo~a-vendre~montreal-saint-laurent/27266032?view=Summary&amp;uc=84</t>
  </si>
  <si>
    <t>2800, boulevard de la Côte-Vertu, app. 605, Montréal (Saint-Laurent), Quartier Saint-Laurent Ouest</t>
  </si>
  <si>
    <t>https://www.centris.ca/fr/condo~a-vendre~montreal-saint-laurent/20305544?view=Summary&amp;uc=85</t>
  </si>
  <si>
    <t>6550, boulevard Henri-Bourassa Ouest, app. 301, Montréal (Saint-Laurent), Quartier Nouveau Saint-Laurent/Bois-Franc</t>
  </si>
  <si>
    <t>https://www.centris.ca/fr/condo~a-vendre~montreal-saint-laurent/17885752?view=Summary&amp;uc=87</t>
  </si>
  <si>
    <t>5250, boulevard Henri-Bourassa Ouest, app. 412, Montréal (Saint-Laurent), Quartier Nouveau Saint-Laurent/Bois-Franc</t>
  </si>
  <si>
    <t>https://www.centris.ca/fr/condo~a-vendre~montreal-saint-laurent/17556559?view=Summary&amp;uc=88</t>
  </si>
  <si>
    <t>200, boulevard Marcel-Laurin, app. 222, Montréal (Saint-Laurent), Quartier Autres</t>
  </si>
  <si>
    <t>https://www.centris.ca/fr/condo~a-vendre~montreal-saint-laurent/20141314?view=Summary&amp;uc=89</t>
  </si>
  <si>
    <t>725, Place Fortier, app. 1405, Montréal (Saint-Laurent), Quartier Autres</t>
  </si>
  <si>
    <t>https://www.centris.ca/fr/condo~a-vendre~montreal-saint-laurent/22486811?view=Summary&amp;uc=90</t>
  </si>
  <si>
    <t>2200, Rue Harriet-Quimby, app. 314, Montréal (Saint-Laurent), Quartier Nouveau Saint-Laurent/Bois-Franc</t>
  </si>
  <si>
    <t>https://www.centris.ca/fr/condo~a-vendre~montreal-saint-laurent/16912935?view=Summary&amp;uc=91</t>
  </si>
  <si>
    <t xml:space="preserve">
2383, Rue Charles-Darwin, Montréal (Saint-Laurent), Quartier Nouveau Saint-Laurent/Bois-Franc</t>
  </si>
  <si>
    <t>https://www.centris.ca/fr/condo~a-vendre~montreal-saint-laurent/25532416?view=Summary&amp;uc=88</t>
  </si>
  <si>
    <t>6550, boulevard Henri-Bourassa Ouest, app. 402, Montréal (Saint-Laurent), Quartier Nouveau Saint-Laurent/Bois-Franc</t>
  </si>
  <si>
    <t>https://www.centris.ca/fr/condo~a-vendre~montreal-saint-laurent/22455780?view=Summary&amp;uc=89</t>
  </si>
  <si>
    <t>2030, Rue Lucien-Thimens, app. 215, Montréal (Saint-Laurent), Quartier Saint-Laurent Ouest</t>
  </si>
  <si>
    <t>https://www.centris.ca/fr/condo~a-vendre~montreal-saint-laurent/21157865?view=Summary&amp;uc=90</t>
  </si>
  <si>
    <t>1964, Rue Connaught, Montréal (Saint-Laurent), Quartier Autres</t>
  </si>
  <si>
    <t>https://www.centris.ca/fr/condo~a-vendre~montreal-saint-laurent/27106385?view=Summary&amp;uc=92</t>
  </si>
  <si>
    <t>2650, boulevard Thimens, app. 501, Montréal (Saint-Laurent), Quartier Saint-Laurent Ouest</t>
  </si>
  <si>
    <t>https://www.centris.ca/fr/condo~a-vendre~montreal-saint-laurent/25202477?view=Summary&amp;uc=94</t>
  </si>
  <si>
    <t>730, boulevard Montpellier, app. 1207, Montréal (Saint-Laurent), Quartier Autres</t>
  </si>
  <si>
    <t>https://www.centris.ca/fr/condo~a-vendre~montreal-saint-laurent/9541709?view=Summary&amp;uc=95</t>
  </si>
  <si>
    <t>385, boulevard Deguire, app. 908, Montréal (Saint-Laurent), Quartier Autres</t>
  </si>
  <si>
    <t>https://www.centris.ca/fr/condo~a-vendre~montreal-saint-laurent/19568026?view=Summary&amp;uc=96</t>
  </si>
  <si>
    <t>750, Place Fortier, app. 206, Montréal (Saint-Laurent), Quartier Autres</t>
  </si>
  <si>
    <t>https://www.centris.ca/fr/condo~a-vendre~montreal-saint-laurent/27104141?view=Summary&amp;uc=97</t>
  </si>
  <si>
    <t>2555, Rue Grenet, app. 411, Montréal (Saint-Laurent), Quartier Autres</t>
  </si>
  <si>
    <t>https://www.centris.ca/fr/condo~a-vendre~montreal-saint-laurent/15104665?view=Summary&amp;uc=98</t>
  </si>
  <si>
    <t>1900, Rue Suzanne-Coallier, app. 613, Montréal (Saint-Laurent), Quartier Saint-Laurent Ouest</t>
  </si>
  <si>
    <t>https://www.centris.ca/fr/condo~a-vendre~montreal-saint-laurent/14607843?view=Summary&amp;uc=100</t>
  </si>
  <si>
    <t>1650, Rue Saint-Louis, app. 705, Montréal (Saint-Laurent), Quartier Vieux Saint-Laurent</t>
  </si>
  <si>
    <t>https://www.centris.ca/fr/condo~a-vendre~montreal-saint-laurent/27764725?view=Summary&amp;uc=101</t>
  </si>
  <si>
    <t>4605, boulevard Henri-Bourassa Ouest, app. 112, Montréal (Saint-Laurent), Quartier Autres</t>
  </si>
  <si>
    <t>https://www.centris.ca/fr/condo~a-vendre~montreal-saint-laurent/18760291?view=Summary&amp;uc=103</t>
  </si>
  <si>
    <t>4000, Rue Claude-Henri-Grignon, app. 114, Montréal (Saint-Laurent), Quartier Nouveau Saint-Laurent/Bois-Franc</t>
  </si>
  <si>
    <t>https://www.centris.ca/fr/condo~a-vendre~montreal-saint-laurent/18480236?view=Summary&amp;uc=104</t>
  </si>
  <si>
    <t>2335, Rue des Équinoxes, app. 111, Montréal (Saint-Laurent), Quartier Nouveau Saint-Laurent/Bois-Franc</t>
  </si>
  <si>
    <t>https://www.centris.ca/fr/condo~a-vendre~montreal-saint-laurent/15717713?view=Summary&amp;uc=105</t>
  </si>
  <si>
    <t>987, Rue White, app. 104, Montréal (Saint-Laurent), Quartier Saint-Laurent Ouest</t>
  </si>
  <si>
    <t>https://www.centris.ca/fr/condo~a-vendre~montreal-saint-laurent/19598663?view=Summary&amp;uc=106</t>
  </si>
  <si>
    <t>1900, Rue Suzanne-Coallier, app. 810, Montréal (Saint-Laurent), Quartier Saint-Laurent Ouest</t>
  </si>
  <si>
    <t>https://www.centris.ca/fr/condo~a-vendre~montreal-saint-laurent/23711589?view=Summary&amp;uc=107</t>
  </si>
  <si>
    <t>14281, boulevard Cavendish, app. 301, Montréal (Saint-Laurent), Quartier Nouveau Saint-Laurent/Bois-Franc</t>
  </si>
  <si>
    <t>https://www.centris.ca/fr/condo~a-vendre~montreal-saint-laurent/24966057?view=Summary&amp;uc=108</t>
  </si>
  <si>
    <t>725, Place Fortier, app. 1106, Montréal (Saint-Laurent), Quartier Autres</t>
  </si>
  <si>
    <t>https://www.centris.ca/fr/condo~a-vendre~montreal-saint-laurent/23282879?view=Summary&amp;uc=109</t>
  </si>
  <si>
    <t>4605, boulevard Henri-Bourassa Ouest, app. 603, Montréal (Saint-Laurent), Quartier Saint-Laurent Ouest</t>
  </si>
  <si>
    <t>https://www.centris.ca/fr/condo~a-vendre~montreal-saint-laurent/22478437?view=Summary&amp;uc=111</t>
  </si>
  <si>
    <t>14241, boulevard Cavendish, app. 101, Montréal (Saint-Laurent), Quartier Nouveau Saint-Laurent/Bois-Franc</t>
  </si>
  <si>
    <t>https://www.centris.ca/fr/condo~a-vendre~montreal-saint-laurent/26462241?view=Summary&amp;uc=112</t>
  </si>
  <si>
    <t>2318, Rue Harriet-Quimby, Montréal (Saint-Laurent), Quartier Nouveau Saint-Laurent/Bois-Franc</t>
  </si>
  <si>
    <t>https://www.centris.ca/fr/condo~a-vendre~montreal-saint-laurent/9795035?view=Summary&amp;uc=113</t>
  </si>
  <si>
    <t>825, Croissant du Ruisseau, app. F6, Montréal (Saint-Laurent), Quartier Autres</t>
  </si>
  <si>
    <t>https://www.centris.ca/fr/condo~a-vendre~montreal-saint-laurent/19512241?view=Summary&amp;uc=114</t>
  </si>
  <si>
    <t>1177, Rue Saint-Germain, Montréal (Saint-Laurent), Quartier Vieux Saint-Laurent</t>
  </si>
  <si>
    <t>https://www.centris.ca/fr/maison~a-vendre~montreal-saint-laurent/20387599?view=Summary&amp;uc=115</t>
  </si>
  <si>
    <t>5200, boulevard Henri-Bourassa Ouest, app. 608, Montréal (Saint-Laurent), Quartier Nouveau Saint-Laurent/Bois-Franc</t>
  </si>
  <si>
    <t>https://www.centris.ca/fr/condo~a-vendre~montreal-saint-laurent/28026811?view=Summary&amp;uc=116</t>
  </si>
  <si>
    <t xml:space="preserve">
5250, boulevard Henri-Bourassa Ouest, app. 317, Montréal (Saint-Laurent), Quartier Nouveau Saint-Laurent/Bois-Franc</t>
  </si>
  <si>
    <t>https://www.centris.ca/fr/condo~a-vendre~montreal-saint-laurent/14467876?view=Summary&amp;uc=117</t>
  </si>
  <si>
    <t>1985, Rue de la Sorbonne, Montréal (Saint-Laurent), Quartier Autres</t>
  </si>
  <si>
    <t>https://www.centris.ca/fr/maison~a-vendre~montreal-saint-laurent/26722888?view=Summary&amp;uc=118</t>
  </si>
  <si>
    <t xml:space="preserve">
1514, Rue Barré, Montréal (Saint-Laurent), Quartier Autres</t>
  </si>
  <si>
    <t>https://www.centris.ca/fr/maison~a-vendre~montreal-saint-laurent/20493225?view=Summary&amp;uc=93</t>
  </si>
  <si>
    <t>2070, Rue Stanislas, Montréal (Saint-Laurent), Quartier Autres</t>
  </si>
  <si>
    <t>https://www.centris.ca/fr/maison~a-vendre~montreal-saint-laurent/27719455?view=Summary&amp;uc=94</t>
  </si>
  <si>
    <t>2350, Rue Wilfrid-Reid, app. 507, Montréal (Saint-Laurent), Quartier Nouveau Saint-Laurent/Bois-Franc</t>
  </si>
  <si>
    <t>https://www.centris.ca/fr/condo~a-vendre~montreal-saint-laurent/21511374?view=Summary&amp;uc=95</t>
  </si>
  <si>
    <t xml:space="preserve">
14341, boulevard Cavendish, app. 301, Montréal (Saint-Laurent), Quartier Nouveau Saint-Laurent/Bois-Franc</t>
  </si>
  <si>
    <t>https://www.centris.ca/fr/condo~a-vendre~montreal-saint-laurent/23806990?view=Summary&amp;uc=96</t>
  </si>
  <si>
    <t>5250, boulevard Henri-Bourassa Ouest, app. 217, Montréal (Saint-Laurent), Quartier Nouveau Saint-Laurent/Bois-Franc</t>
  </si>
  <si>
    <t>https://www.centris.ca/fr/condo~a-vendre~montreal-saint-laurent/22776675?view=Summary&amp;uc=97</t>
  </si>
  <si>
    <t>2180, Rue de la Sorbonne, Montréal (Saint-Laurent), Quartier Autres</t>
  </si>
  <si>
    <t>https://www.centris.ca/fr/maison~a-vendre~montreal-saint-laurent/24673757?view=Summary&amp;uc=99</t>
  </si>
  <si>
    <t xml:space="preserve">
2900, boulevard de la Côte-Vertu, app. 404, Montréal (Saint-Laurent), Quartier Saint-Laurent Ouest</t>
  </si>
  <si>
    <t>https://www.centris.ca/fr/condo~a-vendre~montreal-saint-laurent/14601951?view=Summary&amp;uc=102</t>
  </si>
  <si>
    <t>2150, Rue de la Sorbonne, Montréal (Saint-Laurent), Quartier Autres</t>
  </si>
  <si>
    <t>https://www.centris.ca/fr/maison~a-vendre~montreal-saint-laurent/20426343?view=Summary&amp;uc=103</t>
  </si>
  <si>
    <t>5200, boulevard Henri-Bourassa Ouest, app. 605, Montréal (Saint-Laurent), Quartier Nouveau Saint-Laurent/Bois-Franc</t>
  </si>
  <si>
    <t>https://www.centris.ca/fr/condo~a-vendre~montreal-saint-laurent/13218532?view=Summary&amp;uc=106</t>
  </si>
  <si>
    <t>1445, Rue Barré, Montréal (Saint-Laurent), Quartier Autres</t>
  </si>
  <si>
    <t>https://www.centris.ca/fr/duplex~a-vendre~montreal-saint-laurent/19027605?view=Summary&amp;uc=108</t>
  </si>
  <si>
    <t>1975, Rue Stanislas, Montréal (Saint-Laurent), Quartier Autres</t>
  </si>
  <si>
    <t>https://www.centris.ca/fr/maison~a-vendre~montreal-saint-laurent/12836245?view=Summary&amp;uc=109</t>
  </si>
  <si>
    <t>4625, Avenue Félix-Leclerc, app. 207, Montréal (Saint-Laurent), Quartier Nouveau Saint-Laurent/Bois-Franc</t>
  </si>
  <si>
    <t>https://www.centris.ca/fr/condo~a-vendre~montreal-saint-laurent/19487538?view=Summary&amp;uc=110</t>
  </si>
  <si>
    <t>2406, Rue Harriet-Quimby, Montréal (Saint-Laurent), Quartier Nouveau Saint-Laurent/Bois-Franc</t>
  </si>
  <si>
    <t>https://www.centris.ca/fr/condo~a-vendre~montreal-saint-laurent/26083814?view=Summary&amp;uc=112</t>
  </si>
  <si>
    <t xml:space="preserve">
389, Rue Ouimet, Montréal (Saint-Laurent), Quartier Autres</t>
  </si>
  <si>
    <t>https://www.centris.ca/fr/condo~a-vendre~montreal-saint-laurent/19444108?view=Summary&amp;uc=114</t>
  </si>
  <si>
    <t>5200, boulevard Henri-Bourassa Ouest, app. 603, Montréal (Saint-Laurent), Quartier Nouveau Saint-Laurent/Bois-Franc</t>
  </si>
  <si>
    <t>https://www.centris.ca/fr/condo~a-vendre~montreal-saint-laurent/9381282?view=Summary&amp;uc=115</t>
  </si>
  <si>
    <t>5250, boulevard Henri-Bourassa Ouest, app. 717, Montréal (Saint-Laurent), Quartier Nouveau Saint-Laurent/Bois-Franc</t>
  </si>
  <si>
    <t>https://www.centris.ca/fr/condo~a-vendre~montreal-saint-laurent/12248463?view=Summary&amp;uc=116</t>
  </si>
  <si>
    <t xml:space="preserve">
2480, Rue des Nations, app. 102, Montréal (Saint-Laurent), Quartier Nouveau Saint-Laurent/Bois-Franc</t>
  </si>
  <si>
    <t>https://www.centris.ca/fr/condo~a-vendre~montreal-saint-laurent/20885275?view=Summary&amp;uc=118</t>
  </si>
  <si>
    <t xml:space="preserve">
2950, boulevard de la Côte-Vertu, app. 605, Montréal (Saint-Laurent), Quartier Saint-Laurent Ouest</t>
  </si>
  <si>
    <t>https://www.centris.ca/fr/condo~a-vendre~montreal-saint-laurent/17723319?view=Summary&amp;uc=119</t>
  </si>
  <si>
    <t>3000, boulevard Thimens, app. 313, Montréal (Saint-Laurent), Quartier Saint-Laurent Ouest</t>
  </si>
  <si>
    <t>https://www.centris.ca/fr/condo~a-vendre~montreal-saint-laurent/26672273?view=Summary&amp;uc=120</t>
  </si>
  <si>
    <t xml:space="preserve">
3115, Rue Savard, Montréal (Saint-Laurent), Quartier Saint-Laurent Nord</t>
  </si>
  <si>
    <t>https://www.centris.ca/fr/maison~a-vendre~montreal-saint-laurent/25477192?view=Summary&amp;uc=122</t>
  </si>
  <si>
    <t>2455, Rue des Nations, app. 105, Montréal (Saint-Laurent), Quartier Nouveau Saint-Laurent/Bois-Franc</t>
  </si>
  <si>
    <t>https://www.centris.ca/fr/condo~a-vendre~montreal-saint-laurent/20127235?view=Summary&amp;uc=123</t>
  </si>
  <si>
    <t>3100, Rue Lauriault, Montréal (Saint-Laurent), Quartier Saint-Laurent Nord</t>
  </si>
  <si>
    <t>https://www.centris.ca/fr/maison~a-vendre~montreal-saint-laurent/12898300?view=Summary&amp;uc=124</t>
  </si>
  <si>
    <t xml:space="preserve">
1420, Avenue Sainte-Croix, Montréal (Saint-Laurent), Quartier Autres</t>
  </si>
  <si>
    <t>https://www.centris.ca/fr/maison~a-vendre~montreal-saint-laurent/14029728?view=Summary&amp;uc=125</t>
  </si>
  <si>
    <t xml:space="preserve">
1270 - 1274, Rue Gohier, Montréal (Saint-Laurent), Quartier Autres</t>
  </si>
  <si>
    <t>https://www.centris.ca/fr/duplex~a-vendre~montreal-saint-laurent/26045126?view=Summary&amp;uc=126</t>
  </si>
  <si>
    <t>3380, Rue Lauriault, Montréal (Saint-Laurent), Quartier Saint-Laurent Nord</t>
  </si>
  <si>
    <t>https://www.centris.ca/fr/maison~a-vendre~montreal-saint-laurent/10414027?view=Summary&amp;uc=127</t>
  </si>
  <si>
    <t>2345, Rue Connaught, Montréal (Saint-Laurent), Quartier Autres</t>
  </si>
  <si>
    <t>https://www.centris.ca/fr/maison~a-vendre~montreal-saint-laurent/27234231?view=Summary&amp;uc=128</t>
  </si>
  <si>
    <t xml:space="preserve">
947, Rue Hocquart, Montréal (Saint-Laurent), Quartier Saint-Laurent Ouest</t>
  </si>
  <si>
    <t>https://www.centris.ca/fr/condo~a-vendre~montreal-saint-laurent/18288726?view=Summary&amp;uc=98</t>
  </si>
  <si>
    <t xml:space="preserve">
957Z, Rue Hocquart, Montréal (Saint-Laurent), Quartier Saint-Laurent Ouest</t>
  </si>
  <si>
    <t>https://www.centris.ca/fr/maison~a-vendre~montreal-saint-laurent/14373374?view=Summary&amp;uc=99</t>
  </si>
  <si>
    <t xml:space="preserve">
2299, Rue des Migrations, Montréal (Saint-Laurent), Quartier Nouveau Saint-Laurent/Bois-Fran</t>
  </si>
  <si>
    <t>https://www.centris.ca/fr/condo~a-vendre~montreal-saint-laurent/22879376?view=Summary&amp;uc=100</t>
  </si>
  <si>
    <t>1755, Avenue Sainte-Croix, Montréal (Saint-Laurent), Quartier Autres</t>
  </si>
  <si>
    <t>https://www.centris.ca/fr/maison~a-vendre~montreal-saint-laurent/11970910?view=Summary&amp;uc=102</t>
  </si>
  <si>
    <t xml:space="preserve">
2303, Rue Wilfrid-Reid, app. 220, Montréal (Saint-Laurent), Quartier Nouveau Saint-Laurent/Bois-Fran</t>
  </si>
  <si>
    <t>https://www.centris.ca/fr/condo~a-vendre~montreal-saint-laurent/18099997?view=Summary&amp;uc=105</t>
  </si>
  <si>
    <t>806Z, Carré Simon, Montréal (Saint-Laurent), Quartier Saint-Laurent Ouest</t>
  </si>
  <si>
    <t>https://www.centris.ca/fr/maison~a-vendre~montreal-saint-laurent/10235279?view=Summary&amp;uc=106</t>
  </si>
  <si>
    <t>1310, Rue Saint-Louis, Montréal (Saint-Laurent), Quartier Vieux Saint-Laurent</t>
  </si>
  <si>
    <t>https://www.centris.ca/fr/maison~a-vendre~montreal-saint-laurent/19667856?view=Summary&amp;uc=108</t>
  </si>
  <si>
    <t>940, Rue Hodge, Montréal (Saint-Laurent), Quartier Autres</t>
  </si>
  <si>
    <t>https://www.centris.ca/fr/maison~a-vendre~montreal-saint-laurent/21974252?view=Summary&amp;uc=109</t>
  </si>
  <si>
    <t xml:space="preserve">
1675, Rue Dutrisac, Montréal (Saint-Laurent), Quartier Autres</t>
  </si>
  <si>
    <t>https://www.centris.ca/fr/maison~a-vendre~montreal-saint-laurent/23236675?view=Summary&amp;uc=110</t>
  </si>
  <si>
    <t>1388 - 1390, Rue du Collège, Montréal (Saint-Laurent), Quartier Vieux Saint-Laurent</t>
  </si>
  <si>
    <t>https://www.centris.ca/fr/duplex~a-vendre~montreal-saint-laurent/9125109?view=Summary&amp;uc=111</t>
  </si>
  <si>
    <t>1453 - 1455, Rue Barré, Montréal (Saint-Laurent), Quartier Autres</t>
  </si>
  <si>
    <t>https://www.centris.ca/fr/duplex~a-vendre~montreal-saint-laurent/13247755?view=Summary&amp;uc=112</t>
  </si>
  <si>
    <t>1775, Rue Muir, Montréal (Saint-Laurent), Quartier Autres</t>
  </si>
  <si>
    <t>https://www.centris.ca/fr/maison~a-vendre~montreal-saint-laurent/11767459?view=Summary&amp;uc=113</t>
  </si>
  <si>
    <t>615, Rue Brunet, Montréal (Saint-Laurent), Quartier Saint-Laurent Ouest</t>
  </si>
  <si>
    <t>https://www.centris.ca/fr/maison~a-vendre~montreal-saint-laurent/19602087?view=Summary&amp;uc=114</t>
  </si>
  <si>
    <t xml:space="preserve">
1660, Rue Muir, Montréal (Saint-Laurent), Quartier Autres</t>
  </si>
  <si>
    <t>https://www.centris.ca/fr/maison~a-vendre~montreal-saint-laurent/15157581?view=Summary&amp;uc=115</t>
  </si>
  <si>
    <t>3115 - 3117, Rue Cousineau, Montréal (Saint-Laurent), Quartier Saint-Laurent Nord</t>
  </si>
  <si>
    <t>https://www.centris.ca/fr/duplex~a-vendre~montreal-saint-laurent/19372262?view=Summary&amp;uc=117</t>
  </si>
  <si>
    <t xml:space="preserve">
1418, Rue de l'Everest, Montréal (Saint-Laurent), Quartier Nouveau Saint-Laurent/Bois-Franc</t>
  </si>
  <si>
    <t>https://www.centris.ca/fr/maison-en-copropriete~a-vendre~montreal-saint-laurent/16220277?view=Summary&amp;uc=118</t>
  </si>
  <si>
    <t>1418Z, Rue de l'Everest, Montréal (Saint-Laurent), Quartier Nouveau Saint-Laurent/Bois-Franc</t>
  </si>
  <si>
    <t>https://www.centris.ca/fr/maison~a-vendre~montreal-saint-laurent/25859404?view=Summary&amp;uc=119</t>
  </si>
  <si>
    <t xml:space="preserve">
7588Z, boulevard Henri-Bourassa Ouest, Montréal (Saint-Laurent), Quartier Nouveau Saint-Laurent/Bois-Franc</t>
  </si>
  <si>
    <t>https://www.centris.ca/fr/maison~a-vendre~montreal-saint-laurent/12397841?view=Summary&amp;uc=120</t>
  </si>
  <si>
    <t xml:space="preserve">
1165 - 1167, Rue Couvrette, Montréal (Saint-Laurent), Quartier Autres</t>
  </si>
  <si>
    <t>https://www.centris.ca/fr/maison~a-vendre~montreal-saint-laurent/13115374?view=Summary&amp;uc=123</t>
  </si>
  <si>
    <t>1520, Avenue Sainte-Croix, Montréal (Saint-Laurent), Quartier Autres</t>
  </si>
  <si>
    <t>https://www.centris.ca/fr/maison~a-vendre~montreal-saint-laurent/23485724?view=Summary&amp;uc=124</t>
  </si>
  <si>
    <t>565, Rue Tait, Montréal (Saint-Laurent), Quartier Saint-Laurent Ouest</t>
  </si>
  <si>
    <t>https://www.centris.ca/fr/maison~a-vendre~montreal-saint-laurent/26020864?view=Summary&amp;uc=126</t>
  </si>
  <si>
    <t>2370, Rue Mantha, Montréal (Saint-Laurent), Quartier Saint-Laurent Ouest</t>
  </si>
  <si>
    <t>https://www.centris.ca/fr/maison~a-vendre~montreal-saint-laurent/13697470?view=Summary&amp;uc=130</t>
  </si>
  <si>
    <t xml:space="preserve">
1180, Avenue Sainte-Croix, Montréal (Saint-Laurent), Quartier Autres</t>
  </si>
  <si>
    <t>https://www.centris.ca/fr/maison~a-vendre~montreal-saint-laurent/10920039?view=Summary&amp;uc=131</t>
  </si>
  <si>
    <t xml:space="preserve">
3350, Rue Limoges, Montréal (Saint-Laurent), Quartier Saint-Laurent Nord</t>
  </si>
  <si>
    <t>https://www.centris.ca/fr/maison~a-vendre~montreal-saint-laurent/28637424?view=Summary&amp;uc=132</t>
  </si>
  <si>
    <t xml:space="preserve">
3905, Avenue Ernest-Hemingway, Montréal (Saint-Laurent), Quartier Nouveau Saint-Laurent/Bois-Franc</t>
  </si>
  <si>
    <t>https://www.centris.ca/fr/maison~a-vendre~montreal-saint-laurent/17170715?view=Summary&amp;uc=119</t>
  </si>
  <si>
    <t>https://www.centris.ca/fr/maison~a-vendre~laval-pont-viau/18606035?view=Summary&amp;uc=88</t>
  </si>
  <si>
    <t>26, Rue Alexandre, Laval (Pont-Viau)</t>
  </si>
  <si>
    <t>https://www.centris.ca/fr/condo~a-vendre~laval-pont-viau/20957454?view=Summary&amp;uc=87</t>
  </si>
  <si>
    <t>520, Place Juge-Desnoyers, app. PH1701, Laval (Pont-Viau)</t>
  </si>
  <si>
    <t>https://www.centris.ca/fr/condo~a-vendre~laval-pont-viau/10263187?view=Summary&amp;uc=86</t>
  </si>
  <si>
    <t>9, boulevard des Prairies, app. PH-6, Laval (Pont-Viau)</t>
  </si>
  <si>
    <t>https://www.centris.ca/fr/condo~a-vendre~laval-pont-viau/28633066?view=Summary&amp;uc=85</t>
  </si>
  <si>
    <t>9, boulevard des Prairies, app. PH5, Laval (Pont-Viau)</t>
  </si>
  <si>
    <t>https://www.centris.ca/fr/maison~a-vendre~laval-pont-viau/17680456?view=Summary&amp;uc=84</t>
  </si>
  <si>
    <t>366, boulevard Goineau, Laval (Pont-Viau)</t>
  </si>
  <si>
    <t>https://www.centris.ca/fr/maison~a-vendre~laval-pont-viau/21717375?view=Summary&amp;uc=83</t>
  </si>
  <si>
    <t>136, Rue Jubinville, Laval (Pont-Viau)</t>
  </si>
  <si>
    <t>https://www.centris.ca/fr/condo~a-vendre~laval-pont-viau/12877138?view=Summary&amp;uc=82</t>
  </si>
  <si>
    <t>9, boulevard des Prairies, app. 1011, Laval (Pont-Viau)</t>
  </si>
  <si>
    <t>https://www.centris.ca/fr/maison~a-vendre~laval-pont-viau/9530881?view=Summary&amp;uc=79</t>
  </si>
  <si>
    <t>588, boulevard Goineau, Laval (Pont-Viau)</t>
  </si>
  <si>
    <t>https://www.centris.ca/fr/duplex~a-vendre~laval-pont-viau/11887578?view=Summary&amp;uc=77</t>
  </si>
  <si>
    <t>488 - 490, Chemin de la Lorraine, Laval (Pont-Viau)</t>
  </si>
  <si>
    <t>https://www.centris.ca/fr/duplex~a-vendre~laval-pont-viau/24049977?view=Summary&amp;uc=76</t>
  </si>
  <si>
    <t>260A - 260, Rue Jubinville, Laval (Pont-Viau)</t>
  </si>
  <si>
    <t>https://www.centris.ca/fr/maison~a-vendre~laval-pont-viau/28572414?view=Summary&amp;uc=78</t>
  </si>
  <si>
    <t>176, Rue Dauphin, Laval (Pont-Viau)</t>
  </si>
  <si>
    <t>https://www.centris.ca/fr/maison~a-vendre~laval-pont-viau/17951387?view=Summary&amp;uc=77</t>
  </si>
  <si>
    <t>417, boulevard Goineau, Laval (Pont-Viau)</t>
  </si>
  <si>
    <t>https://www.centris.ca/fr/maison~a-vendre~laval-pont-viau/12138092?view=Summary&amp;uc=76</t>
  </si>
  <si>
    <t>676, Rue Lahaie, Laval (Pont-Viau)</t>
  </si>
  <si>
    <t>https://www.centris.ca/fr/maison~a-vendre~laval-pont-viau/11324462?view=Summary&amp;uc=75</t>
  </si>
  <si>
    <t>530, Rue Jubinville, Laval (Pont-Viau)</t>
  </si>
  <si>
    <t>https://www.centris.ca/fr/maison~a-vendre~laval-pont-viau/19028427?view=Summary&amp;uc=74</t>
  </si>
  <si>
    <t xml:space="preserve">
116, Rue Alexandre, Laval (Pont-Viau)</t>
  </si>
  <si>
    <t>https://www.centris.ca/fr/maison~a-vendre~laval-pont-viau/23737944?view=Summary&amp;uc=71</t>
  </si>
  <si>
    <t>150, Rue Jubinville, Laval (Pont-Viau)</t>
  </si>
  <si>
    <t>https://www.centris.ca/fr/condo~a-vendre~laval-pont-viau/27834583?view=Summary&amp;uc=68</t>
  </si>
  <si>
    <t>9, boulevard des Prairies, app. 510, Laval (Pont-Viau)</t>
  </si>
  <si>
    <t>https://www.centris.ca/fr/condo~a-vendre~laval-pont-viau/22810275?view=Summary&amp;uc=67</t>
  </si>
  <si>
    <t>222, boulevard Lévesque Est, app. 406, Laval (Pont-Viau)</t>
  </si>
  <si>
    <t>https://www.centris.ca/fr/condo~a-vendre~laval-pont-viau/18552827?view=Summary&amp;uc=65</t>
  </si>
  <si>
    <t>520, Place Juge-Desnoyers, app. 203, Laval (Pont-Viau)</t>
  </si>
  <si>
    <t>https://www.centris.ca/fr/maison~a-vendre~laval-laval-des-rapides/13899491?view=Summary&amp;uc=58</t>
  </si>
  <si>
    <t>309, boulevard Laval, Laval (Laval-des-Rapides)</t>
  </si>
  <si>
    <t>https://www.centris.ca/fr/maison~a-vendre~laval-laval-des-rapides/27338517?view=Summary&amp;uc=61</t>
  </si>
  <si>
    <t>11, Avenue Quintal, Laval (Laval-des-Rapides)</t>
  </si>
  <si>
    <t>https://www.centris.ca/fr/maison~a-vendre~laval-laval-des-rapides/24905984?view=Summary&amp;uc=56</t>
  </si>
  <si>
    <t xml:space="preserve">
9, Rue d'Aurillac, Laval (Laval-des-Rapides)</t>
  </si>
  <si>
    <t>https://www.centris.ca/fr/maison~a-vendre~laval-laval-des-rapides/24741711?view=Summary&amp;uc=55</t>
  </si>
  <si>
    <t>561, 2e Rue, Laval (Laval-des-Rapides)</t>
  </si>
  <si>
    <t>https://www.centris.ca/fr/condo~a-vendre~laval-laval-des-rapides/23219052?view=Summary&amp;uc=54</t>
  </si>
  <si>
    <t>121, Rue François-Souillard, app. 601, Laval (Laval-des-Rapides)</t>
  </si>
  <si>
    <t>https://www.centris.ca/fr/maison~a-vendre~laval-laval-des-rapides/19454925?view=Summary&amp;uc=53</t>
  </si>
  <si>
    <t>524, Rue de Marigny, Laval (Laval-des-Rapides)</t>
  </si>
  <si>
    <t>https://www.centris.ca/fr/maison~a-vendre~laval-laval-des-rapides/22206739?view=Summary&amp;uc=52</t>
  </si>
  <si>
    <t>539, 12e Avenue, Laval (Laval-des-Rapides)</t>
  </si>
  <si>
    <t>Maison à vendre à Laval (Laval-des-Rapides), Laval, 20, Avenue du Pacifique, 9056796 - Centris.ca</t>
  </si>
  <si>
    <t>20, Avenue du Pacifique, Laval (Laval-des-Rapides)</t>
  </si>
  <si>
    <t>https://www.centris.ca/fr/maison~a-vendre~laval-laval-des-rapides/18656111?view=Summary&amp;uc=50</t>
  </si>
  <si>
    <t>97, Rue Desrochers, Laval (Laval-des-Rapides)</t>
  </si>
  <si>
    <t>https://www.centris.ca/fr/condo~a-vendre~laval-laval-des-rapides/23129668?view=Summary&amp;uc=49</t>
  </si>
  <si>
    <t>510, boulevard des Prairies, app. 105, Laval (Laval-des-Rapides)</t>
  </si>
  <si>
    <t>https://www.centris.ca/fr/maison~a-vendre~laval-laval-des-rapides/18135051?view=Summary&amp;uc=48</t>
  </si>
  <si>
    <t>300, Avenue Brien, Laval (Laval-des-Rapides)</t>
  </si>
  <si>
    <t>https://www.centris.ca/fr/maison~a-vendre~laval-laval-des-rapides/17561273?view=Summary&amp;uc=47</t>
  </si>
  <si>
    <t>549, boulevard des Prairies, Laval (Laval-des-Rapides)</t>
  </si>
  <si>
    <t>https://www.centris.ca/fr/maison~a-vendre~laval-laval-des-rapides/9217231?view=Summary&amp;uc=45</t>
  </si>
  <si>
    <t>17, boulevard Daniel-Johnson, Laval (Laval-des-Rapides)</t>
  </si>
  <si>
    <t>https://www.centris.ca/fr/maison~a-vendre~laval-laval-des-rapides/21572444?view=Summary&amp;uc=43</t>
  </si>
  <si>
    <t>54, Place de Carillon, Laval (Laval-des-Rapides)</t>
  </si>
  <si>
    <t>https://www.centris.ca/fr/condo~a-vendre~laval-laval-des-rapides/28184918?view=Summary&amp;uc=35</t>
  </si>
  <si>
    <t>502, boulevard des Prairies, app. 503, Laval (Laval-des-Rapides)</t>
  </si>
  <si>
    <t>https://www.centris.ca/fr/maison~a-vendre~laval-laval-des-rapides/19924346?view=Summary&amp;uc=34</t>
  </si>
  <si>
    <t>700, Rue Odette-Oligny, Laval (Laval-des-Rapides)</t>
  </si>
  <si>
    <t>https://www.centris.ca/fr/maison~a-vendre~laval-laval-des-rapides/20955675?view=Summary&amp;uc=33</t>
  </si>
  <si>
    <t>105, 5e Rue, Laval (Laval-des-Rapides)</t>
  </si>
  <si>
    <t>https://www.centris.ca/fr/maison~a-vendre~laval-laval-des-rapides/13757387?view=Summary&amp;uc=32</t>
  </si>
  <si>
    <t>23, Avenue de l'Étoile, Laval (Laval-des-Rapides)</t>
  </si>
  <si>
    <t>https://www.centris.ca/fr/condo~a-vendre~laval-laval-des-rapides/15125104?view=Summary&amp;uc=29</t>
  </si>
  <si>
    <t>1675, boulevard du Souvenir, app. 205, Laval (Laval-des-Rapides)</t>
  </si>
  <si>
    <t>https://www.centris.ca/fr/condo~a-vendre~laval-laval-des-rapides/28070465?view=Summary&amp;uc=27</t>
  </si>
  <si>
    <t>1440, Rue Lucien-Paiement, app. 801, Laval (Laval-des-Rapides)</t>
  </si>
  <si>
    <t>https://www.centris.ca/fr/maison~a-vendre~laval-laval-des-rapides/17692301?view=Summary&amp;uc=26</t>
  </si>
  <si>
    <t xml:space="preserve">
276, Avenue Bazin, Laval (Laval-des-Rapides)</t>
  </si>
  <si>
    <t>https://www.centris.ca/fr/condo~a-vendre~laval-laval-des-rapides/12496129?view=Summary&amp;uc=25</t>
  </si>
  <si>
    <t>708, Avenue Ampère, app. 7, Laval (Laval-des-Rapides)</t>
  </si>
  <si>
    <t>https://www.centris.ca/fr/condo~a-vendre~laval-laval-des-rapides/24293420?view=Summary&amp;uc=21</t>
  </si>
  <si>
    <t>https://www.centris.ca/fr/condo~a-vendre~laval-laval-des-rapides/11568179?view=Summary&amp;uc=20</t>
  </si>
  <si>
    <t>1420, Rue Lucien-Paiement, app. 511, Laval (Laval-des-Rapides)</t>
  </si>
  <si>
    <t>https://www.centris.ca/fr/maison~a-vendre~laval-laval-des-rapides/17590108?view=Summary&amp;uc=19</t>
  </si>
  <si>
    <t>116, Avenue de l'Étoile, Laval (Laval-des-Rapides)</t>
  </si>
  <si>
    <t>https://www.centris.ca/fr/condo~a-vendre~laval-laval-des-rapides/25756353?view=Summary&amp;uc=18</t>
  </si>
  <si>
    <t xml:space="preserve">
1400, Rue Lucien-Paiement, app. 516, Laval (Laval-des-Rapides)</t>
  </si>
  <si>
    <t>https://www.centris.ca/fr/condo~a-vendre~laval-laval-des-rapides/21989497?view=Summary&amp;uc=17</t>
  </si>
  <si>
    <t xml:space="preserve">
1465, boulevard Le Corbusier, app. 305, Laval (Laval-des-Rapides)</t>
  </si>
  <si>
    <t>https://www.centris.ca/fr/condo~a-vendre~laval-laval-des-rapides/13412416?view=Summary&amp;uc=15</t>
  </si>
  <si>
    <t>1925, Rue Émile-Martineau, app. 109, Laval (Laval-des-Rapides)</t>
  </si>
  <si>
    <t>https://www.centris.ca/fr/condo~a-vendre~laval-laval-des-rapides/28875726?view=Summary&amp;uc=13</t>
  </si>
  <si>
    <t>28C, Avenue Laval, Laval (Laval-des-Rapides)</t>
  </si>
  <si>
    <t>https://www.centris.ca/fr/condo~a-vendre~laval-laval-des-rapides/20068258?view=Summary&amp;uc=11</t>
  </si>
  <si>
    <t>627, Rue Robert-Élie, app. 405, Laval (Laval-des-Rapides)</t>
  </si>
  <si>
    <t>https://www.centris.ca/fr/condo~a-vendre~laval-laval-des-rapides/16735600?view=Summary&amp;uc=10</t>
  </si>
  <si>
    <t>627, Rue Robert-Élie, app. 306, Laval (Laval-des-Rapides)</t>
  </si>
  <si>
    <t>https://www.centris.ca/fr/condo~a-vendre~laval-laval-des-rapides/23072616?view=Summary&amp;uc=9</t>
  </si>
  <si>
    <t>1900, boulevard du Souvenir, app. 410, Laval (Laval-des-Rapides)</t>
  </si>
  <si>
    <t>https://www.centris.ca/fr/condo~a-vendre~laval-laval-des-rapides/16578766?view=Summary</t>
  </si>
  <si>
    <t>1900, Rue Émile-Martineau, app. 1007, Laval (Laval-des-Rapides)</t>
  </si>
  <si>
    <t>https://www.centris.ca/fr/condo~a-vendre~laval-laval-des-rapides/18018378?view=Summary&amp;uc=296</t>
  </si>
  <si>
    <t>1925, Rue Émile-Martineau, app. 509, Laval (Laval-des-Rapides)</t>
  </si>
  <si>
    <t>https://www.centris.ca/fr/condo~a-vendre~laval-laval-des-rapides/26999814?view=Summary&amp;uc=291</t>
  </si>
  <si>
    <t>1665, boulevard du Souvenir, app. 301, Laval (Laval-des-Rapides)</t>
  </si>
  <si>
    <t>https://www.centris.ca/fr/condo~a-vendre~laval-laval-des-rapides/26257590?view=Summary&amp;uc=289</t>
  </si>
  <si>
    <t>141, Rue François-Souillard, app. 309, Laval (Laval-des-Rapides)</t>
  </si>
  <si>
    <t>https://www.centris.ca/fr/condo~a-vendre~laval-laval-des-rapides/25998130?view=Summary&amp;uc=286</t>
  </si>
  <si>
    <t>121, Rue François-Souillard, app. 108, Laval (Laval-des-Rapides)</t>
  </si>
  <si>
    <t>https://www.centris.ca/fr/condo~a-vendre~laval-laval-des-rapides/25056897?view=Summary&amp;uc=284</t>
  </si>
  <si>
    <t>131, Rue François-Souillard, app. 409, Laval (Laval-des-Rapides)</t>
  </si>
  <si>
    <t>https://www.centris.ca/fr/condo~a-vendre~laval-laval-des-rapides/12198615?view=Summary&amp;uc=281</t>
  </si>
  <si>
    <t>732, Avenue Ampère, app. 34, Laval (Laval-des-Rapides)</t>
  </si>
  <si>
    <t>https://www.centris.ca/fr/condo~a-vendre~laval-laval-des-rapides/21796066?view=Summary&amp;uc=279</t>
  </si>
  <si>
    <t>732, Avenue Ampère, app. 32, Laval (Laval-des-Rapides)</t>
  </si>
  <si>
    <t>https://www.centris.ca/fr/condo~a-vendre~laval-laval-des-rapides/12364860?view=Summary&amp;uc=278</t>
  </si>
  <si>
    <t>276, boulevard Cartier Ouest, app. 404, Laval (Laval-des-Rapides)</t>
  </si>
  <si>
    <t>https://duproprio.com/fr/laval/pont-viau/condo-a-vendre/hab-ph06-9-boulevard-des-prairies-1066467#description</t>
  </si>
  <si>
    <t>duproprio</t>
  </si>
  <si>
    <t>ph06-9, boulevard des Prairies Pont-Viau</t>
  </si>
  <si>
    <t>https://duproprio.com/fr/laval/pont-viau/quadruplex-a-vendre/hab-1065-rue-patenaude-1003730#description</t>
  </si>
  <si>
    <t>1065, rue Patenaude Pont-Viau</t>
  </si>
  <si>
    <t>https://duproprio.com/fr/laval/pont-viau/bi-generation-a-vendre/hab-136-rue-jubinville-1069380#description</t>
  </si>
  <si>
    <t>136, rue Jubinville Pont-Viau</t>
  </si>
  <si>
    <t>https://duproprio.com/fr/laval/pont-viau/quadruplex-a-vendre/hab-657-rue-cousineau-1043958#description</t>
  </si>
  <si>
    <t>657, rue Cousineau Pont-Viau</t>
  </si>
  <si>
    <t>https://duproprio.com/fr/laval/pont-viau/quadruplex-a-vendre/hab-65-rue-proulx-est-1067934#description</t>
  </si>
  <si>
    <t>65, rue Proulx Est Pont-Viau</t>
  </si>
  <si>
    <t>https://duproprio.com/fr/laval/pont-viau/bungalow-a-vendre/hab-319-rue-alexandre-1009301#description</t>
  </si>
  <si>
    <t>319, rue Alexandre Pont-Viau</t>
  </si>
  <si>
    <t>https://duproprio.com/fr/laval/pont-viau/condo-a-vendre/hab-204-600-place-juge-desnoyers-1056229#description</t>
  </si>
  <si>
    <t>204-600, place Juge Desnoyers
Pont-Viau</t>
  </si>
  <si>
    <t>https://www.centris.ca/fr/condo~a-vendre~laval-pont-viau/10263187?view=Summary&amp;uc=279</t>
  </si>
  <si>
    <t>https://www.centris.ca/fr/condo~a-vendre~laval-pont-viau/12877138?view=Summary&amp;uc=278</t>
  </si>
  <si>
    <r>
      <rPr>
        <u/>
        <sz val="10"/>
        <color rgb="FF1155CC"/>
        <rFont val="Arial"/>
        <family val="2"/>
      </rPr>
      <t>https://www.centris.ca/en/condominium-houses</t>
    </r>
    <r>
      <rPr>
        <sz val="10"/>
        <color rgb="FF000000"/>
        <rFont val="Calibri"/>
        <family val="2"/>
        <scheme val="minor"/>
      </rPr>
      <t>s~for-sale~montreal-lachine/23949899?view=Summary&amp;uc=73</t>
    </r>
  </si>
  <si>
    <r>
      <rPr>
        <u/>
        <sz val="10"/>
        <color rgb="FF1155CC"/>
        <rFont val="Arial"/>
        <family val="2"/>
      </rPr>
      <t>https://www.centris.ca/fr/condo</t>
    </r>
    <r>
      <rPr>
        <sz val="10"/>
        <color rgb="FF000000"/>
        <rFont val="Calibri"/>
        <family val="2"/>
        <scheme val="minor"/>
      </rPr>
      <t>o~a-vendre~montreal-lasalle/18944950?view=Summary&amp;uc=44</t>
    </r>
  </si>
  <si>
    <t>name</t>
  </si>
  <si>
    <t>area</t>
  </si>
  <si>
    <t>year</t>
  </si>
  <si>
    <t>lot_area</t>
  </si>
  <si>
    <t>living_area</t>
  </si>
  <si>
    <t>floors</t>
  </si>
  <si>
    <t>bedroom</t>
  </si>
  <si>
    <t>bathroom</t>
  </si>
  <si>
    <t>rooms_total</t>
  </si>
  <si>
    <t>link</t>
  </si>
  <si>
    <t>price</t>
  </si>
  <si>
    <t>condo_fees_tax</t>
  </si>
  <si>
    <t>condo_fees_hyp</t>
  </si>
  <si>
    <t>mortgage_monthly</t>
  </si>
  <si>
    <t>heat_ref_monthly</t>
  </si>
  <si>
    <t>total_month_fees</t>
  </si>
  <si>
    <t>total_price</t>
  </si>
  <si>
    <t>price_date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</si>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</sst>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_ * #,##0_)_ ;_ * \(#,##0\)_ ;_ * &quot;-&quot;??_)_ ;_ @_ "/>
    <numFmt numFmtId="165" formatCode="#,##0\ [$]"/>
    <numFmt numFmtId="166" formatCode="yyyy\-mm\-dd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1" applyFont="1"/>
    <xf numFmtId="166" fontId="2" fillId="0" borderId="0" xfId="1" applyNumberFormat="1" applyFont="1"/>
    <xf numFmtId="1" fontId="2" fillId="0" borderId="0" xfId="1" applyNumberFormat="1" applyFont="1"/>
    <xf numFmtId="164" fontId="0" fillId="0" borderId="0" xfId="2" applyNumberFormat="1" applyFont="1"/>
    <xf numFmtId="0" fontId="5" fillId="0" borderId="0" xfId="3"/>
    <xf numFmtId="0" fontId="1" fillId="0" borderId="0" xfId="1" applyAlignment="1">
      <alignment wrapText="1"/>
    </xf>
    <xf numFmtId="1" fontId="1" fillId="0" borderId="0" xfId="1" applyNumberFormat="1"/>
    <xf numFmtId="164" fontId="2" fillId="0" borderId="0" xfId="2" applyNumberFormat="1" applyFont="1"/>
    <xf numFmtId="14" fontId="1" fillId="0" borderId="0" xfId="1" applyNumberFormat="1"/>
    <xf numFmtId="9" fontId="5" fillId="0" borderId="0" xfId="3" applyNumberFormat="1"/>
    <xf numFmtId="164" fontId="1" fillId="0" borderId="0" xfId="1" applyNumberFormat="1"/>
    <xf numFmtId="0" fontId="6" fillId="0" borderId="0" xfId="1" applyFont="1" applyAlignment="1">
      <alignment horizontal="left" vertical="center" wrapText="1"/>
    </xf>
    <xf numFmtId="0" fontId="1" fillId="0" borderId="0" xfId="1" applyAlignment="1">
      <alignment horizontal="left"/>
    </xf>
    <xf numFmtId="0" fontId="5" fillId="0" borderId="0" xfId="3" applyFill="1"/>
    <xf numFmtId="164" fontId="0" fillId="0" borderId="0" xfId="2" applyNumberFormat="1" applyFont="1" applyFill="1"/>
    <xf numFmtId="164" fontId="2" fillId="0" borderId="0" xfId="2" applyNumberFormat="1" applyFont="1" applyFill="1"/>
  </cellXfs>
  <cellStyles count="4">
    <cellStyle name="Lien hypertexte 2" xfId="3" xr:uid="{861082E8-6F2A-45CF-8179-F5921B5D94F1}"/>
    <cellStyle name="Milliers 2" xfId="2" xr:uid="{27D84465-0887-4B77-80E0-3D59D7B2011F}"/>
    <cellStyle name="Normal" xfId="0" builtinId="0"/>
    <cellStyle name="Normal 2" xfId="1" xr:uid="{38E1AE24-C12C-4141-8C27-D09C13BC1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entris.ca/fr/condo~a-vendre~montreal-lachine/17413007?view=Summary&amp;uc=42" TargetMode="External"/><Relationship Id="rId671" Type="http://schemas.openxmlformats.org/officeDocument/2006/relationships/hyperlink" Target="https://www.centris.ca/fr/condo~a-vendre~laval-pont-viau/12877138?view=Summary&amp;uc=278" TargetMode="External"/><Relationship Id="rId769" Type="http://schemas.openxmlformats.org/officeDocument/2006/relationships/hyperlink" Target="https://www.centris.ca/fr/condo~a-vendre~montreal-saint-laurent/11394319?view=Summary&amp;uc=382" TargetMode="External"/><Relationship Id="rId21" Type="http://schemas.openxmlformats.org/officeDocument/2006/relationships/hyperlink" Target="https://www.centris.ca/en/condos~for-sale~montreal-verdun-ile-des-soeurs/16611165?view=Summary&amp;uc=10" TargetMode="External"/><Relationship Id="rId324" Type="http://schemas.openxmlformats.org/officeDocument/2006/relationships/hyperlink" Target="https://www.centris.ca/fr/maison~a-vendre~laval-duvernay/10721324?view=Summary&amp;uc=174" TargetMode="External"/><Relationship Id="rId531" Type="http://schemas.openxmlformats.org/officeDocument/2006/relationships/hyperlink" Target="https://www.centris.ca/fr/maison-en-copropriete~a-vendre~laval-chomedey/22539821?view=Summary&amp;uc=334" TargetMode="External"/><Relationship Id="rId629" Type="http://schemas.openxmlformats.org/officeDocument/2006/relationships/hyperlink" Target="https://www.centris.ca/fr/condo~a-vendre~laval-chomedey/14964626?view=Summary&amp;uc=231" TargetMode="External"/><Relationship Id="rId170" Type="http://schemas.openxmlformats.org/officeDocument/2006/relationships/hyperlink" Target="https://www.centris.ca/fr/condo~a-vendre~laval-chomedey/22396675?view=Summary&amp;uc=67" TargetMode="External"/><Relationship Id="rId836" Type="http://schemas.openxmlformats.org/officeDocument/2006/relationships/hyperlink" Target="https://www.centris.ca/fr/maison~a-vendre~montreal-saint-laurent/14373374?view=Summary&amp;uc=99" TargetMode="External"/><Relationship Id="rId268" Type="http://schemas.openxmlformats.org/officeDocument/2006/relationships/hyperlink" Target="https://www.centris.ca/fr/maison~a-vendre~laval-sainte-dorothee/25804802?view=Summary&amp;uc=175" TargetMode="External"/><Relationship Id="rId475" Type="http://schemas.openxmlformats.org/officeDocument/2006/relationships/hyperlink" Target="https://www.centris.ca/fr/condo~a-vendre~montreal-verdun-ile-des-soeurs/18947261?view=Summary&amp;uc=239" TargetMode="External"/><Relationship Id="rId682" Type="http://schemas.openxmlformats.org/officeDocument/2006/relationships/hyperlink" Target="https://www.centris.ca/fr/condo~a-vendre~laval-laval-des-rapides/12198615?view=Summary&amp;uc=281" TargetMode="External"/><Relationship Id="rId32" Type="http://schemas.openxmlformats.org/officeDocument/2006/relationships/hyperlink" Target="https://www.centris.ca/en/condos~for-sale~montreal-lasalle/25894066?view=Summary&amp;uc=22" TargetMode="External"/><Relationship Id="rId128" Type="http://schemas.openxmlformats.org/officeDocument/2006/relationships/hyperlink" Target="https://www.centris.ca/fr/condo~a-vendre~montreal-lachine/21108559?view=Summary&amp;uc=35" TargetMode="External"/><Relationship Id="rId335" Type="http://schemas.openxmlformats.org/officeDocument/2006/relationships/hyperlink" Target="https://www.centris.ca/fr/condo~a-vendre~laval-fabreville/15096323?view=Summary&amp;uc=189" TargetMode="External"/><Relationship Id="rId542" Type="http://schemas.openxmlformats.org/officeDocument/2006/relationships/hyperlink" Target="https://www.centris.ca/fr/maison-en-copropriete~a-vendre~laval-chomedey/22658487?view=Summary&amp;uc=347" TargetMode="External"/><Relationship Id="rId181" Type="http://schemas.openxmlformats.org/officeDocument/2006/relationships/hyperlink" Target="https://www.centris.ca/fr/condo~a-vendre~laval-chomedey/25005168?view=Summary&amp;uc=82" TargetMode="External"/><Relationship Id="rId402" Type="http://schemas.openxmlformats.org/officeDocument/2006/relationships/hyperlink" Target="https://www.centris.ca/en/houses~for-sale~montreal-lachine/19609473?view=Summary&amp;uc=58" TargetMode="External"/><Relationship Id="rId847" Type="http://schemas.openxmlformats.org/officeDocument/2006/relationships/hyperlink" Target="https://www.centris.ca/fr/maison~a-vendre~montreal-saint-laurent/19602087?view=Summary&amp;uc=114" TargetMode="External"/><Relationship Id="rId279" Type="http://schemas.openxmlformats.org/officeDocument/2006/relationships/hyperlink" Target="https://www.centris.ca/fr/maison~a-vendre~laval-pont-viau/21728947?view=Summary&amp;uc=125" TargetMode="External"/><Relationship Id="rId486" Type="http://schemas.openxmlformats.org/officeDocument/2006/relationships/hyperlink" Target="https://www.centris.ca/fr/condo~a-vendre~montreal-verdun-ile-des-soeurs/27618828?view=Summary&amp;uc=257" TargetMode="External"/><Relationship Id="rId693" Type="http://schemas.openxmlformats.org/officeDocument/2006/relationships/hyperlink" Target="https://www.centris.ca/fr/condo~a-vendre~laval-laval-des-rapides/13412416?view=Summary&amp;uc=15" TargetMode="External"/><Relationship Id="rId707" Type="http://schemas.openxmlformats.org/officeDocument/2006/relationships/hyperlink" Target="https://www.centris.ca/fr/maison~a-vendre~laval-laval-des-rapides/21572444?view=Summary&amp;uc=43" TargetMode="External"/><Relationship Id="rId43" Type="http://schemas.openxmlformats.org/officeDocument/2006/relationships/hyperlink" Target="https://www.centris.ca/en/condos~for-sale~montreal-lasalle/25677273?view=Summary&amp;uc=39" TargetMode="External"/><Relationship Id="rId139" Type="http://schemas.openxmlformats.org/officeDocument/2006/relationships/hyperlink" Target="https://www.centris.ca/fr/condo~a-vendre~montreal-lachine/24182548?view=Summary&amp;uc=50" TargetMode="External"/><Relationship Id="rId346" Type="http://schemas.openxmlformats.org/officeDocument/2006/relationships/hyperlink" Target="https://www.centris.ca/fr/maison~a-vendre~laval-fabreville/24900415?view=Summary&amp;uc=210" TargetMode="External"/><Relationship Id="rId553" Type="http://schemas.openxmlformats.org/officeDocument/2006/relationships/hyperlink" Target="https://www.centris.ca/fr/condo~a-vendre~laval-laval-des-rapides/24016077?view=Summary&amp;uc=255" TargetMode="External"/><Relationship Id="rId760" Type="http://schemas.openxmlformats.org/officeDocument/2006/relationships/hyperlink" Target="https://www.centris.ca/fr/condo~a-vendre~montreal-saint-laurent/19756579?view=Summary&amp;uc=372" TargetMode="External"/><Relationship Id="rId192" Type="http://schemas.openxmlformats.org/officeDocument/2006/relationships/hyperlink" Target="https://www.centris.ca/fr/condo~a-vendre~laval-chomedey/11987847?view=Summary&amp;uc=94" TargetMode="External"/><Relationship Id="rId206" Type="http://schemas.openxmlformats.org/officeDocument/2006/relationships/hyperlink" Target="https://www.centris.ca/fr/condo~a-vendre~laval-chomedey/28311701?view=Summary&amp;uc=114" TargetMode="External"/><Relationship Id="rId413" Type="http://schemas.openxmlformats.org/officeDocument/2006/relationships/hyperlink" Target="https://www.centris.ca/en/houses~for-sale~montreal-lachine/19352931?view=Summary&amp;uc=57" TargetMode="External"/><Relationship Id="rId858" Type="http://schemas.openxmlformats.org/officeDocument/2006/relationships/hyperlink" Target="https://www.centris.ca/fr/maison~a-vendre~montreal-saint-laurent/28637424?view=Summary&amp;uc=132" TargetMode="External"/><Relationship Id="rId497" Type="http://schemas.openxmlformats.org/officeDocument/2006/relationships/hyperlink" Target="https://www.centris.ca/fr/condo~a-vendre~montreal-verdun-ile-des-soeurs/11146141?view=Summary&amp;uc=270" TargetMode="External"/><Relationship Id="rId620" Type="http://schemas.openxmlformats.org/officeDocument/2006/relationships/hyperlink" Target="https://www.centris.ca/fr/condo~a-vendre~laval-chomedey/22086882?view=Summary&amp;uc=218" TargetMode="External"/><Relationship Id="rId718" Type="http://schemas.openxmlformats.org/officeDocument/2006/relationships/hyperlink" Target="https://www.centris.ca/fr/maison~a-vendre~laval-laval-des-rapides/24905984?view=Summary&amp;uc=56" TargetMode="External"/><Relationship Id="rId357" Type="http://schemas.openxmlformats.org/officeDocument/2006/relationships/hyperlink" Target="https://www.centris.ca/fr/maison~a-vendre~laval-fabreville/26532970?view=Summary&amp;uc=187" TargetMode="External"/><Relationship Id="rId54" Type="http://schemas.openxmlformats.org/officeDocument/2006/relationships/hyperlink" Target="https://www.centris.ca/fr/condo~a-vendre~montreal-lasalle/21437409?view=Summary&amp;uc=20" TargetMode="External"/><Relationship Id="rId217" Type="http://schemas.openxmlformats.org/officeDocument/2006/relationships/hyperlink" Target="https://www.centris.ca/fr/condo~a-vendre~laval-chomedey/16133752?view=Summary&amp;uc=130" TargetMode="External"/><Relationship Id="rId564" Type="http://schemas.openxmlformats.org/officeDocument/2006/relationships/hyperlink" Target="https://www.centris.ca/fr/condo~a-vendre~laval-laval-des-rapides/21611581?view=Summary&amp;uc=262" TargetMode="External"/><Relationship Id="rId771" Type="http://schemas.openxmlformats.org/officeDocument/2006/relationships/hyperlink" Target="https://www.centris.ca/fr/condo~a-vendre~montreal-saint-laurent/10406632?view=Summary&amp;uc=384" TargetMode="External"/><Relationship Id="rId424" Type="http://schemas.openxmlformats.org/officeDocument/2006/relationships/hyperlink" Target="https://www.centris.ca/en/triplexes~for-sale~montreal-lachine/26579364?view=Summary&amp;uc=72" TargetMode="External"/><Relationship Id="rId631" Type="http://schemas.openxmlformats.org/officeDocument/2006/relationships/hyperlink" Target="https://www.centris.ca/fr/condo~a-vendre~laval-chomedey/16632812?view=Summary&amp;uc=235" TargetMode="External"/><Relationship Id="rId729" Type="http://schemas.openxmlformats.org/officeDocument/2006/relationships/hyperlink" Target="https://www.centris.ca/fr/maison~a-vendre~laval-pont-viau/28572414?view=Summary&amp;uc=78" TargetMode="External"/><Relationship Id="rId270" Type="http://schemas.openxmlformats.org/officeDocument/2006/relationships/hyperlink" Target="https://www.centris.ca/fr/maison~a-vendre~laval-sainte-dorothee/23085549?view=Summary&amp;uc=177" TargetMode="External"/><Relationship Id="rId65" Type="http://schemas.openxmlformats.org/officeDocument/2006/relationships/hyperlink" Target="https://www.centris.ca/fr/condo~a-vendre~montreal-lasalle/21734507?view=Summary&amp;uc=35" TargetMode="External"/><Relationship Id="rId130" Type="http://schemas.openxmlformats.org/officeDocument/2006/relationships/hyperlink" Target="https://www.centris.ca/fr/condo~a-vendre~montreal-lachine/18589558?view=Summary&amp;uc=37" TargetMode="External"/><Relationship Id="rId368" Type="http://schemas.openxmlformats.org/officeDocument/2006/relationships/hyperlink" Target="https://www.centris.ca/en/condos~for-sale~brossard/15315365?view=Summary&amp;uc=30" TargetMode="External"/><Relationship Id="rId575" Type="http://schemas.openxmlformats.org/officeDocument/2006/relationships/hyperlink" Target="https://www.centris.ca/fr/condo~a-vendre~laval-duvernay/21261170?view=Summary&amp;uc=283" TargetMode="External"/><Relationship Id="rId782" Type="http://schemas.openxmlformats.org/officeDocument/2006/relationships/hyperlink" Target="https://www.centris.ca/fr/condo~a-vendre~montreal-saint-laurent/16912935?view=Summary&amp;uc=91" TargetMode="External"/><Relationship Id="rId228" Type="http://schemas.openxmlformats.org/officeDocument/2006/relationships/hyperlink" Target="https://www.centris.ca/fr/condo~a-vendre~laval-chomedey/17178026?view=Summary&amp;uc=146" TargetMode="External"/><Relationship Id="rId435" Type="http://schemas.openxmlformats.org/officeDocument/2006/relationships/hyperlink" Target="https://www.centris.ca/en/condos~for-sale~montreal-verdun-ile-des-soeurs/10385380?view=Summary&amp;uc=86" TargetMode="External"/><Relationship Id="rId642" Type="http://schemas.openxmlformats.org/officeDocument/2006/relationships/hyperlink" Target="https://www.centris.ca/fr/condo~a-vendre~laval-chomedey/28679655?view=Summary&amp;uc=228" TargetMode="External"/><Relationship Id="rId281" Type="http://schemas.openxmlformats.org/officeDocument/2006/relationships/hyperlink" Target="https://www.centris.ca/fr/maison~a-vendre~laval-pont-viau/15378682?view=Summary&amp;uc=128" TargetMode="External"/><Relationship Id="rId502" Type="http://schemas.openxmlformats.org/officeDocument/2006/relationships/hyperlink" Target="https://www.centris.ca/fr/condo~a-vendre~laval-chomedey/26853427?view=Summary&amp;uc=294" TargetMode="External"/><Relationship Id="rId76" Type="http://schemas.openxmlformats.org/officeDocument/2006/relationships/hyperlink" Target="https://www.centris.ca/fr/condo~a-vendre~montreal-lasalle/23122070?view=Summary&amp;uc=25" TargetMode="External"/><Relationship Id="rId141" Type="http://schemas.openxmlformats.org/officeDocument/2006/relationships/hyperlink" Target="https://www.centris.ca/fr/maison~a-vendre~montreal-lachine/23552055?view=Summary&amp;uc=53" TargetMode="External"/><Relationship Id="rId379" Type="http://schemas.openxmlformats.org/officeDocument/2006/relationships/hyperlink" Target="https://www.centris.ca/en/condos~for-sale~brossard/26832142?view=Summary&amp;uc=44" TargetMode="External"/><Relationship Id="rId586" Type="http://schemas.openxmlformats.org/officeDocument/2006/relationships/hyperlink" Target="https://www.centris.ca/fr/maison-en-copropriete~a-vendre~laval-duvernay/13837541?view=Summary&amp;uc=317" TargetMode="External"/><Relationship Id="rId793" Type="http://schemas.openxmlformats.org/officeDocument/2006/relationships/hyperlink" Target="https://www.centris.ca/fr/condo~a-vendre~montreal-saint-laurent/27764725?view=Summary&amp;uc=101" TargetMode="External"/><Relationship Id="rId807" Type="http://schemas.openxmlformats.org/officeDocument/2006/relationships/hyperlink" Target="https://www.centris.ca/fr/condo~a-vendre~montreal-saint-laurent/14467876?view=Summary&amp;uc=117" TargetMode="External"/><Relationship Id="rId7" Type="http://schemas.openxmlformats.org/officeDocument/2006/relationships/hyperlink" Target="https://www.centris.ca/en/condos~for-sale~montreal-verdun-ile-des-soeurs/19213959?view=Summary&amp;uc=9" TargetMode="External"/><Relationship Id="rId239" Type="http://schemas.openxmlformats.org/officeDocument/2006/relationships/hyperlink" Target="https://www.centris.ca/fr/condo~a-vendre~laval-laval-des-rapides/25483576?view=Summary&amp;uc=131" TargetMode="External"/><Relationship Id="rId446" Type="http://schemas.openxmlformats.org/officeDocument/2006/relationships/hyperlink" Target="https://www.centris.ca/en/condos~for-sale~montreal-verdun-ile-des-soeurs/18800864?view=Summary&amp;uc=99" TargetMode="External"/><Relationship Id="rId653" Type="http://schemas.openxmlformats.org/officeDocument/2006/relationships/hyperlink" Target="https://www.centris.ca/fr/condo~a-vendre~laval-chomedey/21013338?view=Summary&amp;uc=256" TargetMode="External"/><Relationship Id="rId292" Type="http://schemas.openxmlformats.org/officeDocument/2006/relationships/hyperlink" Target="https://www.centris.ca/fr/condo~a-vendre~laval-duvernay/23629715?view=Summary&amp;uc=145" TargetMode="External"/><Relationship Id="rId306" Type="http://schemas.openxmlformats.org/officeDocument/2006/relationships/hyperlink" Target="https://www.centris.ca/fr/maison~a-vendre~laval-duvernay/28989328?view=Summary&amp;uc=150" TargetMode="External"/><Relationship Id="rId860" Type="http://schemas.openxmlformats.org/officeDocument/2006/relationships/printerSettings" Target="../printerSettings/printerSettings1.bin"/><Relationship Id="rId87" Type="http://schemas.openxmlformats.org/officeDocument/2006/relationships/hyperlink" Target="https://www.centris.ca/fr/condo~a-vendre~montreal-lasalle/12903387?view=Summary&amp;uc=47" TargetMode="External"/><Relationship Id="rId513" Type="http://schemas.openxmlformats.org/officeDocument/2006/relationships/hyperlink" Target="https://www.centris.ca/fr/condo~a-vendre~laval-chomedey/27132636?view=Summary&amp;uc=312" TargetMode="External"/><Relationship Id="rId597" Type="http://schemas.openxmlformats.org/officeDocument/2006/relationships/hyperlink" Target="https://www.centris.ca/fr/condo~a-vendre~laval-sainte-dorothee/12340174?view=Summary&amp;uc=213" TargetMode="External"/><Relationship Id="rId720" Type="http://schemas.openxmlformats.org/officeDocument/2006/relationships/hyperlink" Target="https://www.centris.ca/fr/maison~a-vendre~laval-laval-des-rapides/13899491?view=Summary&amp;uc=58" TargetMode="External"/><Relationship Id="rId818" Type="http://schemas.openxmlformats.org/officeDocument/2006/relationships/hyperlink" Target="https://www.centris.ca/fr/duplex~a-vendre~montreal-saint-laurent/19027605?view=Summary&amp;uc=108" TargetMode="External"/><Relationship Id="rId152" Type="http://schemas.openxmlformats.org/officeDocument/2006/relationships/hyperlink" Target="https://www.centris.ca/fr/maison-en-copropriete~a-vendre~montreal-lachine/12721226?view=Summary&amp;uc=46" TargetMode="External"/><Relationship Id="rId457" Type="http://schemas.openxmlformats.org/officeDocument/2006/relationships/hyperlink" Target="https://www.centris.ca/en/triplexes~for-sale~montreal-verdun-ile-des-soeurs/25516897?view=Summary&amp;uc=93" TargetMode="External"/><Relationship Id="rId664" Type="http://schemas.openxmlformats.org/officeDocument/2006/relationships/hyperlink" Target="https://www.centris.ca/fr/condo~a-vendre~laval-chomedey/19746401?view=Summary&amp;uc=272" TargetMode="External"/><Relationship Id="rId14" Type="http://schemas.openxmlformats.org/officeDocument/2006/relationships/hyperlink" Target="https://www.centris.ca/en/condos~for-sale~montreal-verdun-ile-des-soeurs/24034004?view=Summary&amp;uc=22" TargetMode="External"/><Relationship Id="rId317" Type="http://schemas.openxmlformats.org/officeDocument/2006/relationships/hyperlink" Target="https://www.centris.ca/fr/condo~a-vendre~laval-duvernay/20624080?view=Summary&amp;uc=165" TargetMode="External"/><Relationship Id="rId524" Type="http://schemas.openxmlformats.org/officeDocument/2006/relationships/hyperlink" Target="https://www.centris.ca/fr/condo~a-vendre~laval-chomedey/23259407?view=Summary&amp;uc=327" TargetMode="External"/><Relationship Id="rId731" Type="http://schemas.openxmlformats.org/officeDocument/2006/relationships/hyperlink" Target="https://www.centris.ca/fr/duplex~a-vendre~laval-pont-viau/11887578?view=Summary&amp;uc=77" TargetMode="External"/><Relationship Id="rId98" Type="http://schemas.openxmlformats.org/officeDocument/2006/relationships/hyperlink" Target="https://www.centris.ca/fr/condo~a-vendre~montreal-lasalle/25428722?view=Summary&amp;uc=43" TargetMode="External"/><Relationship Id="rId163" Type="http://schemas.openxmlformats.org/officeDocument/2006/relationships/hyperlink" Target="https://www.centris.ca/fr/condo~a-vendre~laval-chomedey/17178026?view=Summary&amp;uc=59" TargetMode="External"/><Relationship Id="rId370" Type="http://schemas.openxmlformats.org/officeDocument/2006/relationships/hyperlink" Target="https://www.centris.ca/en/condos~for-sale~brossard/17256545?view=Summary&amp;uc=34" TargetMode="External"/><Relationship Id="rId829" Type="http://schemas.openxmlformats.org/officeDocument/2006/relationships/hyperlink" Target="https://www.centris.ca/fr/condo~a-vendre~montreal-saint-laurent/20127235?view=Summary&amp;uc=123" TargetMode="External"/><Relationship Id="rId230" Type="http://schemas.openxmlformats.org/officeDocument/2006/relationships/hyperlink" Target="https://www.centris.ca/fr/condo~a-vendre~laval-laval-des-rapides/28489491?view=Summary&amp;uc=112" TargetMode="External"/><Relationship Id="rId468" Type="http://schemas.openxmlformats.org/officeDocument/2006/relationships/hyperlink" Target="https://www.centris.ca/fr/condo~a-vendre~montreal-verdun-ile-des-soeurs/25197549?view=Summary&amp;uc=226" TargetMode="External"/><Relationship Id="rId675" Type="http://schemas.openxmlformats.org/officeDocument/2006/relationships/hyperlink" Target="https://duproprio.com/fr/laval/pont-viau/quadruplex-a-vendre/hab-65-rue-proulx-est-1067934" TargetMode="External"/><Relationship Id="rId25" Type="http://schemas.openxmlformats.org/officeDocument/2006/relationships/hyperlink" Target="https://www.centris.ca/en/condos~for-sale~montreal-verdun-ile-des-soeurs/10373673?view=Summary&amp;uc=16" TargetMode="External"/><Relationship Id="rId328" Type="http://schemas.openxmlformats.org/officeDocument/2006/relationships/hyperlink" Target="https://www.centris.ca/fr/condo~a-vendre~laval-fabreville/13628305?view=Summary&amp;uc=180" TargetMode="External"/><Relationship Id="rId535" Type="http://schemas.openxmlformats.org/officeDocument/2006/relationships/hyperlink" Target="https://www.centris.ca/fr/condo~a-vendre~laval-chomedey/20430643?view=Summary&amp;uc=338" TargetMode="External"/><Relationship Id="rId742" Type="http://schemas.openxmlformats.org/officeDocument/2006/relationships/hyperlink" Target="https://www.centris.ca/fr/condo~a-vendre~montreal-saint-laurent/25406289?view=Summary&amp;uc=91" TargetMode="External"/><Relationship Id="rId174" Type="http://schemas.openxmlformats.org/officeDocument/2006/relationships/hyperlink" Target="https://www.centris.ca/fr/condo~a-vendre~laval-chomedey/15428556?view=Summary&amp;uc=74" TargetMode="External"/><Relationship Id="rId381" Type="http://schemas.openxmlformats.org/officeDocument/2006/relationships/hyperlink" Target="https://www.centris.ca/en/condos~for-sale~brossard/10512252?view=Summary&amp;uc=46" TargetMode="External"/><Relationship Id="rId602" Type="http://schemas.openxmlformats.org/officeDocument/2006/relationships/hyperlink" Target="https://www.centris.ca/fr/condo~a-vendre~laval-sainte-dorothee/11136368?view=Summary&amp;uc=222" TargetMode="External"/><Relationship Id="rId241" Type="http://schemas.openxmlformats.org/officeDocument/2006/relationships/hyperlink" Target="https://www.centris.ca/fr/condo~a-vendre~laval-laval-des-rapides/16857207?view=Summary&amp;uc=133" TargetMode="External"/><Relationship Id="rId479" Type="http://schemas.openxmlformats.org/officeDocument/2006/relationships/hyperlink" Target="https://www.centris.ca/fr/condo~a-vendre~montreal-verdun-ile-des-soeurs/13742095?view=Summary&amp;uc=250" TargetMode="External"/><Relationship Id="rId686" Type="http://schemas.openxmlformats.org/officeDocument/2006/relationships/hyperlink" Target="https://www.centris.ca/fr/condo~a-vendre~laval-laval-des-rapides/26999814?view=Summary&amp;uc=291" TargetMode="External"/><Relationship Id="rId36" Type="http://schemas.openxmlformats.org/officeDocument/2006/relationships/hyperlink" Target="https://www.centris.ca/en/condos~for-sale~montreal-lasalle/16034828?view=Summary&amp;uc=26" TargetMode="External"/><Relationship Id="rId339" Type="http://schemas.openxmlformats.org/officeDocument/2006/relationships/hyperlink" Target="https://www.centris.ca/fr/condo~a-vendre~laval-fabreville/17180125?view=Summary&amp;uc=197" TargetMode="External"/><Relationship Id="rId546" Type="http://schemas.openxmlformats.org/officeDocument/2006/relationships/hyperlink" Target="https://www.centris.ca/fr/condo~a-vendre~laval-laval-des-rapides/19045673?view=Summary&amp;uc=353" TargetMode="External"/><Relationship Id="rId753" Type="http://schemas.openxmlformats.org/officeDocument/2006/relationships/hyperlink" Target="https://www.centris.ca/fr/condo~a-vendre~montreal-saint-laurent/21524909?view=Summary&amp;uc=364" TargetMode="External"/><Relationship Id="rId101" Type="http://schemas.openxmlformats.org/officeDocument/2006/relationships/hyperlink" Target="https://www.centris.ca/fr/maison~a-vendre~montreal-lasalle/25753835?view=Summary&amp;uc=51" TargetMode="External"/><Relationship Id="rId185" Type="http://schemas.openxmlformats.org/officeDocument/2006/relationships/hyperlink" Target="https://www.centris.ca/fr/condo~a-vendre~laval-chomedey/15370988?view=Summary&amp;uc=86" TargetMode="External"/><Relationship Id="rId406" Type="http://schemas.openxmlformats.org/officeDocument/2006/relationships/hyperlink" Target="https://www.centris.ca/en/houses~for-sale~montreal-lachine/17420993?view=Summary&amp;uc=64" TargetMode="External"/><Relationship Id="rId392" Type="http://schemas.openxmlformats.org/officeDocument/2006/relationships/hyperlink" Target="https://www.centris.ca/en/condos~for-sale~montreal-lachine/17726347?view=Summary&amp;uc=54" TargetMode="External"/><Relationship Id="rId613" Type="http://schemas.openxmlformats.org/officeDocument/2006/relationships/hyperlink" Target="https://www.centris.ca/fr/condo~a-vendre~laval-sainte-dorothee/9030358?view=Summary&amp;uc=234" TargetMode="External"/><Relationship Id="rId697" Type="http://schemas.openxmlformats.org/officeDocument/2006/relationships/hyperlink" Target="https://www.centris.ca/fr/condo~a-vendre~laval-laval-des-rapides/11568179?view=Summary&amp;uc=20" TargetMode="External"/><Relationship Id="rId820" Type="http://schemas.openxmlformats.org/officeDocument/2006/relationships/hyperlink" Target="https://www.centris.ca/fr/condo~a-vendre~montreal-saint-laurent/19487538?view=Summary&amp;uc=110" TargetMode="External"/><Relationship Id="rId252" Type="http://schemas.openxmlformats.org/officeDocument/2006/relationships/hyperlink" Target="https://www.centris.ca/fr/condo~a-vendre~laval-sainte-dorothee/16638752?view=Summary&amp;uc=156" TargetMode="External"/><Relationship Id="rId47" Type="http://schemas.openxmlformats.org/officeDocument/2006/relationships/hyperlink" Target="https://www.centris.ca/en/condos~for-sale~montreal-lasalle/21874645?view=Summary&amp;uc=43" TargetMode="External"/><Relationship Id="rId112" Type="http://schemas.openxmlformats.org/officeDocument/2006/relationships/hyperlink" Target="https://www.centris.ca/fr/condo~a-vendre~montreal-lachine/12155611?view=Summary&amp;uc=35" TargetMode="External"/><Relationship Id="rId557" Type="http://schemas.openxmlformats.org/officeDocument/2006/relationships/hyperlink" Target="https://www.centris.ca/fr/condo~a-vendre~laval-laval-des-rapides/11978330?view=Summary&amp;uc=261" TargetMode="External"/><Relationship Id="rId764" Type="http://schemas.openxmlformats.org/officeDocument/2006/relationships/hyperlink" Target="https://www.centris.ca/fr/loft-studio~a-vendre~montreal-saint-laurent/21376012?view=Summary&amp;uc=377" TargetMode="External"/><Relationship Id="rId196" Type="http://schemas.openxmlformats.org/officeDocument/2006/relationships/hyperlink" Target="https://www.centris.ca/fr/condo~a-vendre~laval-chomedey/19199872?view=Summary&amp;uc=99" TargetMode="External"/><Relationship Id="rId417" Type="http://schemas.openxmlformats.org/officeDocument/2006/relationships/hyperlink" Target="https://www.centris.ca/en/houses~for-sale~montreal-lachine/10530766?view=Summary&amp;uc=65" TargetMode="External"/><Relationship Id="rId624" Type="http://schemas.openxmlformats.org/officeDocument/2006/relationships/hyperlink" Target="https://www.centris.ca/fr/condo~a-vendre~laval-chomedey/27916267?view=Summary&amp;uc=224" TargetMode="External"/><Relationship Id="rId831" Type="http://schemas.openxmlformats.org/officeDocument/2006/relationships/hyperlink" Target="https://www.centris.ca/fr/maison~a-vendre~montreal-saint-laurent/14029728?view=Summary&amp;uc=125" TargetMode="External"/><Relationship Id="rId263" Type="http://schemas.openxmlformats.org/officeDocument/2006/relationships/hyperlink" Target="https://www.centris.ca/fr/maison~a-vendre~laval-sainte-dorothee/12905242?view=Summary&amp;uc=168" TargetMode="External"/><Relationship Id="rId470" Type="http://schemas.openxmlformats.org/officeDocument/2006/relationships/hyperlink" Target="https://www.centris.ca/fr/condo~a-vendre~montreal-verdun-ile-des-soeurs/13483745?view=Summary&amp;uc=234" TargetMode="External"/><Relationship Id="rId58" Type="http://schemas.openxmlformats.org/officeDocument/2006/relationships/hyperlink" Target="https://www.centris.ca/fr/condo~a-vendre~montreal-lasalle/18853992?view=Summary&amp;uc=27" TargetMode="External"/><Relationship Id="rId123" Type="http://schemas.openxmlformats.org/officeDocument/2006/relationships/hyperlink" Target="https://www.centris.ca/fr/condo~a-vendre~montreal-lachine/15293592?view=Summary&amp;uc=51" TargetMode="External"/><Relationship Id="rId330" Type="http://schemas.openxmlformats.org/officeDocument/2006/relationships/hyperlink" Target="https://www.centris.ca/fr/condo~a-vendre~laval-fabreville/28604778?view=Summary&amp;uc=184" TargetMode="External"/><Relationship Id="rId568" Type="http://schemas.openxmlformats.org/officeDocument/2006/relationships/hyperlink" Target="https://www.centris.ca/fr/condo~a-vendre~laval-laval-des-rapides/28115449?view=Summary&amp;uc=269" TargetMode="External"/><Relationship Id="rId775" Type="http://schemas.openxmlformats.org/officeDocument/2006/relationships/hyperlink" Target="https://www.centris.ca/fr/condo~a-vendre~montreal-saint-laurent/16855445?view=Summary&amp;uc=83" TargetMode="External"/><Relationship Id="rId428" Type="http://schemas.openxmlformats.org/officeDocument/2006/relationships/hyperlink" Target="https://www.centris.ca/en/condos~for-sale~montreal-verdun-ile-des-soeurs/20809751?view=Summary&amp;uc=78" TargetMode="External"/><Relationship Id="rId635" Type="http://schemas.openxmlformats.org/officeDocument/2006/relationships/hyperlink" Target="https://www.centris.ca/fr/condo~a-vendre~laval-chomedey/25325281?view=Summary&amp;uc=209" TargetMode="External"/><Relationship Id="rId842" Type="http://schemas.openxmlformats.org/officeDocument/2006/relationships/hyperlink" Target="https://www.centris.ca/fr/maison~a-vendre~montreal-saint-laurent/21974252?view=Summary&amp;uc=109" TargetMode="External"/><Relationship Id="rId274" Type="http://schemas.openxmlformats.org/officeDocument/2006/relationships/hyperlink" Target="https://www.centris.ca/fr/maison~a-vendre~laval-sainte-dorothee/22495336?view=Summary&amp;uc=182" TargetMode="External"/><Relationship Id="rId481" Type="http://schemas.openxmlformats.org/officeDocument/2006/relationships/hyperlink" Target="https://www.centris.ca/fr/condo~a-vendre~montreal-verdun-ile-des-soeurs/27554863?view=Summary&amp;uc=252" TargetMode="External"/><Relationship Id="rId702" Type="http://schemas.openxmlformats.org/officeDocument/2006/relationships/hyperlink" Target="https://www.centris.ca/fr/condo~a-vendre~laval-laval-des-rapides/15125104?view=Summary&amp;uc=29" TargetMode="External"/><Relationship Id="rId69" Type="http://schemas.openxmlformats.org/officeDocument/2006/relationships/hyperlink" Target="https://www.centris.ca/fr/condo~a-vendre~montreal-lasalle/13503502?view=Summary&amp;uc=41" TargetMode="External"/><Relationship Id="rId134" Type="http://schemas.openxmlformats.org/officeDocument/2006/relationships/hyperlink" Target="https://www.centris.ca/fr/condo~a-vendre~montreal-lachine/23999702?view=Summary&amp;uc=45" TargetMode="External"/><Relationship Id="rId579" Type="http://schemas.openxmlformats.org/officeDocument/2006/relationships/hyperlink" Target="https://www.centris.ca/fr/condo~a-vendre~laval-duvernay/13822789?view=Summary&amp;uc=294" TargetMode="External"/><Relationship Id="rId786" Type="http://schemas.openxmlformats.org/officeDocument/2006/relationships/hyperlink" Target="https://www.centris.ca/fr/condo~a-vendre~montreal-saint-laurent/27106385?view=Summary&amp;uc=92" TargetMode="External"/><Relationship Id="rId341" Type="http://schemas.openxmlformats.org/officeDocument/2006/relationships/hyperlink" Target="https://www.centris.ca/fr/condo~a-vendre~laval-fabreville/15747242?view=Summary&amp;uc=202" TargetMode="External"/><Relationship Id="rId439" Type="http://schemas.openxmlformats.org/officeDocument/2006/relationships/hyperlink" Target="https://www.centris.ca/en/condos~for-sale~montreal-verdun-ile-des-soeurs/9869692?view=Summary&amp;uc=91" TargetMode="External"/><Relationship Id="rId646" Type="http://schemas.openxmlformats.org/officeDocument/2006/relationships/hyperlink" Target="https://www.centris.ca/fr/condo~a-vendre~laval-chomedey/22335905?view=Summary&amp;uc=234" TargetMode="External"/><Relationship Id="rId201" Type="http://schemas.openxmlformats.org/officeDocument/2006/relationships/hyperlink" Target="https://www.centris.ca/fr/condo~a-vendre~laval-chomedey/27522600?view=Summary&amp;uc=108" TargetMode="External"/><Relationship Id="rId285" Type="http://schemas.openxmlformats.org/officeDocument/2006/relationships/hyperlink" Target="https://www.centris.ca/fr/loft-studio~a-vendre~laval-duvernay/20027536?view=Summary&amp;uc=136" TargetMode="External"/><Relationship Id="rId506" Type="http://schemas.openxmlformats.org/officeDocument/2006/relationships/hyperlink" Target="https://www.centris.ca/fr/condo~a-vendre~laval-chomedey/17680717?view=Summary&amp;uc=301" TargetMode="External"/><Relationship Id="rId853" Type="http://schemas.openxmlformats.org/officeDocument/2006/relationships/hyperlink" Target="https://www.centris.ca/fr/maison~a-vendre~montreal-saint-laurent/13115374?view=Summary&amp;uc=123" TargetMode="External"/><Relationship Id="rId492" Type="http://schemas.openxmlformats.org/officeDocument/2006/relationships/hyperlink" Target="https://www.centris.ca/fr/condo~a-vendre~montreal-verdun-ile-des-soeurs/9088875?view=Summary&amp;uc=265" TargetMode="External"/><Relationship Id="rId713" Type="http://schemas.openxmlformats.org/officeDocument/2006/relationships/hyperlink" Target="https://www.centris.ca/fr/maison~a-vendre~laval-laval-des-rapides/9056796?view=Summary&amp;uc=51" TargetMode="External"/><Relationship Id="rId797" Type="http://schemas.openxmlformats.org/officeDocument/2006/relationships/hyperlink" Target="https://www.centris.ca/fr/condo~a-vendre~montreal-saint-laurent/19598663?view=Summary&amp;uc=106" TargetMode="External"/><Relationship Id="rId145" Type="http://schemas.openxmlformats.org/officeDocument/2006/relationships/hyperlink" Target="https://www.centris.ca/fr/condo~a-vendre~montreal-lachine/22361196?view=Summary&amp;uc=33" TargetMode="External"/><Relationship Id="rId352" Type="http://schemas.openxmlformats.org/officeDocument/2006/relationships/hyperlink" Target="https://www.centris.ca/fr/maison~a-vendre~laval-fabreville/11497430?view=Summary&amp;uc=220" TargetMode="External"/><Relationship Id="rId212" Type="http://schemas.openxmlformats.org/officeDocument/2006/relationships/hyperlink" Target="https://www.centris.ca/fr/maison~a-vendre~laval-chomedey/9097106?view=Summary&amp;uc=124" TargetMode="External"/><Relationship Id="rId657" Type="http://schemas.openxmlformats.org/officeDocument/2006/relationships/hyperlink" Target="https://www.centris.ca/fr/condo~a-vendre~laval-chomedey/9391282?view=Summary&amp;uc=263" TargetMode="External"/><Relationship Id="rId296" Type="http://schemas.openxmlformats.org/officeDocument/2006/relationships/hyperlink" Target="https://www.centris.ca/fr/condo~a-vendre~laval-duvernay/24225880?view=Summary&amp;uc=135" TargetMode="External"/><Relationship Id="rId517" Type="http://schemas.openxmlformats.org/officeDocument/2006/relationships/hyperlink" Target="https://www.centris.ca/fr/condo~a-vendre~laval-chomedey/28346723?view=Summary&amp;uc=317" TargetMode="External"/><Relationship Id="rId724" Type="http://schemas.openxmlformats.org/officeDocument/2006/relationships/hyperlink" Target="https://www.centris.ca/fr/maison~a-vendre~laval-pont-viau/23737944?view=Summary&amp;uc=71" TargetMode="External"/><Relationship Id="rId60" Type="http://schemas.openxmlformats.org/officeDocument/2006/relationships/hyperlink" Target="https://www.centris.ca/fr/condo~a-vendre~montreal-lasalle/10445327?view=Summary&amp;uc=30" TargetMode="External"/><Relationship Id="rId156" Type="http://schemas.openxmlformats.org/officeDocument/2006/relationships/hyperlink" Target="https://www.centris.ca/fr/condo~a-vendre~laval-chomedey/17083515?view=Summary&amp;uc=51" TargetMode="External"/><Relationship Id="rId363" Type="http://schemas.openxmlformats.org/officeDocument/2006/relationships/hyperlink" Target="https://www.centris.ca/en/condos~for-sale~brossard/18314596?view=Summary&amp;uc=24" TargetMode="External"/><Relationship Id="rId570" Type="http://schemas.openxmlformats.org/officeDocument/2006/relationships/hyperlink" Target="https://www.centris.ca/fr/condo~a-vendre~laval-laval-des-rapides/15640282?view=Summary&amp;uc=275" TargetMode="External"/><Relationship Id="rId223" Type="http://schemas.openxmlformats.org/officeDocument/2006/relationships/hyperlink" Target="https://www.centris.ca/fr/condo~a-vendre~laval-chomedey/14414362?view=Summary&amp;uc=137" TargetMode="External"/><Relationship Id="rId430" Type="http://schemas.openxmlformats.org/officeDocument/2006/relationships/hyperlink" Target="https://www.centris.ca/en/condos~for-sale~montreal-verdun-ile-des-soeurs/12268290?view=Summary&amp;uc=80" TargetMode="External"/><Relationship Id="rId668" Type="http://schemas.openxmlformats.org/officeDocument/2006/relationships/hyperlink" Target="https://www.centris.ca/fr/condo~a-vendre~laval-chomedey/13754754?view=Summary&amp;uc=280" TargetMode="External"/><Relationship Id="rId18" Type="http://schemas.openxmlformats.org/officeDocument/2006/relationships/hyperlink" Target="https://www.centris.ca/en/condos~for-sale~montreal-verdun-ile-des-soeurs/22392822?view=Summary&amp;uc=3" TargetMode="External"/><Relationship Id="rId528" Type="http://schemas.openxmlformats.org/officeDocument/2006/relationships/hyperlink" Target="https://www.centris.ca/fr/condo~a-vendre~laval-chomedey/26469409?view=Summary&amp;uc=331" TargetMode="External"/><Relationship Id="rId735" Type="http://schemas.openxmlformats.org/officeDocument/2006/relationships/hyperlink" Target="https://www.centris.ca/fr/maison~a-vendre~laval-pont-viau/17680456?view=Summary&amp;uc=84" TargetMode="External"/><Relationship Id="rId167" Type="http://schemas.openxmlformats.org/officeDocument/2006/relationships/hyperlink" Target="https://www.centris.ca/fr/condo~a-vendre~laval-chomedey/23772191?view=Summary&amp;uc=63" TargetMode="External"/><Relationship Id="rId374" Type="http://schemas.openxmlformats.org/officeDocument/2006/relationships/hyperlink" Target="https://www.centris.ca/en/condos~for-sale~brossard/22267169?view=Summary&amp;uc=38" TargetMode="External"/><Relationship Id="rId581" Type="http://schemas.openxmlformats.org/officeDocument/2006/relationships/hyperlink" Target="https://www.centris.ca/fr/condo~a-vendre~laval-duvernay/12408242?view=Summary&amp;uc=296" TargetMode="External"/><Relationship Id="rId71" Type="http://schemas.openxmlformats.org/officeDocument/2006/relationships/hyperlink" Target="https://www.centris.ca/fr/condo~a-vendre~montreal-lasalle/12437557?view=Summary&amp;uc=43" TargetMode="External"/><Relationship Id="rId234" Type="http://schemas.openxmlformats.org/officeDocument/2006/relationships/hyperlink" Target="https://www.centris.ca/fr/condo~a-vendre~laval-laval-des-rapides/26664885?view=Summary&amp;uc=118" TargetMode="External"/><Relationship Id="rId679" Type="http://schemas.openxmlformats.org/officeDocument/2006/relationships/hyperlink" Target="https://duproprio.com/fr/laval/pont-viau/condo-a-vendre/hab-ph06-9-boulevard-des-prairies-1066467" TargetMode="External"/><Relationship Id="rId802" Type="http://schemas.openxmlformats.org/officeDocument/2006/relationships/hyperlink" Target="https://www.centris.ca/fr/condo~a-vendre~montreal-saint-laurent/26462241?view=Summary&amp;uc=112" TargetMode="External"/><Relationship Id="rId2" Type="http://schemas.openxmlformats.org/officeDocument/2006/relationships/hyperlink" Target="https://www.centris.ca/en/condos~for-sale~montreal-verdun-ile-des-soeurs/17560904?view=Summary&amp;uc=2" TargetMode="External"/><Relationship Id="rId29" Type="http://schemas.openxmlformats.org/officeDocument/2006/relationships/hyperlink" Target="https://www.centris.ca/en/condos~for-sale~montreal-lasalle/15986749?view=Summary&amp;uc=18" TargetMode="External"/><Relationship Id="rId441" Type="http://schemas.openxmlformats.org/officeDocument/2006/relationships/hyperlink" Target="https://www.centris.ca/en/condos~for-sale~montreal-verdun-ile-des-soeurs/27728034?view=Summary&amp;uc=93" TargetMode="External"/><Relationship Id="rId539" Type="http://schemas.openxmlformats.org/officeDocument/2006/relationships/hyperlink" Target="https://www.centris.ca/fr/condo~a-vendre~laval-chomedey/19821699?view=Summary&amp;uc=344" TargetMode="External"/><Relationship Id="rId746" Type="http://schemas.openxmlformats.org/officeDocument/2006/relationships/hyperlink" Target="https://www.centris.ca/fr/condo~a-vendre~montreal-saint-laurent/25623349?view=Summary&amp;uc=354" TargetMode="External"/><Relationship Id="rId178" Type="http://schemas.openxmlformats.org/officeDocument/2006/relationships/hyperlink" Target="https://www.centris.ca/fr/condo~a-vendre~laval-chomedey/28387981?view=Summary&amp;uc=79" TargetMode="External"/><Relationship Id="rId301" Type="http://schemas.openxmlformats.org/officeDocument/2006/relationships/hyperlink" Target="https://www.centris.ca/fr/condo~a-vendre~laval-duvernay/11518153?view=Summary&amp;uc=142" TargetMode="External"/><Relationship Id="rId82" Type="http://schemas.openxmlformats.org/officeDocument/2006/relationships/hyperlink" Target="https://www.centris.ca/fr/condo~a-vendre~montreal-lasalle/16530100?view=Summary&amp;uc=37" TargetMode="External"/><Relationship Id="rId385" Type="http://schemas.openxmlformats.org/officeDocument/2006/relationships/hyperlink" Target="https://www.centris.ca/en/condos~for-sale~brossard/25485681?view=Summary&amp;uc=52" TargetMode="External"/><Relationship Id="rId592" Type="http://schemas.openxmlformats.org/officeDocument/2006/relationships/hyperlink" Target="https://www.centris.ca/fr/maison-en-copropriete~a-vendre~laval-fabreville/14835404?view=Summary&amp;uc=196" TargetMode="External"/><Relationship Id="rId606" Type="http://schemas.openxmlformats.org/officeDocument/2006/relationships/hyperlink" Target="https://www.centris.ca/fr/condo~a-vendre~laval-sainte-dorothee/20369468?view=Summary&amp;uc=226" TargetMode="External"/><Relationship Id="rId813" Type="http://schemas.openxmlformats.org/officeDocument/2006/relationships/hyperlink" Target="https://www.centris.ca/fr/condo~a-vendre~montreal-saint-laurent/22776675?view=Summary&amp;uc=97" TargetMode="External"/><Relationship Id="rId245" Type="http://schemas.openxmlformats.org/officeDocument/2006/relationships/hyperlink" Target="https://www.centris.ca/fr/maison~a-vendre~laval-laval-des-rapides/15843725?view=Summary&amp;uc=139" TargetMode="External"/><Relationship Id="rId452" Type="http://schemas.openxmlformats.org/officeDocument/2006/relationships/hyperlink" Target="https://www.centris.ca/en/condos~for-sale~montreal-verdun-ile-des-soeurs/10462519?view=Summary&amp;uc=82" TargetMode="External"/><Relationship Id="rId105" Type="http://schemas.openxmlformats.org/officeDocument/2006/relationships/hyperlink" Target="https://www.centris.ca/fr/condo~a-vendre~montreal-lachine/14685157?view=Summary&amp;uc=56" TargetMode="External"/><Relationship Id="rId312" Type="http://schemas.openxmlformats.org/officeDocument/2006/relationships/hyperlink" Target="https://www.centris.ca/fr/maison~a-vendre~laval-duvernay/19054471?view=Summary&amp;uc=157" TargetMode="External"/><Relationship Id="rId757" Type="http://schemas.openxmlformats.org/officeDocument/2006/relationships/hyperlink" Target="https://www.centris.ca/fr/condo~a-vendre~montreal-saint-laurent/11338861?view=Summary&amp;uc=368" TargetMode="External"/><Relationship Id="rId93" Type="http://schemas.openxmlformats.org/officeDocument/2006/relationships/hyperlink" Target="https://www.centris.ca/fr/condo~a-vendre~montreal-lasalle/16825565?view=Summary&amp;uc=35" TargetMode="External"/><Relationship Id="rId189" Type="http://schemas.openxmlformats.org/officeDocument/2006/relationships/hyperlink" Target="https://www.centris.ca/fr/maison~a-vendre~laval-chomedey/9578146?view=Summary&amp;uc=91" TargetMode="External"/><Relationship Id="rId396" Type="http://schemas.openxmlformats.org/officeDocument/2006/relationships/hyperlink" Target="https://www.centris.ca/en/houses~for-sale~montreal-lachine/18608957?view=Summary&amp;uc=49" TargetMode="External"/><Relationship Id="rId617" Type="http://schemas.openxmlformats.org/officeDocument/2006/relationships/hyperlink" Target="https://www.centris.ca/fr/condo~a-vendre~laval-sainte-dorothee/16638752?view=Summary&amp;uc=209" TargetMode="External"/><Relationship Id="rId824" Type="http://schemas.openxmlformats.org/officeDocument/2006/relationships/hyperlink" Target="https://www.centris.ca/fr/condo~a-vendre~montreal-saint-laurent/12248463?view=Summary&amp;uc=116" TargetMode="External"/><Relationship Id="rId256" Type="http://schemas.openxmlformats.org/officeDocument/2006/relationships/hyperlink" Target="https://www.centris.ca/fr/condo~a-vendre~laval-sainte-dorothee/13567911?view=Summary&amp;uc=160" TargetMode="External"/><Relationship Id="rId463" Type="http://schemas.openxmlformats.org/officeDocument/2006/relationships/hyperlink" Target="https://www.centris.ca/en/duplexes~for-sale~montreal-verdun-ile-des-soeurs/26395266?view=Summary&amp;uc=74" TargetMode="External"/><Relationship Id="rId670" Type="http://schemas.openxmlformats.org/officeDocument/2006/relationships/hyperlink" Target="https://www.centris.ca/fr/condo~a-vendre~laval-chomedey/12923858?view=Summary&amp;uc=282" TargetMode="External"/><Relationship Id="rId116" Type="http://schemas.openxmlformats.org/officeDocument/2006/relationships/hyperlink" Target="https://www.centris.ca/fr/condo~a-vendre~montreal-lachine/24814626?view=Summary&amp;uc=41" TargetMode="External"/><Relationship Id="rId323" Type="http://schemas.openxmlformats.org/officeDocument/2006/relationships/hyperlink" Target="https://www.centris.ca/fr/maison~a-vendre~laval-duvernay/16189967?view=Summary&amp;uc=172" TargetMode="External"/><Relationship Id="rId530" Type="http://schemas.openxmlformats.org/officeDocument/2006/relationships/hyperlink" Target="https://www.centris.ca/fr/condo~a-vendre~laval-chomedey/23337264?view=Summary&amp;uc=333" TargetMode="External"/><Relationship Id="rId768" Type="http://schemas.openxmlformats.org/officeDocument/2006/relationships/hyperlink" Target="https://www.centris.ca/fr/condo~a-vendre~montreal-saint-laurent/25169844?view=Summary&amp;uc=381" TargetMode="External"/><Relationship Id="rId20" Type="http://schemas.openxmlformats.org/officeDocument/2006/relationships/hyperlink" Target="https://www.centris.ca/en/condos~for-sale~montreal-verdun-ile-des-soeurs/19830288?view=Summary&amp;uc=7" TargetMode="External"/><Relationship Id="rId628" Type="http://schemas.openxmlformats.org/officeDocument/2006/relationships/hyperlink" Target="https://www.centris.ca/fr/condo~a-vendre~laval-chomedey/11944478?view=Summary&amp;uc=230" TargetMode="External"/><Relationship Id="rId835" Type="http://schemas.openxmlformats.org/officeDocument/2006/relationships/hyperlink" Target="https://www.centris.ca/fr/condo~a-vendre~montreal-saint-laurent/18288726?view=Summary&amp;uc=98" TargetMode="External"/><Relationship Id="rId267" Type="http://schemas.openxmlformats.org/officeDocument/2006/relationships/hyperlink" Target="https://www.centris.ca/fr/maison~a-vendre~laval-sainte-dorothee/15683400?view=Summary&amp;uc=172" TargetMode="External"/><Relationship Id="rId474" Type="http://schemas.openxmlformats.org/officeDocument/2006/relationships/hyperlink" Target="https://www.centris.ca/fr/condo~a-vendre~montreal-verdun-ile-des-soeurs/28615694?view=Summary&amp;uc=240" TargetMode="External"/><Relationship Id="rId127" Type="http://schemas.openxmlformats.org/officeDocument/2006/relationships/hyperlink" Target="https://www.centris.ca/fr/condo~a-vendre~montreal-lachine/24084396?view=Summary&amp;uc=34" TargetMode="External"/><Relationship Id="rId681" Type="http://schemas.openxmlformats.org/officeDocument/2006/relationships/hyperlink" Target="https://www.centris.ca/fr/condo~a-vendre~laval-laval-des-rapides/21796066?view=Summary&amp;uc=279" TargetMode="External"/><Relationship Id="rId779" Type="http://schemas.openxmlformats.org/officeDocument/2006/relationships/hyperlink" Target="https://www.centris.ca/fr/condo~a-vendre~montreal-saint-laurent/17556559?view=Summary&amp;uc=88" TargetMode="External"/><Relationship Id="rId31" Type="http://schemas.openxmlformats.org/officeDocument/2006/relationships/hyperlink" Target="https://www.centris.ca/en/condos~for-sale~montreal-lasalle/19518103?view=Summary&amp;uc=21" TargetMode="External"/><Relationship Id="rId334" Type="http://schemas.openxmlformats.org/officeDocument/2006/relationships/hyperlink" Target="https://www.centris.ca/fr/condo~a-vendre~laval-fabreville/13858928?view=Summary&amp;uc=188" TargetMode="External"/><Relationship Id="rId541" Type="http://schemas.openxmlformats.org/officeDocument/2006/relationships/hyperlink" Target="https://www.centris.ca/fr/condo~a-vendre~laval-chomedey/11915590?view=Summary&amp;uc=346" TargetMode="External"/><Relationship Id="rId639" Type="http://schemas.openxmlformats.org/officeDocument/2006/relationships/hyperlink" Target="https://www.centris.ca/fr/condo~a-vendre~laval-chomedey/27430178?view=Summary&amp;uc=223" TargetMode="External"/><Relationship Id="rId180" Type="http://schemas.openxmlformats.org/officeDocument/2006/relationships/hyperlink" Target="https://www.centris.ca/fr/condo~a-vendre~laval-chomedey/12389492?view=Summary&amp;uc=81" TargetMode="External"/><Relationship Id="rId278" Type="http://schemas.openxmlformats.org/officeDocument/2006/relationships/hyperlink" Target="https://www.centris.ca/fr/condo~a-vendre~laval-pont-viau/9249919?view=Summary&amp;uc=124" TargetMode="External"/><Relationship Id="rId401" Type="http://schemas.openxmlformats.org/officeDocument/2006/relationships/hyperlink" Target="https://www.centris.ca/en/houses~for-sale~montreal-lachine/12624162?view=Summary&amp;uc=55" TargetMode="External"/><Relationship Id="rId846" Type="http://schemas.openxmlformats.org/officeDocument/2006/relationships/hyperlink" Target="https://www.centris.ca/fr/maison~a-vendre~montreal-saint-laurent/11767459?view=Summary&amp;uc=113" TargetMode="External"/><Relationship Id="rId485" Type="http://schemas.openxmlformats.org/officeDocument/2006/relationships/hyperlink" Target="https://www.centris.ca/fr/condo~a-vendre~montreal-verdun-ile-des-soeurs/16257605?view=Summary&amp;uc=256" TargetMode="External"/><Relationship Id="rId692" Type="http://schemas.openxmlformats.org/officeDocument/2006/relationships/hyperlink" Target="https://www.centris.ca/fr/condo~a-vendre~laval-laval-des-rapides/28875726?view=Summary&amp;uc=13" TargetMode="External"/><Relationship Id="rId706" Type="http://schemas.openxmlformats.org/officeDocument/2006/relationships/hyperlink" Target="https://www.centris.ca/fr/condo~a-vendre~laval-laval-des-rapides/28184918?view=Summary&amp;uc=35" TargetMode="External"/><Relationship Id="rId42" Type="http://schemas.openxmlformats.org/officeDocument/2006/relationships/hyperlink" Target="https://www.centris.ca/en/condos~for-sale~montreal-lasalle/14528205?view=Summary&amp;uc=37" TargetMode="External"/><Relationship Id="rId138" Type="http://schemas.openxmlformats.org/officeDocument/2006/relationships/hyperlink" Target="https://www.centris.ca/fr/condo~a-vendre~montreal-lachine/22135924?view=Summary&amp;uc=49" TargetMode="External"/><Relationship Id="rId345" Type="http://schemas.openxmlformats.org/officeDocument/2006/relationships/hyperlink" Target="https://www.centris.ca/fr/maison~a-vendre~laval-fabreville/24958931?view=Summary&amp;uc=207" TargetMode="External"/><Relationship Id="rId552" Type="http://schemas.openxmlformats.org/officeDocument/2006/relationships/hyperlink" Target="https://www.centris.ca/fr/condo~a-vendre~laval-laval-des-rapides/26844856?view=Summary&amp;uc=361" TargetMode="External"/><Relationship Id="rId191" Type="http://schemas.openxmlformats.org/officeDocument/2006/relationships/hyperlink" Target="https://www.centris.ca/fr/condo~a-vendre~laval-chomedey/11354671?view=Summary&amp;uc=93" TargetMode="External"/><Relationship Id="rId205" Type="http://schemas.openxmlformats.org/officeDocument/2006/relationships/hyperlink" Target="https://www.centris.ca/fr/condo~a-vendre~laval-chomedey/26458332?view=Summary&amp;uc=113" TargetMode="External"/><Relationship Id="rId412" Type="http://schemas.openxmlformats.org/officeDocument/2006/relationships/hyperlink" Target="https://www.centris.ca/en/houses~for-sale~montreal-lachine/9543138?view=Summary&amp;uc=74" TargetMode="External"/><Relationship Id="rId857" Type="http://schemas.openxmlformats.org/officeDocument/2006/relationships/hyperlink" Target="https://www.centris.ca/fr/maison~a-vendre~montreal-saint-laurent/10920039?view=Summary&amp;uc=131" TargetMode="External"/><Relationship Id="rId289" Type="http://schemas.openxmlformats.org/officeDocument/2006/relationships/hyperlink" Target="https://www.centris.ca/fr/condo~a-vendre~laval-duvernay/11513959?view=Summary&amp;uc=142" TargetMode="External"/><Relationship Id="rId496" Type="http://schemas.openxmlformats.org/officeDocument/2006/relationships/hyperlink" Target="https://www.centris.ca/fr/condo~a-vendre~montreal-verdun-ile-des-soeurs/27728034?view=Summary&amp;uc=269" TargetMode="External"/><Relationship Id="rId717" Type="http://schemas.openxmlformats.org/officeDocument/2006/relationships/hyperlink" Target="https://www.centris.ca/fr/maison~a-vendre~laval-laval-des-rapides/24741711?view=Summary&amp;uc=55" TargetMode="External"/><Relationship Id="rId53" Type="http://schemas.openxmlformats.org/officeDocument/2006/relationships/hyperlink" Target="https://www.centris.ca/fr/condo~a-vendre~montreal-lasalle/24675045?view=Summary&amp;uc=19" TargetMode="External"/><Relationship Id="rId149" Type="http://schemas.openxmlformats.org/officeDocument/2006/relationships/hyperlink" Target="https://www.centris.ca/fr/condo~a-vendre~montreal-lachine/23350722?view=Summary&amp;uc=37" TargetMode="External"/><Relationship Id="rId356" Type="http://schemas.openxmlformats.org/officeDocument/2006/relationships/hyperlink" Target="https://www.centris.ca/fr/maison~a-vendre~laval-fabreville/20492235?view=Summary&amp;uc=186" TargetMode="External"/><Relationship Id="rId563" Type="http://schemas.openxmlformats.org/officeDocument/2006/relationships/hyperlink" Target="https://www.centris.ca/fr/condo~a-vendre~laval-laval-des-rapides/27912942?view=Summary&amp;uc=260" TargetMode="External"/><Relationship Id="rId770" Type="http://schemas.openxmlformats.org/officeDocument/2006/relationships/hyperlink" Target="https://www.centris.ca/fr/condo~a-vendre~montreal-saint-laurent/9586103?view=Summary&amp;uc=383" TargetMode="External"/><Relationship Id="rId216" Type="http://schemas.openxmlformats.org/officeDocument/2006/relationships/hyperlink" Target="https://www.centris.ca/fr/condo~a-vendre~laval-chomedey/14763121?view=Summary&amp;uc=128" TargetMode="External"/><Relationship Id="rId423" Type="http://schemas.openxmlformats.org/officeDocument/2006/relationships/hyperlink" Target="https://www.centris.ca/en/houses~for-sale~montreal-lachine/16168371?view=Summary&amp;uc=71" TargetMode="External"/><Relationship Id="rId630" Type="http://schemas.openxmlformats.org/officeDocument/2006/relationships/hyperlink" Target="https://www.centris.ca/fr/condo~a-vendre~laval-sainte-dorothee/15053955?view=Summary&amp;uc=234" TargetMode="External"/><Relationship Id="rId728" Type="http://schemas.openxmlformats.org/officeDocument/2006/relationships/hyperlink" Target="https://www.centris.ca/fr/maison~a-vendre~laval-pont-viau/17951387?view=Summary&amp;uc=77" TargetMode="External"/><Relationship Id="rId64" Type="http://schemas.openxmlformats.org/officeDocument/2006/relationships/hyperlink" Target="https://www.centris.ca/fr/condo~a-vendre~montreal-lasalle/13618841?view=Summary&amp;uc=34" TargetMode="External"/><Relationship Id="rId367" Type="http://schemas.openxmlformats.org/officeDocument/2006/relationships/hyperlink" Target="https://www.centris.ca/en/condos~for-sale~brossard/27940723?view=Summary&amp;uc=28" TargetMode="External"/><Relationship Id="rId574" Type="http://schemas.openxmlformats.org/officeDocument/2006/relationships/hyperlink" Target="https://www.centris.ca/fr/condo~a-vendre~laval-duvernay/15653594?view=Summary&amp;uc=282" TargetMode="External"/><Relationship Id="rId227" Type="http://schemas.openxmlformats.org/officeDocument/2006/relationships/hyperlink" Target="https://www.centris.ca/fr/condo~a-vendre~laval-chomedey/16765452?view=Summary&amp;uc=143" TargetMode="External"/><Relationship Id="rId781" Type="http://schemas.openxmlformats.org/officeDocument/2006/relationships/hyperlink" Target="https://www.centris.ca/fr/condo~a-vendre~montreal-saint-laurent/22486811?view=Summary&amp;uc=90" TargetMode="External"/><Relationship Id="rId434" Type="http://schemas.openxmlformats.org/officeDocument/2006/relationships/hyperlink" Target="https://www.centris.ca/en/condos~for-sale~montreal-verdun-ile-des-soeurs/16409183?view=Summary&amp;uc=84" TargetMode="External"/><Relationship Id="rId641" Type="http://schemas.openxmlformats.org/officeDocument/2006/relationships/hyperlink" Target="https://www.centris.ca/fr/condo~a-vendre~laval-chomedey/17141397?view=Summary&amp;uc=227" TargetMode="External"/><Relationship Id="rId739" Type="http://schemas.openxmlformats.org/officeDocument/2006/relationships/hyperlink" Target="https://www.centris.ca/fr/maison~a-vendre~laval-pont-viau/18606035?view=Summary&amp;uc=88" TargetMode="External"/><Relationship Id="rId280" Type="http://schemas.openxmlformats.org/officeDocument/2006/relationships/hyperlink" Target="https://www.centris.ca/fr/condo~a-vendre~laval-pont-viau/17415206?view=Summary&amp;uc=126" TargetMode="External"/><Relationship Id="rId501" Type="http://schemas.openxmlformats.org/officeDocument/2006/relationships/hyperlink" Target="https://www.centris.ca/fr/condo~a-vendre~montreal-verdun-ile-des-soeurs/26718811?view=Summary&amp;uc=274" TargetMode="External"/><Relationship Id="rId75" Type="http://schemas.openxmlformats.org/officeDocument/2006/relationships/hyperlink" Target="https://www.centris.ca/fr/condo~a-vendre~montreal-lasalle/15817164?view=Summary&amp;uc=24" TargetMode="External"/><Relationship Id="rId140" Type="http://schemas.openxmlformats.org/officeDocument/2006/relationships/hyperlink" Target="https://www.centris.ca/fr/condo~a-vendre~montreal-lachine/11311198?view=Summary&amp;uc=51" TargetMode="External"/><Relationship Id="rId378" Type="http://schemas.openxmlformats.org/officeDocument/2006/relationships/hyperlink" Target="https://www.centris.ca/en/condos~for-sale~brossard/26534656?view=Summary&amp;uc=43" TargetMode="External"/><Relationship Id="rId585" Type="http://schemas.openxmlformats.org/officeDocument/2006/relationships/hyperlink" Target="https://www.centris.ca/fr/condo~a-vendre~laval-duvernay/26141295?view=Summary&amp;uc=308" TargetMode="External"/><Relationship Id="rId792" Type="http://schemas.openxmlformats.org/officeDocument/2006/relationships/hyperlink" Target="https://www.centris.ca/fr/condo~a-vendre~montreal-saint-laurent/14607843?view=Summary&amp;uc=100" TargetMode="External"/><Relationship Id="rId806" Type="http://schemas.openxmlformats.org/officeDocument/2006/relationships/hyperlink" Target="https://www.centris.ca/fr/condo~a-vendre~montreal-saint-laurent/28026811?view=Summary&amp;uc=116" TargetMode="External"/><Relationship Id="rId6" Type="http://schemas.openxmlformats.org/officeDocument/2006/relationships/hyperlink" Target="https://www.centris.ca/en/condos~for-sale~montreal-verdun-ile-des-soeurs/11807921?view=Summary&amp;uc=7" TargetMode="External"/><Relationship Id="rId238" Type="http://schemas.openxmlformats.org/officeDocument/2006/relationships/hyperlink" Target="https://www.centris.ca/fr/condo~a-vendre~laval-laval-des-rapides/23069439?view=Summary&amp;uc=127" TargetMode="External"/><Relationship Id="rId445" Type="http://schemas.openxmlformats.org/officeDocument/2006/relationships/hyperlink" Target="https://www.centris.ca/en/condos~for-sale~montreal-verdun-ile-des-soeurs/11146141?view=Summary&amp;uc=98" TargetMode="External"/><Relationship Id="rId652" Type="http://schemas.openxmlformats.org/officeDocument/2006/relationships/hyperlink" Target="https://www.centris.ca/fr/condo~a-vendre~laval-chomedey/10562103?view=Summary&amp;uc=255" TargetMode="External"/><Relationship Id="rId291" Type="http://schemas.openxmlformats.org/officeDocument/2006/relationships/hyperlink" Target="https://www.centris.ca/fr/condo~a-vendre~laval-duvernay/20965946?view=Summary&amp;uc=144" TargetMode="External"/><Relationship Id="rId305" Type="http://schemas.openxmlformats.org/officeDocument/2006/relationships/hyperlink" Target="https://www.centris.ca/fr/condo~a-vendre~laval-duvernay/12954162?view=Summary&amp;uc=149" TargetMode="External"/><Relationship Id="rId512" Type="http://schemas.openxmlformats.org/officeDocument/2006/relationships/hyperlink" Target="https://www.centris.ca/fr/condo~a-vendre~laval-chomedey/23715145?view=Summary&amp;uc=311" TargetMode="External"/><Relationship Id="rId86" Type="http://schemas.openxmlformats.org/officeDocument/2006/relationships/hyperlink" Target="https://www.centris.ca/fr/condo~a-vendre~montreal-lasalle/9686711?view=Summary&amp;uc=45" TargetMode="External"/><Relationship Id="rId151" Type="http://schemas.openxmlformats.org/officeDocument/2006/relationships/hyperlink" Target="https://www.centris.ca/fr/condo~a-vendre~montreal-lachine/14732923?view=Summary&amp;uc=39" TargetMode="External"/><Relationship Id="rId389" Type="http://schemas.openxmlformats.org/officeDocument/2006/relationships/hyperlink" Target="https://www.centris.ca/en/condominium-houses~for-sale~montreal-lachine/23048097?view=Summary&amp;uc=47" TargetMode="External"/><Relationship Id="rId596" Type="http://schemas.openxmlformats.org/officeDocument/2006/relationships/hyperlink" Target="https://www.centris.ca/fr/condo~a-vendre~laval-sainte-dorothee/19651690?view=Summary&amp;uc=211" TargetMode="External"/><Relationship Id="rId817" Type="http://schemas.openxmlformats.org/officeDocument/2006/relationships/hyperlink" Target="https://www.centris.ca/fr/condo~a-vendre~montreal-saint-laurent/13218532?view=Summary&amp;uc=106" TargetMode="External"/><Relationship Id="rId249" Type="http://schemas.openxmlformats.org/officeDocument/2006/relationships/hyperlink" Target="https://www.centris.ca/fr/condo~a-vendre~laval-laval-des-rapides/15275353?view=Summary&amp;uc=148" TargetMode="External"/><Relationship Id="rId456" Type="http://schemas.openxmlformats.org/officeDocument/2006/relationships/hyperlink" Target="https://www.centris.ca/en/duplexes~for-sale~montreal-verdun-ile-des-soeurs/12719512?view=Summary&amp;uc=89" TargetMode="External"/><Relationship Id="rId663" Type="http://schemas.openxmlformats.org/officeDocument/2006/relationships/hyperlink" Target="https://www.centris.ca/fr/condo~a-vendre~laval-chomedey/17362313?view=Summary&amp;uc=271" TargetMode="External"/><Relationship Id="rId13" Type="http://schemas.openxmlformats.org/officeDocument/2006/relationships/hyperlink" Target="https://www.centris.ca/en/condos~for-sale~montreal-verdun-ile-des-soeurs/20826623?view=Summary&amp;uc=21" TargetMode="External"/><Relationship Id="rId109" Type="http://schemas.openxmlformats.org/officeDocument/2006/relationships/hyperlink" Target="https://www.centris.ca/fr/condo~a-vendre~montreal-lachine/18172605?view=Summary&amp;uc=32" TargetMode="External"/><Relationship Id="rId316" Type="http://schemas.openxmlformats.org/officeDocument/2006/relationships/hyperlink" Target="https://www.centris.ca/fr/maison~a-vendre~laval-duvernay/18120379?view=Summary&amp;uc=164" TargetMode="External"/><Relationship Id="rId523" Type="http://schemas.openxmlformats.org/officeDocument/2006/relationships/hyperlink" Target="https://www.centris.ca/fr/condo~a-vendre~laval-chomedey/14544857?view=Summary&amp;uc=326" TargetMode="External"/><Relationship Id="rId97" Type="http://schemas.openxmlformats.org/officeDocument/2006/relationships/hyperlink" Target="https://www.centris.ca/fr/maison~a-vendre~montreal-lasalle/18642426?view=Summary&amp;uc=40" TargetMode="External"/><Relationship Id="rId730" Type="http://schemas.openxmlformats.org/officeDocument/2006/relationships/hyperlink" Target="https://www.centris.ca/fr/duplex~a-vendre~laval-pont-viau/24049977?view=Summary&amp;uc=76" TargetMode="External"/><Relationship Id="rId828" Type="http://schemas.openxmlformats.org/officeDocument/2006/relationships/hyperlink" Target="https://www.centris.ca/fr/maison~a-vendre~montreal-saint-laurent/25477192?view=Summary&amp;uc=122" TargetMode="External"/><Relationship Id="rId162" Type="http://schemas.openxmlformats.org/officeDocument/2006/relationships/hyperlink" Target="https://www.centris.ca/fr/condo~a-vendre~laval-chomedey/28803519?view=Summary&amp;uc=58" TargetMode="External"/><Relationship Id="rId467" Type="http://schemas.openxmlformats.org/officeDocument/2006/relationships/hyperlink" Target="https://www.centris.ca/fr/condo~a-vendre~montreal-verdun-ile-des-soeurs/23575929?view=Summary&amp;uc=228" TargetMode="External"/><Relationship Id="rId674" Type="http://schemas.openxmlformats.org/officeDocument/2006/relationships/hyperlink" Target="https://duproprio.com/fr/laval/pont-viau/bungalow-a-vendre/hab-319-rue-alexandre-1009301" TargetMode="External"/><Relationship Id="rId24" Type="http://schemas.openxmlformats.org/officeDocument/2006/relationships/hyperlink" Target="https://www.centris.ca/en/condos~for-sale~montreal-verdun-ile-des-soeurs/21794470?view=Summary&amp;uc=15" TargetMode="External"/><Relationship Id="rId327" Type="http://schemas.openxmlformats.org/officeDocument/2006/relationships/hyperlink" Target="https://www.centris.ca/fr/maison~a-vendre~laval-duvernay/17155211?view=Summary&amp;uc=179" TargetMode="External"/><Relationship Id="rId534" Type="http://schemas.openxmlformats.org/officeDocument/2006/relationships/hyperlink" Target="https://www.centris.ca/fr/condo~a-vendre~laval-chomedey/17697445?view=Summary&amp;uc=337" TargetMode="External"/><Relationship Id="rId741" Type="http://schemas.openxmlformats.org/officeDocument/2006/relationships/hyperlink" Target="https://www.centris.ca/fr/condo~a-vendre~montreal-saint-laurent/17294215?view=Summary&amp;uc=90" TargetMode="External"/><Relationship Id="rId839" Type="http://schemas.openxmlformats.org/officeDocument/2006/relationships/hyperlink" Target="https://www.centris.ca/fr/condo~a-vendre~montreal-saint-laurent/18099997?view=Summary&amp;uc=105" TargetMode="External"/><Relationship Id="rId173" Type="http://schemas.openxmlformats.org/officeDocument/2006/relationships/hyperlink" Target="https://www.centris.ca/fr/condo~a-vendre~laval-chomedey/18018732?view=Summary&amp;uc=73" TargetMode="External"/><Relationship Id="rId380" Type="http://schemas.openxmlformats.org/officeDocument/2006/relationships/hyperlink" Target="https://www.centris.ca/en/condos~for-sale~brossard/27296353?view=Summary&amp;uc=45" TargetMode="External"/><Relationship Id="rId601" Type="http://schemas.openxmlformats.org/officeDocument/2006/relationships/hyperlink" Target="https://www.centris.ca/fr/condo~a-vendre~laval-sainte-dorothee/24010159?view=Summary&amp;uc=221" TargetMode="External"/><Relationship Id="rId240" Type="http://schemas.openxmlformats.org/officeDocument/2006/relationships/hyperlink" Target="https://www.centris.ca/fr/condo~a-vendre~laval-laval-des-rapides/12935121?view=Summary&amp;uc=132" TargetMode="External"/><Relationship Id="rId478" Type="http://schemas.openxmlformats.org/officeDocument/2006/relationships/hyperlink" Target="https://www.centris.ca/fr/condo~a-vendre~montreal-verdun-ile-des-soeurs/10584375?view=Summary&amp;uc=243" TargetMode="External"/><Relationship Id="rId685" Type="http://schemas.openxmlformats.org/officeDocument/2006/relationships/hyperlink" Target="https://www.centris.ca/fr/condo~a-vendre~laval-laval-des-rapides/26257590?view=Summary&amp;uc=289" TargetMode="External"/><Relationship Id="rId35" Type="http://schemas.openxmlformats.org/officeDocument/2006/relationships/hyperlink" Target="https://www.centris.ca/en/condos~for-sale~montreal-lasalle/28375016?view=Summary&amp;uc=25" TargetMode="External"/><Relationship Id="rId100" Type="http://schemas.openxmlformats.org/officeDocument/2006/relationships/hyperlink" Target="https://www.centris.ca/fr/maison~a-vendre~montreal-lasalle/14767524?view=Summary&amp;uc=45" TargetMode="External"/><Relationship Id="rId338" Type="http://schemas.openxmlformats.org/officeDocument/2006/relationships/hyperlink" Target="https://www.centris.ca/fr/maison~a-vendre~laval-fabreville/14066190?view=Summary&amp;uc=196" TargetMode="External"/><Relationship Id="rId545" Type="http://schemas.openxmlformats.org/officeDocument/2006/relationships/hyperlink" Target="https://www.centris.ca/fr/condo~a-vendre~laval-chomedey/20203170?view=Summary&amp;uc=350" TargetMode="External"/><Relationship Id="rId752" Type="http://schemas.openxmlformats.org/officeDocument/2006/relationships/hyperlink" Target="https://www.centris.ca/fr/condo~a-vendre~montreal-saint-laurent/10423120?view=Summary&amp;uc=363" TargetMode="External"/><Relationship Id="rId8" Type="http://schemas.openxmlformats.org/officeDocument/2006/relationships/hyperlink" Target="https://www.centris.ca/en/condos~for-sale~montreal-verdun-ile-des-soeurs/13783822?view=Summary&amp;uc=15" TargetMode="External"/><Relationship Id="rId142" Type="http://schemas.openxmlformats.org/officeDocument/2006/relationships/hyperlink" Target="https://www.centris.ca/fr/condo~a-vendre~montreal-lachine/26780210?view=Summary&amp;uc=58" TargetMode="External"/><Relationship Id="rId184" Type="http://schemas.openxmlformats.org/officeDocument/2006/relationships/hyperlink" Target="https://www.centris.ca/fr/condo~a-vendre~laval-chomedey/12340247?view=Summary&amp;uc=85" TargetMode="External"/><Relationship Id="rId391" Type="http://schemas.openxmlformats.org/officeDocument/2006/relationships/hyperlink" Target="https://www.centris.ca/en/duplexes~for-sale~montreal-lachine/15412110?view=Summary&amp;uc=53" TargetMode="External"/><Relationship Id="rId405" Type="http://schemas.openxmlformats.org/officeDocument/2006/relationships/hyperlink" Target="https://www.centris.ca/en/duplexes~for-sale~montreal-lachine/16483450?view=Summary&amp;uc=61" TargetMode="External"/><Relationship Id="rId447" Type="http://schemas.openxmlformats.org/officeDocument/2006/relationships/hyperlink" Target="https://www.centris.ca/en/houses~for-sale~montreal-verdun-ile-des-soeurs/9666084?view=Summary&amp;uc=75" TargetMode="External"/><Relationship Id="rId612" Type="http://schemas.openxmlformats.org/officeDocument/2006/relationships/hyperlink" Target="https://www.centris.ca/fr/condo~a-vendre~laval-sainte-dorothee/16886738?view=Summary&amp;uc=232" TargetMode="External"/><Relationship Id="rId794" Type="http://schemas.openxmlformats.org/officeDocument/2006/relationships/hyperlink" Target="https://www.centris.ca/fr/condo~a-vendre~montreal-saint-laurent/18760291?view=Summary&amp;uc=103" TargetMode="External"/><Relationship Id="rId251" Type="http://schemas.openxmlformats.org/officeDocument/2006/relationships/hyperlink" Target="https://www.centris.ca/fr/condo~a-vendre~laval-sainte-dorothee/22191814?view=Summary&amp;uc=155" TargetMode="External"/><Relationship Id="rId489" Type="http://schemas.openxmlformats.org/officeDocument/2006/relationships/hyperlink" Target="https://www.centris.ca/fr/condo~a-vendre~montreal-verdun-ile-des-soeurs/10956088?view=Summary&amp;uc=261" TargetMode="External"/><Relationship Id="rId654" Type="http://schemas.openxmlformats.org/officeDocument/2006/relationships/hyperlink" Target="https://www.centris.ca/fr/condo~a-vendre~laval-chomedey/24097797?view=Summary&amp;uc=257" TargetMode="External"/><Relationship Id="rId696" Type="http://schemas.openxmlformats.org/officeDocument/2006/relationships/hyperlink" Target="https://www.centris.ca/fr/maison~a-vendre~laval-laval-des-rapides/17590108?view=Summary&amp;uc=19" TargetMode="External"/><Relationship Id="rId861" Type="http://schemas.openxmlformats.org/officeDocument/2006/relationships/vmlDrawing" Target="../drawings/vmlDrawing1.vml"/><Relationship Id="rId46" Type="http://schemas.openxmlformats.org/officeDocument/2006/relationships/hyperlink" Target="https://www.centris.ca/en/condos~for-sale~montreal-lasalle/11514734?view=Summary&amp;uc=42" TargetMode="External"/><Relationship Id="rId293" Type="http://schemas.openxmlformats.org/officeDocument/2006/relationships/hyperlink" Target="https://www.centris.ca/fr/condo~a-vendre~laval-duvernay/13345332?view=Summary&amp;uc=146" TargetMode="External"/><Relationship Id="rId307" Type="http://schemas.openxmlformats.org/officeDocument/2006/relationships/hyperlink" Target="https://www.centris.ca/fr/condo~a-vendre~laval-duvernay/19279963?view=Summary&amp;uc=151" TargetMode="External"/><Relationship Id="rId349" Type="http://schemas.openxmlformats.org/officeDocument/2006/relationships/hyperlink" Target="https://www.centris.ca/fr/condo~a-vendre~laval-fabreville/9286006?view=Summary&amp;uc=215" TargetMode="External"/><Relationship Id="rId514" Type="http://schemas.openxmlformats.org/officeDocument/2006/relationships/hyperlink" Target="https://www.centris.ca/fr/condo~a-vendre~laval-chomedey/16531055?view=Summary&amp;uc=313" TargetMode="External"/><Relationship Id="rId556" Type="http://schemas.openxmlformats.org/officeDocument/2006/relationships/hyperlink" Target="https://www.centris.ca/fr/condo~a-vendre~laval-laval-des-rapides/28007285?view=Summary&amp;uc=258" TargetMode="External"/><Relationship Id="rId721" Type="http://schemas.openxmlformats.org/officeDocument/2006/relationships/hyperlink" Target="https://www.centris.ca/fr/condo~a-vendre~laval-pont-viau/18552827?view=Summary&amp;uc=65" TargetMode="External"/><Relationship Id="rId763" Type="http://schemas.openxmlformats.org/officeDocument/2006/relationships/hyperlink" Target="https://www.centris.ca/fr/condo~a-vendre~montreal-saint-laurent/22313105?view=Summary&amp;uc=376" TargetMode="External"/><Relationship Id="rId88" Type="http://schemas.openxmlformats.org/officeDocument/2006/relationships/hyperlink" Target="https://www.centris.ca/fr/condo~a-vendre~montreal-lasalle/21582274?view=Summary&amp;uc=49" TargetMode="External"/><Relationship Id="rId111" Type="http://schemas.openxmlformats.org/officeDocument/2006/relationships/hyperlink" Target="https://www.centris.ca/fr/condo~a-vendre~montreal-lachine/28530686?view=Summary&amp;uc=34" TargetMode="External"/><Relationship Id="rId153" Type="http://schemas.openxmlformats.org/officeDocument/2006/relationships/hyperlink" Target="https://www.centris.ca/fr/duplex~a-vendre~montreal-lachine/11474158?view=Summary&amp;uc=43" TargetMode="External"/><Relationship Id="rId195" Type="http://schemas.openxmlformats.org/officeDocument/2006/relationships/hyperlink" Target="https://www.centris.ca/fr/condo~a-vendre~laval-chomedey/15941594?view=Summary&amp;uc=98" TargetMode="External"/><Relationship Id="rId209" Type="http://schemas.openxmlformats.org/officeDocument/2006/relationships/hyperlink" Target="https://www.centris.ca/fr/condo~a-vendre~laval-chomedey/19952294?view=Summary&amp;uc=117" TargetMode="External"/><Relationship Id="rId360" Type="http://schemas.openxmlformats.org/officeDocument/2006/relationships/hyperlink" Target="https://www.centris.ca/en/condos~for-sale~brossard/27239180?view=Summary&amp;uc=21" TargetMode="External"/><Relationship Id="rId416" Type="http://schemas.openxmlformats.org/officeDocument/2006/relationships/hyperlink" Target="https://www.centris.ca/en/duplexes~for-sale~montreal-lachine/19921561?view=Summary&amp;uc=62" TargetMode="External"/><Relationship Id="rId598" Type="http://schemas.openxmlformats.org/officeDocument/2006/relationships/hyperlink" Target="https://www.centris.ca/fr/condo~a-vendre~laval-sainte-dorothee/17551536?view=Summary&amp;uc=216" TargetMode="External"/><Relationship Id="rId819" Type="http://schemas.openxmlformats.org/officeDocument/2006/relationships/hyperlink" Target="https://www.centris.ca/fr/maison~a-vendre~montreal-saint-laurent/12836245?view=Summary&amp;uc=109" TargetMode="External"/><Relationship Id="rId220" Type="http://schemas.openxmlformats.org/officeDocument/2006/relationships/hyperlink" Target="https://www.centris.ca/fr/condo~a-vendre~laval-chomedey/17083515?view=Summary&amp;uc=134" TargetMode="External"/><Relationship Id="rId458" Type="http://schemas.openxmlformats.org/officeDocument/2006/relationships/hyperlink" Target="https://www.centris.ca/en/duplexes~for-sale~montreal-verdun-ile-des-soeurs/10440883?view=Summary&amp;uc=95" TargetMode="External"/><Relationship Id="rId623" Type="http://schemas.openxmlformats.org/officeDocument/2006/relationships/hyperlink" Target="https://www.centris.ca/fr/condo~a-vendre~laval-chomedey/27676576?view=Summary&amp;uc=223" TargetMode="External"/><Relationship Id="rId665" Type="http://schemas.openxmlformats.org/officeDocument/2006/relationships/hyperlink" Target="https://www.centris.ca/fr/condo~a-vendre~laval-chomedey/23031814?view=Summary&amp;uc=276" TargetMode="External"/><Relationship Id="rId830" Type="http://schemas.openxmlformats.org/officeDocument/2006/relationships/hyperlink" Target="https://www.centris.ca/fr/maison~a-vendre~montreal-saint-laurent/12898300?view=Summary&amp;uc=124" TargetMode="External"/><Relationship Id="rId15" Type="http://schemas.openxmlformats.org/officeDocument/2006/relationships/hyperlink" Target="https://www.centris.ca/en/condos~for-sale~montreal-verdun-ile-des-soeurs/17453064?view=Summary&amp;uc=24" TargetMode="External"/><Relationship Id="rId57" Type="http://schemas.openxmlformats.org/officeDocument/2006/relationships/hyperlink" Target="https://www.centris.ca/fr/condo~a-vendre~montreal-lasalle/20426629?view=Summary&amp;uc=25" TargetMode="External"/><Relationship Id="rId262" Type="http://schemas.openxmlformats.org/officeDocument/2006/relationships/hyperlink" Target="https://www.centris.ca/fr/condo~a-vendre~laval-sainte-dorothee/18545694?view=Summary&amp;uc=167" TargetMode="External"/><Relationship Id="rId318" Type="http://schemas.openxmlformats.org/officeDocument/2006/relationships/hyperlink" Target="https://www.centris.ca/fr/condo~a-vendre~laval-duvernay/14514908?view=Summary&amp;uc=166" TargetMode="External"/><Relationship Id="rId525" Type="http://schemas.openxmlformats.org/officeDocument/2006/relationships/hyperlink" Target="https://www.centris.ca/fr/condo~a-vendre~laval-chomedey/25577012?view=Summary&amp;uc=328" TargetMode="External"/><Relationship Id="rId567" Type="http://schemas.openxmlformats.org/officeDocument/2006/relationships/hyperlink" Target="https://www.centris.ca/fr/condo~a-vendre~laval-laval-des-rapides/18456763?view=Summary&amp;uc=268" TargetMode="External"/><Relationship Id="rId732" Type="http://schemas.openxmlformats.org/officeDocument/2006/relationships/hyperlink" Target="https://www.centris.ca/fr/maison~a-vendre~laval-pont-viau/9530881?view=Summary&amp;uc=79" TargetMode="External"/><Relationship Id="rId99" Type="http://schemas.openxmlformats.org/officeDocument/2006/relationships/hyperlink" Target="https://www.centris.ca/fr/condo" TargetMode="External"/><Relationship Id="rId122" Type="http://schemas.openxmlformats.org/officeDocument/2006/relationships/hyperlink" Target="https://www.centris.ca/fr/condo~a-vendre~montreal-lachine/23428972?view=Summary&amp;uc=50" TargetMode="External"/><Relationship Id="rId164" Type="http://schemas.openxmlformats.org/officeDocument/2006/relationships/hyperlink" Target="https://www.centris.ca/fr/condo~a-vendre~laval-chomedey/15296122?view=Summary&amp;uc=60" TargetMode="External"/><Relationship Id="rId371" Type="http://schemas.openxmlformats.org/officeDocument/2006/relationships/hyperlink" Target="https://www.centris.ca/en/condos~for-sale~brossard/13628552?view=Summary&amp;uc=35" TargetMode="External"/><Relationship Id="rId774" Type="http://schemas.openxmlformats.org/officeDocument/2006/relationships/hyperlink" Target="https://www.centris.ca/fr/condo~a-vendre~montreal-saint-laurent/23557970?view=Summary&amp;uc=82" TargetMode="External"/><Relationship Id="rId427" Type="http://schemas.openxmlformats.org/officeDocument/2006/relationships/hyperlink" Target="https://www.centris.ca/en/condos~for-sale~montreal-verdun-ile-des-soeurs/20425839?view=Summary&amp;uc=77" TargetMode="External"/><Relationship Id="rId469" Type="http://schemas.openxmlformats.org/officeDocument/2006/relationships/hyperlink" Target="https://www.centris.ca/fr/condo~a-vendre~montreal-verdun-ile-des-soeurs/20119949?view=Summary&amp;uc=233" TargetMode="External"/><Relationship Id="rId634" Type="http://schemas.openxmlformats.org/officeDocument/2006/relationships/hyperlink" Target="https://www.centris.ca/fr/condo~a-vendre~laval-chomedey/20351455?view=Summary&amp;uc=207" TargetMode="External"/><Relationship Id="rId676" Type="http://schemas.openxmlformats.org/officeDocument/2006/relationships/hyperlink" Target="https://duproprio.com/fr/laval/pont-viau/quadruplex-a-vendre/hab-657-rue-cousineau-1043958" TargetMode="External"/><Relationship Id="rId841" Type="http://schemas.openxmlformats.org/officeDocument/2006/relationships/hyperlink" Target="https://www.centris.ca/fr/maison~a-vendre~montreal-saint-laurent/19667856?view=Summary&amp;uc=108" TargetMode="External"/><Relationship Id="rId26" Type="http://schemas.openxmlformats.org/officeDocument/2006/relationships/hyperlink" Target="https://www.centris.ca/en/condos~for-sale~montreal-verdun-ile-des-soeurs/21900469?view=Summary&amp;uc=17" TargetMode="External"/><Relationship Id="rId231" Type="http://schemas.openxmlformats.org/officeDocument/2006/relationships/hyperlink" Target="https://www.centris.ca/fr/condo~a-vendre~laval-chomedey/17955473?view=Summary&amp;uc=113" TargetMode="External"/><Relationship Id="rId273" Type="http://schemas.openxmlformats.org/officeDocument/2006/relationships/hyperlink" Target="https://www.centris.ca/fr/maison~a-vendre~laval-sainte-dorothee/15242567?view=Summary&amp;uc=181" TargetMode="External"/><Relationship Id="rId329" Type="http://schemas.openxmlformats.org/officeDocument/2006/relationships/hyperlink" Target="https://www.centris.ca/fr/condo~a-vendre~laval-fabreville/10522367?view=Summary&amp;uc=183" TargetMode="External"/><Relationship Id="rId480" Type="http://schemas.openxmlformats.org/officeDocument/2006/relationships/hyperlink" Target="https://www.centris.ca/fr/condo~a-vendre~montreal-verdun-ile-des-soeurs/22284231?view=Summary&amp;uc=251" TargetMode="External"/><Relationship Id="rId536" Type="http://schemas.openxmlformats.org/officeDocument/2006/relationships/hyperlink" Target="https://www.centris.ca/fr/condo~a-vendre~laval-chomedey/28460756?view=Summary&amp;uc=339" TargetMode="External"/><Relationship Id="rId701" Type="http://schemas.openxmlformats.org/officeDocument/2006/relationships/hyperlink" Target="https://www.centris.ca/fr/condo~a-vendre~laval-laval-des-rapides/28070465?view=Summary&amp;uc=27" TargetMode="External"/><Relationship Id="rId68" Type="http://schemas.openxmlformats.org/officeDocument/2006/relationships/hyperlink" Target="https://www.centris.ca/fr/condo~a-vendre~montreal-lasalle/20386082?view=Summary&amp;uc=40" TargetMode="External"/><Relationship Id="rId133" Type="http://schemas.openxmlformats.org/officeDocument/2006/relationships/hyperlink" Target="https://www.centris.ca/fr/condo~a-vendre~montreal-lachine/20376513?view=Summary&amp;uc=44" TargetMode="External"/><Relationship Id="rId175" Type="http://schemas.openxmlformats.org/officeDocument/2006/relationships/hyperlink" Target="https://www.centris.ca/fr/condo~a-vendre~laval-chomedey/14751816?view=Summary&amp;uc=75" TargetMode="External"/><Relationship Id="rId340" Type="http://schemas.openxmlformats.org/officeDocument/2006/relationships/hyperlink" Target="https://www.centris.ca/fr/maison~a-vendre~laval-fabreville/27991353?view=Summary&amp;uc=201" TargetMode="External"/><Relationship Id="rId578" Type="http://schemas.openxmlformats.org/officeDocument/2006/relationships/hyperlink" Target="https://www.centris.ca/fr/condo~a-vendre~laval-duvernay/17487664?view=Summary&amp;uc=293" TargetMode="External"/><Relationship Id="rId743" Type="http://schemas.openxmlformats.org/officeDocument/2006/relationships/hyperlink" Target="https://www.centris.ca/fr/condo~a-vendre~montreal-saint-laurent/23684379?view=Summary&amp;uc=92" TargetMode="External"/><Relationship Id="rId785" Type="http://schemas.openxmlformats.org/officeDocument/2006/relationships/hyperlink" Target="https://www.centris.ca/fr/condo~a-vendre~montreal-saint-laurent/21157865?view=Summary&amp;uc=90" TargetMode="External"/><Relationship Id="rId200" Type="http://schemas.openxmlformats.org/officeDocument/2006/relationships/hyperlink" Target="https://www.centris.ca/fr/condo~a-vendre~laval-chomedey/16976259?view=Summary&amp;uc=104" TargetMode="External"/><Relationship Id="rId382" Type="http://schemas.openxmlformats.org/officeDocument/2006/relationships/hyperlink" Target="https://www.centris.ca/en/condos~for-sale~brossard/23180293?view=Summary&amp;uc=47" TargetMode="External"/><Relationship Id="rId438" Type="http://schemas.openxmlformats.org/officeDocument/2006/relationships/hyperlink" Target="https://www.centris.ca/en/condos~for-sale~montreal-verdun-ile-des-soeurs/19046563?view=Summary&amp;uc=89" TargetMode="External"/><Relationship Id="rId603" Type="http://schemas.openxmlformats.org/officeDocument/2006/relationships/hyperlink" Target="https://www.centris.ca/fr/condo~a-vendre~laval-sainte-dorothee/25071635?view=Summary&amp;uc=223" TargetMode="External"/><Relationship Id="rId645" Type="http://schemas.openxmlformats.org/officeDocument/2006/relationships/hyperlink" Target="https://www.centris.ca/fr/condo~a-vendre~laval-chomedey/15625556?view=Summary&amp;uc=233" TargetMode="External"/><Relationship Id="rId687" Type="http://schemas.openxmlformats.org/officeDocument/2006/relationships/hyperlink" Target="https://www.centris.ca/fr/condo~a-vendre~laval-laval-des-rapides/18018378?view=Summary&amp;uc=296" TargetMode="External"/><Relationship Id="rId810" Type="http://schemas.openxmlformats.org/officeDocument/2006/relationships/hyperlink" Target="https://www.centris.ca/fr/maison~a-vendre~montreal-saint-laurent/27719455?view=Summary&amp;uc=94" TargetMode="External"/><Relationship Id="rId852" Type="http://schemas.openxmlformats.org/officeDocument/2006/relationships/hyperlink" Target="https://www.centris.ca/fr/maison~a-vendre~montreal-saint-laurent/12397841?view=Summary&amp;uc=120" TargetMode="External"/><Relationship Id="rId242" Type="http://schemas.openxmlformats.org/officeDocument/2006/relationships/hyperlink" Target="https://www.centris.ca/fr/condo~a-vendre~laval-laval-des-rapides/21611581?view=Summary&amp;uc=134" TargetMode="External"/><Relationship Id="rId284" Type="http://schemas.openxmlformats.org/officeDocument/2006/relationships/hyperlink" Target="https://www.centris.ca/fr/condo~a-vendre~laval-duvernay/27105922?view=Summary&amp;uc=135" TargetMode="External"/><Relationship Id="rId491" Type="http://schemas.openxmlformats.org/officeDocument/2006/relationships/hyperlink" Target="https://www.centris.ca/fr/condo~a-vendre~montreal-verdun-ile-des-soeurs/11052274?view=Summary&amp;uc=264" TargetMode="External"/><Relationship Id="rId505" Type="http://schemas.openxmlformats.org/officeDocument/2006/relationships/hyperlink" Target="https://www.centris.ca/fr/condo~a-vendre~laval-chomedey/26984664?view=Summary&amp;uc=299" TargetMode="External"/><Relationship Id="rId712" Type="http://schemas.openxmlformats.org/officeDocument/2006/relationships/hyperlink" Target="https://www.centris.ca/fr/maison~a-vendre~laval-laval-des-rapides/18656111?view=Summary&amp;uc=50" TargetMode="External"/><Relationship Id="rId37" Type="http://schemas.openxmlformats.org/officeDocument/2006/relationships/hyperlink" Target="https://www.centris.ca/en/condos~for-sale~montreal-lasalle/14414525?view=Summary&amp;uc=28" TargetMode="External"/><Relationship Id="rId79" Type="http://schemas.openxmlformats.org/officeDocument/2006/relationships/hyperlink" Target="https://www.centris.ca/fr/condo~a-vendre~montreal-lasalle/13919259?view=Summary&amp;uc=31" TargetMode="External"/><Relationship Id="rId102" Type="http://schemas.openxmlformats.org/officeDocument/2006/relationships/hyperlink" Target="https://www.centris.ca/fr/condo~a-vendre~montreal-lasalle/27027430?view=Summary&amp;uc=52" TargetMode="External"/><Relationship Id="rId144" Type="http://schemas.openxmlformats.org/officeDocument/2006/relationships/hyperlink" Target="https://www.centris.ca/fr/condo~a-vendre~montreal-lachine/12965545?view=Summary&amp;uc=32" TargetMode="External"/><Relationship Id="rId547" Type="http://schemas.openxmlformats.org/officeDocument/2006/relationships/hyperlink" Target="https://www.centris.ca/fr/condo~a-vendre~laval-laval-des-rapides/13330193?view=Summary&amp;uc=354" TargetMode="External"/><Relationship Id="rId589" Type="http://schemas.openxmlformats.org/officeDocument/2006/relationships/hyperlink" Target="https://www.centris.ca/fr/condo~a-vendre~laval-fabreville/20639185?view=Summary&amp;uc=185" TargetMode="External"/><Relationship Id="rId754" Type="http://schemas.openxmlformats.org/officeDocument/2006/relationships/hyperlink" Target="https://www.centris.ca/fr/condo~a-vendre~montreal-saint-laurent/24341190?view=Summary&amp;uc=365" TargetMode="External"/><Relationship Id="rId796" Type="http://schemas.openxmlformats.org/officeDocument/2006/relationships/hyperlink" Target="https://www.centris.ca/fr/condo~a-vendre~montreal-saint-laurent/15717713?view=Summary&amp;uc=105" TargetMode="External"/><Relationship Id="rId90" Type="http://schemas.openxmlformats.org/officeDocument/2006/relationships/hyperlink" Target="https://www.centris.ca/fr/condo~a-vendre~montreal-lasalle/15584207?view=Summary&amp;uc=53" TargetMode="External"/><Relationship Id="rId186" Type="http://schemas.openxmlformats.org/officeDocument/2006/relationships/hyperlink" Target="https://www.centris.ca/fr/condo~a-vendre~laval-chomedey/9928825?view=Summary&amp;uc=87" TargetMode="External"/><Relationship Id="rId351" Type="http://schemas.openxmlformats.org/officeDocument/2006/relationships/hyperlink" Target="https://www.centris.ca/fr/maison~a-vendre~laval-fabreville/28851723?view=Summary&amp;uc=218" TargetMode="External"/><Relationship Id="rId393" Type="http://schemas.openxmlformats.org/officeDocument/2006/relationships/hyperlink" Target="https://www.centris.ca/en/houses~for-sale~montreal-lachine/16238456?view=Summary&amp;uc=46" TargetMode="External"/><Relationship Id="rId407" Type="http://schemas.openxmlformats.org/officeDocument/2006/relationships/hyperlink" Target="https://www.centris.ca/en/condos~for-sale~montreal-lachine/13206420?view=Summary&amp;uc=66" TargetMode="External"/><Relationship Id="rId449" Type="http://schemas.openxmlformats.org/officeDocument/2006/relationships/hyperlink" Target="https://www.centris.ca/en/duplexes~for-sale~montreal-verdun-ile-des-soeurs/16488723?view=Summary&amp;uc=78" TargetMode="External"/><Relationship Id="rId614" Type="http://schemas.openxmlformats.org/officeDocument/2006/relationships/hyperlink" Target="https://www.centris.ca/fr/condo~a-vendre~laval-sainte-dorothee/28679226?view=Summary&amp;uc=235" TargetMode="External"/><Relationship Id="rId656" Type="http://schemas.openxmlformats.org/officeDocument/2006/relationships/hyperlink" Target="https://www.centris.ca/fr/condo~a-vendre~laval-chomedey/11881821?view=Summary&amp;uc=261" TargetMode="External"/><Relationship Id="rId821" Type="http://schemas.openxmlformats.org/officeDocument/2006/relationships/hyperlink" Target="https://www.centris.ca/fr/condo~a-vendre~montreal-saint-laurent/26083814?view=Summary&amp;uc=112" TargetMode="External"/><Relationship Id="rId211" Type="http://schemas.openxmlformats.org/officeDocument/2006/relationships/hyperlink" Target="https://www.centris.ca/fr/condo~a-vendre~laval-chomedey/18988883?view=Summary&amp;uc=123" TargetMode="External"/><Relationship Id="rId253" Type="http://schemas.openxmlformats.org/officeDocument/2006/relationships/hyperlink" Target="https://www.centris.ca/fr/condo~a-vendre~laval-sainte-dorothee/11646122?view=Summary&amp;uc=157" TargetMode="External"/><Relationship Id="rId295" Type="http://schemas.openxmlformats.org/officeDocument/2006/relationships/hyperlink" Target="https://www.centris.ca/fr/condo~a-vendre~laval-duvernay/13904276?view=Summary&amp;uc=134" TargetMode="External"/><Relationship Id="rId309" Type="http://schemas.openxmlformats.org/officeDocument/2006/relationships/hyperlink" Target="https://www.centris.ca/fr/maison~a-vendre~laval-duvernay/14870375?view=Summary&amp;uc=153" TargetMode="External"/><Relationship Id="rId460" Type="http://schemas.openxmlformats.org/officeDocument/2006/relationships/hyperlink" Target="https://www.centris.ca/en/duplexes~for-sale~montreal-verdun-ile-des-soeurs/21054023?view=Summary&amp;uc=97" TargetMode="External"/><Relationship Id="rId516" Type="http://schemas.openxmlformats.org/officeDocument/2006/relationships/hyperlink" Target="https://www.centris.ca/fr/condo~a-vendre~laval-chomedey/16180666?view=Summary&amp;uc=315" TargetMode="External"/><Relationship Id="rId698" Type="http://schemas.openxmlformats.org/officeDocument/2006/relationships/hyperlink" Target="https://www.centris.ca/fr/condo~a-vendre~laval-laval-des-rapides/24293420?view=Summary&amp;uc=21" TargetMode="External"/><Relationship Id="rId48" Type="http://schemas.openxmlformats.org/officeDocument/2006/relationships/hyperlink" Target="https://www.centris.ca/en/condos~for-sale~montreal-lasalle/13749205?view=Summary&amp;uc=46" TargetMode="External"/><Relationship Id="rId113" Type="http://schemas.openxmlformats.org/officeDocument/2006/relationships/hyperlink" Target="https://www.centris.ca/fr/condo~a-vendre~montreal-lachine/27619697?view=Summary&amp;uc=37" TargetMode="External"/><Relationship Id="rId320" Type="http://schemas.openxmlformats.org/officeDocument/2006/relationships/hyperlink" Target="https://www.centris.ca/fr/maison~a-vendre~laval-duvernay/10114148?view=Summary&amp;uc=169" TargetMode="External"/><Relationship Id="rId558" Type="http://schemas.openxmlformats.org/officeDocument/2006/relationships/hyperlink" Target="https://www.centris.ca/fr/condo~a-vendre~laval-laval-des-rapides/19397720?view=Summary&amp;uc=262" TargetMode="External"/><Relationship Id="rId723" Type="http://schemas.openxmlformats.org/officeDocument/2006/relationships/hyperlink" Target="https://www.centris.ca/fr/condo~a-vendre~laval-pont-viau/27834583?view=Summary&amp;uc=68" TargetMode="External"/><Relationship Id="rId765" Type="http://schemas.openxmlformats.org/officeDocument/2006/relationships/hyperlink" Target="https://www.centris.ca/fr/condo~a-vendre~montreal-saint-laurent/19344778?view=Summary&amp;uc=378" TargetMode="External"/><Relationship Id="rId155" Type="http://schemas.openxmlformats.org/officeDocument/2006/relationships/hyperlink" Target="https://www.centris.ca/fr/condo~a-vendre~laval-chomedey/23418001?view=Summary&amp;uc=49" TargetMode="External"/><Relationship Id="rId197" Type="http://schemas.openxmlformats.org/officeDocument/2006/relationships/hyperlink" Target="https://www.centris.ca/fr/condo~a-vendre~laval-chomedey/27726600?view=Summary&amp;uc=100" TargetMode="External"/><Relationship Id="rId362" Type="http://schemas.openxmlformats.org/officeDocument/2006/relationships/hyperlink" Target="https://www.centris.ca/en/lofts-studios~for-sale~brossard/20701789?view=Summary&amp;uc=23" TargetMode="External"/><Relationship Id="rId418" Type="http://schemas.openxmlformats.org/officeDocument/2006/relationships/hyperlink" Target="https://www.centris.ca/en/condos~for-sale~montreal-lachine/22388255?view=Summary&amp;uc=66" TargetMode="External"/><Relationship Id="rId625" Type="http://schemas.openxmlformats.org/officeDocument/2006/relationships/hyperlink" Target="https://www.centris.ca/fr/condo~a-vendre~laval-chomedey/13709913?view=Summary&amp;uc=226" TargetMode="External"/><Relationship Id="rId832" Type="http://schemas.openxmlformats.org/officeDocument/2006/relationships/hyperlink" Target="https://www.centris.ca/fr/duplex~a-vendre~montreal-saint-laurent/26045126?view=Summary&amp;uc=126" TargetMode="External"/><Relationship Id="rId222" Type="http://schemas.openxmlformats.org/officeDocument/2006/relationships/hyperlink" Target="https://www.centris.ca/fr/condo~a-vendre~laval-chomedey/22207216?view=Summary&amp;uc=136" TargetMode="External"/><Relationship Id="rId264" Type="http://schemas.openxmlformats.org/officeDocument/2006/relationships/hyperlink" Target="https://www.centris.ca/fr/maison~a-vendre~laval-sainte-dorothee/26475736?view=Summary&amp;uc=169" TargetMode="External"/><Relationship Id="rId471" Type="http://schemas.openxmlformats.org/officeDocument/2006/relationships/hyperlink" Target="https://www.centris.ca/fr/condo~a-vendre~montreal-verdun-ile-des-soeurs/12887347?view=Summary&amp;uc=235" TargetMode="External"/><Relationship Id="rId667" Type="http://schemas.openxmlformats.org/officeDocument/2006/relationships/hyperlink" Target="https://www.centris.ca/fr/condo~a-vendre~laval-chomedey/26105175?view=Summary&amp;uc=279" TargetMode="External"/><Relationship Id="rId17" Type="http://schemas.openxmlformats.org/officeDocument/2006/relationships/hyperlink" Target="https://www.centris.ca/en/condos~for-sale~montreal-verdun-ile-des-soeurs/22307559?view=Summary&amp;uc=2" TargetMode="External"/><Relationship Id="rId59" Type="http://schemas.openxmlformats.org/officeDocument/2006/relationships/hyperlink" Target="https://www.centris.ca/fr/condo~a-vendre~montreal-lasalle/27964159?view=Summary&amp;uc=28" TargetMode="External"/><Relationship Id="rId124" Type="http://schemas.openxmlformats.org/officeDocument/2006/relationships/hyperlink" Target="https://www.centris.ca/fr/condo~a-vendre~montreal-lachine/11263898?view=Summary&amp;uc=57" TargetMode="External"/><Relationship Id="rId527" Type="http://schemas.openxmlformats.org/officeDocument/2006/relationships/hyperlink" Target="https://www.centris.ca/fr/maison-en-copropriete~a-vendre~laval-chomedey/18896207?view=Summary&amp;uc=330" TargetMode="External"/><Relationship Id="rId569" Type="http://schemas.openxmlformats.org/officeDocument/2006/relationships/hyperlink" Target="https://www.centris.ca/fr/condo~a-vendre~laval-laval-des-rapides/26513782?view=Summary&amp;uc=274" TargetMode="External"/><Relationship Id="rId734" Type="http://schemas.openxmlformats.org/officeDocument/2006/relationships/hyperlink" Target="https://www.centris.ca/fr/maison~a-vendre~laval-pont-viau/21717375?view=Summary&amp;uc=83" TargetMode="External"/><Relationship Id="rId776" Type="http://schemas.openxmlformats.org/officeDocument/2006/relationships/hyperlink" Target="https://www.centris.ca/fr/condo~a-vendre~montreal-saint-laurent/27266032?view=Summary&amp;uc=84" TargetMode="External"/><Relationship Id="rId70" Type="http://schemas.openxmlformats.org/officeDocument/2006/relationships/hyperlink" Target="https://www.centris.ca/fr/condo~a-vendre~montreal-lasalle/9660912?view=Summary&amp;uc=42" TargetMode="External"/><Relationship Id="rId166" Type="http://schemas.openxmlformats.org/officeDocument/2006/relationships/hyperlink" Target="https://www.centris.ca/fr/condo~a-vendre~laval-chomedey/20750883?view=Summary&amp;uc=47" TargetMode="External"/><Relationship Id="rId331" Type="http://schemas.openxmlformats.org/officeDocument/2006/relationships/hyperlink" Target="https://www.centris.ca/fr/condo~a-vendre~laval-fabreville/20639185?view=Summary&amp;uc=185" TargetMode="External"/><Relationship Id="rId373" Type="http://schemas.openxmlformats.org/officeDocument/2006/relationships/hyperlink" Target="https://www.centris.ca/en/condos~for-sale~brossard/20920121?view=Summary&amp;uc=37" TargetMode="External"/><Relationship Id="rId429" Type="http://schemas.openxmlformats.org/officeDocument/2006/relationships/hyperlink" Target="https://www.centris.ca/en/condos~for-sale~montreal-verdun-ile-des-soeurs/19079330?view=Summary&amp;uc=79" TargetMode="External"/><Relationship Id="rId580" Type="http://schemas.openxmlformats.org/officeDocument/2006/relationships/hyperlink" Target="https://www.centris.ca/fr/condo~a-vendre~laval-duvernay/28287188?view=Summary&amp;uc=295" TargetMode="External"/><Relationship Id="rId636" Type="http://schemas.openxmlformats.org/officeDocument/2006/relationships/hyperlink" Target="https://www.centris.ca/fr/condo~a-vendre~laval-chomedey/11101108?view=Summary&amp;uc=214" TargetMode="External"/><Relationship Id="rId801" Type="http://schemas.openxmlformats.org/officeDocument/2006/relationships/hyperlink" Target="https://www.centris.ca/fr/condo~a-vendre~montreal-saint-laurent/22478437?view=Summary&amp;uc=111" TargetMode="External"/><Relationship Id="rId1" Type="http://schemas.openxmlformats.org/officeDocument/2006/relationships/hyperlink" Target="https://www.centris.ca/en/condos~for-sale~montreal-verdun-ile-des-soeurs/27273245?view=Summary&amp;uc=1" TargetMode="External"/><Relationship Id="rId233" Type="http://schemas.openxmlformats.org/officeDocument/2006/relationships/hyperlink" Target="https://www.centris.ca/fr/condo~a-vendre~laval-laval-des-rapides/23658079?view=Summary&amp;uc=117" TargetMode="External"/><Relationship Id="rId440" Type="http://schemas.openxmlformats.org/officeDocument/2006/relationships/hyperlink" Target="https://www.centris.ca/en/condos~for-sale~montreal-verdun-ile-des-soeurs/11585024?view=Summary&amp;uc=92" TargetMode="External"/><Relationship Id="rId678" Type="http://schemas.openxmlformats.org/officeDocument/2006/relationships/hyperlink" Target="https://duproprio.com/fr/laval/pont-viau/quadruplex-a-vendre/hab-1065-rue-patenaude-1003730" TargetMode="External"/><Relationship Id="rId843" Type="http://schemas.openxmlformats.org/officeDocument/2006/relationships/hyperlink" Target="https://www.centris.ca/fr/maison~a-vendre~montreal-saint-laurent/23236675?view=Summary&amp;uc=110" TargetMode="External"/><Relationship Id="rId28" Type="http://schemas.openxmlformats.org/officeDocument/2006/relationships/hyperlink" Target="https://www.centris.ca/en/condos~for-sale~montreal-lasalle/15437836?view=Summary&amp;uc=20" TargetMode="External"/><Relationship Id="rId275" Type="http://schemas.openxmlformats.org/officeDocument/2006/relationships/hyperlink" Target="https://www.centris.ca/fr/maison~a-vendre~laval-sainte-dorothee/10554189?view=Summary&amp;uc=183" TargetMode="External"/><Relationship Id="rId300" Type="http://schemas.openxmlformats.org/officeDocument/2006/relationships/hyperlink" Target="https://www.centris.ca/fr/maison~a-vendre~laval-duvernay/26574443?view=Summary&amp;uc=140" TargetMode="External"/><Relationship Id="rId482" Type="http://schemas.openxmlformats.org/officeDocument/2006/relationships/hyperlink" Target="https://www.centris.ca/fr/condo~a-vendre~montreal-verdun-ile-des-soeurs/24677265?view=Summary&amp;uc=253" TargetMode="External"/><Relationship Id="rId538" Type="http://schemas.openxmlformats.org/officeDocument/2006/relationships/hyperlink" Target="https://www.centris.ca/fr/condo~a-vendre~laval-chomedey/23863902?view=Summary&amp;uc=342" TargetMode="External"/><Relationship Id="rId703" Type="http://schemas.openxmlformats.org/officeDocument/2006/relationships/hyperlink" Target="https://www.centris.ca/fr/maison~a-vendre~laval-laval-des-rapides/13757387?view=Summary&amp;uc=32" TargetMode="External"/><Relationship Id="rId745" Type="http://schemas.openxmlformats.org/officeDocument/2006/relationships/hyperlink" Target="https://www.centris.ca/fr/condo~a-vendre~montreal-saint-laurent/20706109?view=Summary&amp;uc=94" TargetMode="External"/><Relationship Id="rId81" Type="http://schemas.openxmlformats.org/officeDocument/2006/relationships/hyperlink" Target="https://www.centris.ca/fr/condo~a-vendre~montreal-lasalle/20950434?view=Summary&amp;uc=35" TargetMode="External"/><Relationship Id="rId135" Type="http://schemas.openxmlformats.org/officeDocument/2006/relationships/hyperlink" Target="https://www.centris.ca/fr/condo~a-vendre~montreal-lachine/14123689?view=Summary&amp;uc=46" TargetMode="External"/><Relationship Id="rId177" Type="http://schemas.openxmlformats.org/officeDocument/2006/relationships/hyperlink" Target="https://www.centris.ca/fr/condo~a-vendre~laval-chomedey/17567145?view=Summary&amp;uc=78" TargetMode="External"/><Relationship Id="rId342" Type="http://schemas.openxmlformats.org/officeDocument/2006/relationships/hyperlink" Target="https://www.centris.ca/fr/condo~a-vendre~laval-fabreville/26088048?view=Summary&amp;uc=203" TargetMode="External"/><Relationship Id="rId384" Type="http://schemas.openxmlformats.org/officeDocument/2006/relationships/hyperlink" Target="https://www.centris.ca/en/condos~for-sale~brossard/22689118?view=Summary&amp;uc=51" TargetMode="External"/><Relationship Id="rId591" Type="http://schemas.openxmlformats.org/officeDocument/2006/relationships/hyperlink" Target="https://www.centris.ca/fr/condo~a-vendre~laval-fabreville/15396922?view=Summary&amp;uc=195" TargetMode="External"/><Relationship Id="rId605" Type="http://schemas.openxmlformats.org/officeDocument/2006/relationships/hyperlink" Target="https://www.centris.ca/fr/condo~a-vendre~laval-sainte-dorothee/14821014?view=Summary&amp;uc=225" TargetMode="External"/><Relationship Id="rId787" Type="http://schemas.openxmlformats.org/officeDocument/2006/relationships/hyperlink" Target="https://www.centris.ca/fr/condo~a-vendre~montreal-saint-laurent/25202477?view=Summary&amp;uc=94" TargetMode="External"/><Relationship Id="rId812" Type="http://schemas.openxmlformats.org/officeDocument/2006/relationships/hyperlink" Target="https://www.centris.ca/fr/condo~a-vendre~montreal-saint-laurent/23806990?view=Summary&amp;uc=96" TargetMode="External"/><Relationship Id="rId202" Type="http://schemas.openxmlformats.org/officeDocument/2006/relationships/hyperlink" Target="https://www.centris.ca/fr/condo~a-vendre~laval-chomedey/18767136?view=Summary&amp;uc=109" TargetMode="External"/><Relationship Id="rId244" Type="http://schemas.openxmlformats.org/officeDocument/2006/relationships/hyperlink" Target="https://www.centris.ca/fr/condo~a-vendre~laval-laval-des-rapides/15719809?view=Summary&amp;uc=138" TargetMode="External"/><Relationship Id="rId647" Type="http://schemas.openxmlformats.org/officeDocument/2006/relationships/hyperlink" Target="https://www.centris.ca/fr/condo~a-vendre~laval-chomedey/14850117?view=Summary&amp;uc=236" TargetMode="External"/><Relationship Id="rId689" Type="http://schemas.openxmlformats.org/officeDocument/2006/relationships/hyperlink" Target="https://www.centris.ca/fr/condo~a-vendre~laval-laval-des-rapides/23072616?view=Summary&amp;uc=9" TargetMode="External"/><Relationship Id="rId854" Type="http://schemas.openxmlformats.org/officeDocument/2006/relationships/hyperlink" Target="https://www.centris.ca/fr/maison~a-vendre~montreal-saint-laurent/23485724?view=Summary&amp;uc=124" TargetMode="External"/><Relationship Id="rId39" Type="http://schemas.openxmlformats.org/officeDocument/2006/relationships/hyperlink" Target="https://www.centris.ca/en/condos~for-sale~montreal-lasalle/9526825?view=Summary&amp;uc=34" TargetMode="External"/><Relationship Id="rId286" Type="http://schemas.openxmlformats.org/officeDocument/2006/relationships/hyperlink" Target="https://www.centris.ca/fr/condo~a-vendre~laval-duvernay/24584127?view=Summary&amp;uc=138" TargetMode="External"/><Relationship Id="rId451" Type="http://schemas.openxmlformats.org/officeDocument/2006/relationships/hyperlink" Target="https://www.centris.ca/en/condos~for-sale~montreal-verdun-ile-des-soeurs/13444184?view=Summary&amp;uc=81" TargetMode="External"/><Relationship Id="rId493" Type="http://schemas.openxmlformats.org/officeDocument/2006/relationships/hyperlink" Target="https://www.centris.ca/fr/condo~a-vendre~montreal-verdun-ile-des-soeurs/28655682?view=Summary&amp;uc=266" TargetMode="External"/><Relationship Id="rId507" Type="http://schemas.openxmlformats.org/officeDocument/2006/relationships/hyperlink" Target="https://www.centris.ca/fr/condo~a-vendre~laval-chomedey/24841219?view=Summary&amp;uc=302" TargetMode="External"/><Relationship Id="rId549" Type="http://schemas.openxmlformats.org/officeDocument/2006/relationships/hyperlink" Target="https://www.centris.ca/fr/condo~a-vendre~laval-laval-des-rapides/18787254?view=Summary&amp;uc=356" TargetMode="External"/><Relationship Id="rId714" Type="http://schemas.openxmlformats.org/officeDocument/2006/relationships/hyperlink" Target="https://www.centris.ca/fr/maison~a-vendre~laval-laval-des-rapides/22206739?view=Summary&amp;uc=52" TargetMode="External"/><Relationship Id="rId756" Type="http://schemas.openxmlformats.org/officeDocument/2006/relationships/hyperlink" Target="https://www.centris.ca/fr/condo~a-vendre~montreal-saint-laurent/23169558?view=Summary&amp;uc=367" TargetMode="External"/><Relationship Id="rId50" Type="http://schemas.openxmlformats.org/officeDocument/2006/relationships/hyperlink" Target="https://www.centris.ca/fr/condo~a-vendre~montreal-lasalle/22246072?view=Summary&amp;uc=20" TargetMode="External"/><Relationship Id="rId104" Type="http://schemas.openxmlformats.org/officeDocument/2006/relationships/hyperlink" Target="https://www.centris.ca/fr/condo~a-vendre~montreal-lachine/22858259?view=Summary&amp;uc=55" TargetMode="External"/><Relationship Id="rId146" Type="http://schemas.openxmlformats.org/officeDocument/2006/relationships/hyperlink" Target="https://www.centris.ca/fr/condo~a-vendre~montreal-lachine/21786205?view=Summary&amp;uc=34" TargetMode="External"/><Relationship Id="rId188" Type="http://schemas.openxmlformats.org/officeDocument/2006/relationships/hyperlink" Target="https://www.centris.ca/fr/condo~a-vendre~laval-chomedey/9261571?view=Summary&amp;uc=90" TargetMode="External"/><Relationship Id="rId311" Type="http://schemas.openxmlformats.org/officeDocument/2006/relationships/hyperlink" Target="https://www.centris.ca/fr/condo~a-vendre~laval-duvernay/16873023?view=Summary&amp;uc=155" TargetMode="External"/><Relationship Id="rId353" Type="http://schemas.openxmlformats.org/officeDocument/2006/relationships/hyperlink" Target="https://www.centris.ca/fr/maison~a-vendre~laval-fabreville/11506344?view=Summary&amp;uc=179" TargetMode="External"/><Relationship Id="rId395" Type="http://schemas.openxmlformats.org/officeDocument/2006/relationships/hyperlink" Target="https://www.centris.ca/en/condos~for-sale~montreal-lachine/10475098?view=Summary&amp;uc=48" TargetMode="External"/><Relationship Id="rId409" Type="http://schemas.openxmlformats.org/officeDocument/2006/relationships/hyperlink" Target="https://www.centris.ca/en/duplexes~for-sale~montreal-lachine/15588212?view=Summary&amp;uc=69" TargetMode="External"/><Relationship Id="rId560" Type="http://schemas.openxmlformats.org/officeDocument/2006/relationships/hyperlink" Target="https://www.centris.ca/fr/condo~a-vendre~laval-laval-des-rapides/25390947?view=Summary&amp;uc=129" TargetMode="External"/><Relationship Id="rId798" Type="http://schemas.openxmlformats.org/officeDocument/2006/relationships/hyperlink" Target="https://www.centris.ca/fr/condo~a-vendre~montreal-saint-laurent/23711589?view=Summary&amp;uc=107" TargetMode="External"/><Relationship Id="rId92" Type="http://schemas.openxmlformats.org/officeDocument/2006/relationships/hyperlink" Target="https://www.centris.ca/fr/condo~a-vendre~montreal-lasalle/14877412?view=Summary&amp;uc=57" TargetMode="External"/><Relationship Id="rId213" Type="http://schemas.openxmlformats.org/officeDocument/2006/relationships/hyperlink" Target="https://www.centris.ca/fr/condo~a-vendre~laval-chomedey/13389785?view=Summary&amp;uc=125" TargetMode="External"/><Relationship Id="rId420" Type="http://schemas.openxmlformats.org/officeDocument/2006/relationships/hyperlink" Target="https://www.centris.ca/en/houses~for-sale~montreal-lachine/22714330?view=Summary&amp;uc=68" TargetMode="External"/><Relationship Id="rId616" Type="http://schemas.openxmlformats.org/officeDocument/2006/relationships/hyperlink" Target="https://www.centris.ca/fr/condo~a-vendre~laval-chomedey/27259682?view=Summary&amp;uc=208" TargetMode="External"/><Relationship Id="rId658" Type="http://schemas.openxmlformats.org/officeDocument/2006/relationships/hyperlink" Target="https://www.centris.ca/fr/condo~a-vendre~laval-chomedey/13746636?view=Summary&amp;uc=264" TargetMode="External"/><Relationship Id="rId823" Type="http://schemas.openxmlformats.org/officeDocument/2006/relationships/hyperlink" Target="https://www.centris.ca/fr/condo~a-vendre~montreal-saint-laurent/9381282?view=Summary&amp;uc=115" TargetMode="External"/><Relationship Id="rId255" Type="http://schemas.openxmlformats.org/officeDocument/2006/relationships/hyperlink" Target="https://www.centris.ca/fr/condo~a-vendre~laval-sainte-dorothee/17545960?view=Summary&amp;uc=159" TargetMode="External"/><Relationship Id="rId297" Type="http://schemas.openxmlformats.org/officeDocument/2006/relationships/hyperlink" Target="https://www.centris.ca/fr/condo~a-vendre~laval-duvernay/12408242?view=Summary&amp;uc=136" TargetMode="External"/><Relationship Id="rId462" Type="http://schemas.openxmlformats.org/officeDocument/2006/relationships/hyperlink" Target="https://www.centris.ca/en/duplexes~for-sale~montreal-verdun-ile-des-soeurs/28952486?view=Summary&amp;uc=103" TargetMode="External"/><Relationship Id="rId518" Type="http://schemas.openxmlformats.org/officeDocument/2006/relationships/hyperlink" Target="https://www.centris.ca/fr/condo~a-vendre~laval-chomedey/12801011?view=Summary&amp;uc=319" TargetMode="External"/><Relationship Id="rId725" Type="http://schemas.openxmlformats.org/officeDocument/2006/relationships/hyperlink" Target="https://www.centris.ca/fr/maison~a-vendre~laval-pont-viau/19028427?view=Summary&amp;uc=74" TargetMode="External"/><Relationship Id="rId115" Type="http://schemas.openxmlformats.org/officeDocument/2006/relationships/hyperlink" Target="https://www.centris.ca/fr/condo~a-vendre~montreal-lachine/17737883?view=Summary&amp;uc=40" TargetMode="External"/><Relationship Id="rId157" Type="http://schemas.openxmlformats.org/officeDocument/2006/relationships/hyperlink" Target="https://www.centris.ca/fr/condo~a-vendre~laval-chomedey/19313474?view=Summary&amp;uc=52" TargetMode="External"/><Relationship Id="rId322" Type="http://schemas.openxmlformats.org/officeDocument/2006/relationships/hyperlink" Target="https://www.centris.ca/fr/maison~a-vendre~laval-duvernay/13724526?view=Summary&amp;uc=171" TargetMode="External"/><Relationship Id="rId364" Type="http://schemas.openxmlformats.org/officeDocument/2006/relationships/hyperlink" Target="https://www.centris.ca/en/condos~for-sale~brossard/26231046?view=Summary&amp;uc=25" TargetMode="External"/><Relationship Id="rId767" Type="http://schemas.openxmlformats.org/officeDocument/2006/relationships/hyperlink" Target="https://www.centris.ca/fr/condo~a-vendre~montreal-saint-laurent/10177422?view=Summary&amp;uc=380" TargetMode="External"/><Relationship Id="rId61" Type="http://schemas.openxmlformats.org/officeDocument/2006/relationships/hyperlink" Target="https://www.centris.ca/fr/condo~a-vendre~montreal-lasalle/13490864?view=Summary&amp;uc=31" TargetMode="External"/><Relationship Id="rId199" Type="http://schemas.openxmlformats.org/officeDocument/2006/relationships/hyperlink" Target="https://www.centris.ca/fr/condo~a-vendre~laval-chomedey/9123946?view=Summary&amp;uc=102" TargetMode="External"/><Relationship Id="rId571" Type="http://schemas.openxmlformats.org/officeDocument/2006/relationships/hyperlink" Target="https://www.centris.ca/fr/condo~a-vendre~laval-laval-des-rapides/20880623?view=Summary&amp;uc=276" TargetMode="External"/><Relationship Id="rId627" Type="http://schemas.openxmlformats.org/officeDocument/2006/relationships/hyperlink" Target="https://www.centris.ca/fr/condo~a-vendre~laval-chomedey/28478600?view=Summary&amp;uc=228" TargetMode="External"/><Relationship Id="rId669" Type="http://schemas.openxmlformats.org/officeDocument/2006/relationships/hyperlink" Target="https://www.centris.ca/fr/condo~a-vendre~laval-chomedey/17177047?view=Summary&amp;uc=281" TargetMode="External"/><Relationship Id="rId834" Type="http://schemas.openxmlformats.org/officeDocument/2006/relationships/hyperlink" Target="https://www.centris.ca/fr/maison~a-vendre~montreal-saint-laurent/27234231?view=Summary&amp;uc=128" TargetMode="External"/><Relationship Id="rId19" Type="http://schemas.openxmlformats.org/officeDocument/2006/relationships/hyperlink" Target="https://www.centris.ca/en/condos~for-sale~montreal-verdun-ile-des-soeurs/15920384?view=Summary&amp;uc=5" TargetMode="External"/><Relationship Id="rId224" Type="http://schemas.openxmlformats.org/officeDocument/2006/relationships/hyperlink" Target="https://www.centris.ca/fr/condo~a-vendre~laval-chomedey/17680717?view=Summary&amp;uc=138" TargetMode="External"/><Relationship Id="rId266" Type="http://schemas.openxmlformats.org/officeDocument/2006/relationships/hyperlink" Target="https://www.centris.ca/fr/condo~a-vendre~laval-sainte-dorothee/15155465?view=Summary&amp;uc=171" TargetMode="External"/><Relationship Id="rId431" Type="http://schemas.openxmlformats.org/officeDocument/2006/relationships/hyperlink" Target="https://www.centris.ca/en/condos~for-sale~montreal-verdun-ile-des-soeurs/16623850?view=Summary&amp;uc=81" TargetMode="External"/><Relationship Id="rId473" Type="http://schemas.openxmlformats.org/officeDocument/2006/relationships/hyperlink" Target="https://www.centris.ca/fr/condo~a-vendre~montreal-verdun-ile-des-soeurs/20826623?view=Summary&amp;uc=237" TargetMode="External"/><Relationship Id="rId529" Type="http://schemas.openxmlformats.org/officeDocument/2006/relationships/hyperlink" Target="https://www.centris.ca/fr/condo~a-vendre~laval-chomedey/27812094?view=Summary&amp;uc=332" TargetMode="External"/><Relationship Id="rId680" Type="http://schemas.openxmlformats.org/officeDocument/2006/relationships/hyperlink" Target="https://www.centris.ca/fr/condo~a-vendre~laval-laval-des-rapides/12364860?view=Summary&amp;uc=278" TargetMode="External"/><Relationship Id="rId736" Type="http://schemas.openxmlformats.org/officeDocument/2006/relationships/hyperlink" Target="https://www.centris.ca/fr/condo~a-vendre~laval-pont-viau/28633066?view=Summary&amp;uc=85" TargetMode="External"/><Relationship Id="rId30" Type="http://schemas.openxmlformats.org/officeDocument/2006/relationships/hyperlink" Target="https://www.centris.ca/en/condos~for-sale~montreal-lasalle/10009373?view=Summary&amp;uc=20" TargetMode="External"/><Relationship Id="rId126" Type="http://schemas.openxmlformats.org/officeDocument/2006/relationships/hyperlink" Target="https://www.centris.ca/fr/condo~a-vendre~montreal-lachine/21473131?view=Summary&amp;uc=33" TargetMode="External"/><Relationship Id="rId168" Type="http://schemas.openxmlformats.org/officeDocument/2006/relationships/hyperlink" Target="https://www.centris.ca/fr/condo~a-vendre~laval-chomedey/27377145?view=Summary&amp;uc=64" TargetMode="External"/><Relationship Id="rId333" Type="http://schemas.openxmlformats.org/officeDocument/2006/relationships/hyperlink" Target="https://www.centris.ca/fr/condo~a-vendre~laval-fabreville/10529726?view=Summary&amp;uc=187" TargetMode="External"/><Relationship Id="rId540" Type="http://schemas.openxmlformats.org/officeDocument/2006/relationships/hyperlink" Target="https://www.centris.ca/fr/condo~a-vendre~laval-chomedey/20695844?view=Summary&amp;uc=345" TargetMode="External"/><Relationship Id="rId778" Type="http://schemas.openxmlformats.org/officeDocument/2006/relationships/hyperlink" Target="https://www.centris.ca/fr/condo~a-vendre~montreal-saint-laurent/17885752?view=Summary&amp;uc=87" TargetMode="External"/><Relationship Id="rId72" Type="http://schemas.openxmlformats.org/officeDocument/2006/relationships/hyperlink" Target="https://www.centris.ca/fr/condo~a-vendre~montreal-lasalle/26916552?view=Summary&amp;uc=23" TargetMode="External"/><Relationship Id="rId375" Type="http://schemas.openxmlformats.org/officeDocument/2006/relationships/hyperlink" Target="https://www.centris.ca/en/condos~for-sale~brossard/25965397?view=Summary&amp;uc=39" TargetMode="External"/><Relationship Id="rId582" Type="http://schemas.openxmlformats.org/officeDocument/2006/relationships/hyperlink" Target="https://www.centris.ca/fr/condo~a-vendre~laval-duvernay/23937287?view=Summary&amp;uc=298" TargetMode="External"/><Relationship Id="rId638" Type="http://schemas.openxmlformats.org/officeDocument/2006/relationships/hyperlink" Target="https://www.centris.ca/fr/condo~a-vendre~laval-chomedey/21666310?view=Summary&amp;uc=219" TargetMode="External"/><Relationship Id="rId803" Type="http://schemas.openxmlformats.org/officeDocument/2006/relationships/hyperlink" Target="https://www.centris.ca/fr/condo~a-vendre~montreal-saint-laurent/9795035?view=Summary&amp;uc=113" TargetMode="External"/><Relationship Id="rId845" Type="http://schemas.openxmlformats.org/officeDocument/2006/relationships/hyperlink" Target="https://www.centris.ca/fr/duplex~a-vendre~montreal-saint-laurent/13247755?view=Summary&amp;uc=112" TargetMode="External"/><Relationship Id="rId3" Type="http://schemas.openxmlformats.org/officeDocument/2006/relationships/hyperlink" Target="https://www.centris.ca/en/condos~for-sale~montreal-verdun-ile-des-soeurs/11584938?view=Summary&amp;uc=3" TargetMode="External"/><Relationship Id="rId235" Type="http://schemas.openxmlformats.org/officeDocument/2006/relationships/hyperlink" Target="https://www.centris.ca/fr/condo~a-vendre~laval-laval-des-rapides/28107653?view=Summary&amp;uc=120" TargetMode="External"/><Relationship Id="rId277" Type="http://schemas.openxmlformats.org/officeDocument/2006/relationships/hyperlink" Target="https://www.centris.ca/fr/maison~a-vendre~laval-pont-viau/11325773?view=Summary&amp;uc=122" TargetMode="External"/><Relationship Id="rId400" Type="http://schemas.openxmlformats.org/officeDocument/2006/relationships/hyperlink" Target="https://www.centris.ca/en/houses~for-sale~montreal-lachine/20251342?view=Summary&amp;uc=54" TargetMode="External"/><Relationship Id="rId442" Type="http://schemas.openxmlformats.org/officeDocument/2006/relationships/hyperlink" Target="https://www.centris.ca/en/condos~for-sale~montreal-verdun-ile-des-soeurs/16283253?view=Summary&amp;uc=94" TargetMode="External"/><Relationship Id="rId484" Type="http://schemas.openxmlformats.org/officeDocument/2006/relationships/hyperlink" Target="https://www.centris.ca/fr/condo~a-vendre~montreal-verdun-ile-des-soeurs/25261009?view=Summary&amp;uc=255" TargetMode="External"/><Relationship Id="rId705" Type="http://schemas.openxmlformats.org/officeDocument/2006/relationships/hyperlink" Target="https://www.centris.ca/fr/maison~a-vendre~laval-laval-des-rapides/19924346?view=Summary&amp;uc=34" TargetMode="External"/><Relationship Id="rId137" Type="http://schemas.openxmlformats.org/officeDocument/2006/relationships/hyperlink" Target="https://www.centris.ca/fr/maison~a-vendre~montreal-lachine/22475879?view=Summary&amp;uc=48" TargetMode="External"/><Relationship Id="rId302" Type="http://schemas.openxmlformats.org/officeDocument/2006/relationships/hyperlink" Target="https://www.centris.ca/fr/condo~a-vendre~laval-duvernay/21352075?view=Summary&amp;uc=143" TargetMode="External"/><Relationship Id="rId344" Type="http://schemas.openxmlformats.org/officeDocument/2006/relationships/hyperlink" Target="https://www.centris.ca/fr/condo~a-vendre~laval-fabreville/9788419?view=Summary&amp;uc=205" TargetMode="External"/><Relationship Id="rId691" Type="http://schemas.openxmlformats.org/officeDocument/2006/relationships/hyperlink" Target="https://www.centris.ca/fr/condo~a-vendre~laval-laval-des-rapides/20068258?view=Summary&amp;uc=11" TargetMode="External"/><Relationship Id="rId747" Type="http://schemas.openxmlformats.org/officeDocument/2006/relationships/hyperlink" Target="https://www.centris.ca/fr/condo~a-vendre~montreal-saint-laurent/22929107?view=Summary&amp;uc=355" TargetMode="External"/><Relationship Id="rId789" Type="http://schemas.openxmlformats.org/officeDocument/2006/relationships/hyperlink" Target="https://www.centris.ca/fr/condo~a-vendre~montreal-saint-laurent/19568026?view=Summary&amp;uc=96" TargetMode="External"/><Relationship Id="rId41" Type="http://schemas.openxmlformats.org/officeDocument/2006/relationships/hyperlink" Target="https://www.centris.ca/en/condos~for-sale~montreal-lasalle/11690942?view=Summary&amp;uc=36" TargetMode="External"/><Relationship Id="rId83" Type="http://schemas.openxmlformats.org/officeDocument/2006/relationships/hyperlink" Target="https://www.centris.ca/fr/condo~a-vendre~montreal-lasalle/19573573?view=Summary&amp;uc=39" TargetMode="External"/><Relationship Id="rId179" Type="http://schemas.openxmlformats.org/officeDocument/2006/relationships/hyperlink" Target="https://www.centris.ca/fr/condo~a-vendre~laval-chomedey/22550326?view=Summary&amp;uc=80" TargetMode="External"/><Relationship Id="rId386" Type="http://schemas.openxmlformats.org/officeDocument/2006/relationships/hyperlink" Target="https://www.centris.ca/en/condos~for-sale~brossard/16677638?view=Summary&amp;uc=53" TargetMode="External"/><Relationship Id="rId551" Type="http://schemas.openxmlformats.org/officeDocument/2006/relationships/hyperlink" Target="https://www.centris.ca/fr/condo~a-vendre~laval-laval-des-rapides/16081052?view=Summary&amp;uc=359" TargetMode="External"/><Relationship Id="rId593" Type="http://schemas.openxmlformats.org/officeDocument/2006/relationships/hyperlink" Target="https://www.centris.ca/fr/condo~a-vendre~laval-fabreville/21657030?view=Summary&amp;uc=203" TargetMode="External"/><Relationship Id="rId607" Type="http://schemas.openxmlformats.org/officeDocument/2006/relationships/hyperlink" Target="https://www.centris.ca/fr/maison-en-copropriete~a-vendre~laval-sainte-dorothee/15977207?view=Summary&amp;uc=227" TargetMode="External"/><Relationship Id="rId649" Type="http://schemas.openxmlformats.org/officeDocument/2006/relationships/hyperlink" Target="https://www.centris.ca/fr/condo~a-vendre~laval-chomedey/14549341?view=Summary&amp;uc=248" TargetMode="External"/><Relationship Id="rId814" Type="http://schemas.openxmlformats.org/officeDocument/2006/relationships/hyperlink" Target="https://www.centris.ca/fr/maison~a-vendre~montreal-saint-laurent/24673757?view=Summary&amp;uc=99" TargetMode="External"/><Relationship Id="rId856" Type="http://schemas.openxmlformats.org/officeDocument/2006/relationships/hyperlink" Target="https://www.centris.ca/fr/maison~a-vendre~montreal-saint-laurent/13697470?view=Summary&amp;uc=130" TargetMode="External"/><Relationship Id="rId190" Type="http://schemas.openxmlformats.org/officeDocument/2006/relationships/hyperlink" Target="https://www.centris.ca/fr/condo~a-vendre~laval-chomedey/15527929?view=Summary&amp;uc=92" TargetMode="External"/><Relationship Id="rId204" Type="http://schemas.openxmlformats.org/officeDocument/2006/relationships/hyperlink" Target="https://www.centris.ca/fr/condo~a-vendre~laval-chomedey/12231135?view=Summary&amp;uc=111" TargetMode="External"/><Relationship Id="rId246" Type="http://schemas.openxmlformats.org/officeDocument/2006/relationships/hyperlink" Target="https://www.centris.ca/fr/condo~a-vendre~laval-laval-des-rapides/16908838?view=Summary&amp;uc=142" TargetMode="External"/><Relationship Id="rId288" Type="http://schemas.openxmlformats.org/officeDocument/2006/relationships/hyperlink" Target="https://www.centris.ca/fr/condo~a-vendre~laval-duvernay/11322904?view=Summary&amp;uc=140" TargetMode="External"/><Relationship Id="rId411" Type="http://schemas.openxmlformats.org/officeDocument/2006/relationships/hyperlink" Target="https://www.centris.ca/en/condominium-houses" TargetMode="External"/><Relationship Id="rId453" Type="http://schemas.openxmlformats.org/officeDocument/2006/relationships/hyperlink" Target="https://www.centris.ca/en/condos~for-sale~montreal-verdun-ile-des-soeurs/13411509?view=Summary&amp;uc=74" TargetMode="External"/><Relationship Id="rId509" Type="http://schemas.openxmlformats.org/officeDocument/2006/relationships/hyperlink" Target="https://www.centris.ca/fr/condo~a-vendre~laval-chomedey/23532722?view=Summary&amp;uc=306" TargetMode="External"/><Relationship Id="rId660" Type="http://schemas.openxmlformats.org/officeDocument/2006/relationships/hyperlink" Target="https://www.centris.ca/fr/condo~a-vendre~laval-chomedey/27471913?view=Summary&amp;uc=268" TargetMode="External"/><Relationship Id="rId106" Type="http://schemas.openxmlformats.org/officeDocument/2006/relationships/hyperlink" Target="https://www.centris.ca/fr/maison~a-vendre~montreal-lachine/11341129?view=Summary&amp;uc=57" TargetMode="External"/><Relationship Id="rId313" Type="http://schemas.openxmlformats.org/officeDocument/2006/relationships/hyperlink" Target="https://www.centris.ca/fr/condo~a-vendre~laval-duvernay/23430011?view=Summary&amp;uc=158" TargetMode="External"/><Relationship Id="rId495" Type="http://schemas.openxmlformats.org/officeDocument/2006/relationships/hyperlink" Target="https://www.centris.ca/fr/condo~a-vendre~montreal-verdun-ile-des-soeurs/12377279?view=Summary&amp;uc=268" TargetMode="External"/><Relationship Id="rId716" Type="http://schemas.openxmlformats.org/officeDocument/2006/relationships/hyperlink" Target="https://www.centris.ca/fr/condo~a-vendre~laval-laval-des-rapides/23219052?view=Summary&amp;uc=54" TargetMode="External"/><Relationship Id="rId758" Type="http://schemas.openxmlformats.org/officeDocument/2006/relationships/hyperlink" Target="https://www.centris.ca/fr/condo~a-vendre~montreal-saint-laurent/19514462?view=Summary&amp;uc=369" TargetMode="External"/><Relationship Id="rId10" Type="http://schemas.openxmlformats.org/officeDocument/2006/relationships/hyperlink" Target="https://www.centris.ca/en/condos~for-sale~montreal-verdun-ile-des-soeurs/19494284?view=Summary&amp;uc=17" TargetMode="External"/><Relationship Id="rId52" Type="http://schemas.openxmlformats.org/officeDocument/2006/relationships/hyperlink" Target="https://www.centris.ca/fr/condo~a-vendre~montreal-lasalle/10435067?view=Summary&amp;uc=23" TargetMode="External"/><Relationship Id="rId94" Type="http://schemas.openxmlformats.org/officeDocument/2006/relationships/hyperlink" Target="https://www.centris.ca/fr/condo~a-vendre~montreal-lasalle/9055863?view=Summary&amp;uc=36" TargetMode="External"/><Relationship Id="rId148" Type="http://schemas.openxmlformats.org/officeDocument/2006/relationships/hyperlink" Target="https://www.centris.ca/fr/condo~a-vendre~montreal-lachine/9731435?view=Summary&amp;uc=36" TargetMode="External"/><Relationship Id="rId355" Type="http://schemas.openxmlformats.org/officeDocument/2006/relationships/hyperlink" Target="https://www.centris.ca/fr/maison~a-vendre~laval-fabreville/22779592?view=Summary&amp;uc=184" TargetMode="External"/><Relationship Id="rId397" Type="http://schemas.openxmlformats.org/officeDocument/2006/relationships/hyperlink" Target="https://www.centris.ca/en/condos~for-sale~montreal-lachine/19618264?view=Summary&amp;uc=50" TargetMode="External"/><Relationship Id="rId520" Type="http://schemas.openxmlformats.org/officeDocument/2006/relationships/hyperlink" Target="https://www.centris.ca/fr/condo~a-vendre~laval-chomedey/25935421?view=Summary&amp;uc=323" TargetMode="External"/><Relationship Id="rId562" Type="http://schemas.openxmlformats.org/officeDocument/2006/relationships/hyperlink" Target="https://www.centris.ca/fr/condo~a-vendre~laval-laval-des-rapides/24293420?view=Summary&amp;uc=259" TargetMode="External"/><Relationship Id="rId618" Type="http://schemas.openxmlformats.org/officeDocument/2006/relationships/hyperlink" Target="https://www.centris.ca/fr/condo~a-vendre~laval-chomedey/24332082?view=Summary&amp;uc=212" TargetMode="External"/><Relationship Id="rId825" Type="http://schemas.openxmlformats.org/officeDocument/2006/relationships/hyperlink" Target="https://www.centris.ca/fr/condo~a-vendre~montreal-saint-laurent/20885275?view=Summary&amp;uc=118" TargetMode="External"/><Relationship Id="rId215" Type="http://schemas.openxmlformats.org/officeDocument/2006/relationships/hyperlink" Target="https://www.centris.ca/fr/maison~a-vendre~laval-chomedey/11996054?view=Summary&amp;uc=127" TargetMode="External"/><Relationship Id="rId257" Type="http://schemas.openxmlformats.org/officeDocument/2006/relationships/hyperlink" Target="https://www.centris.ca/fr/maison~a-vendre~laval-sainte-dorothee/17001690?view=Summary&amp;uc=162" TargetMode="External"/><Relationship Id="rId422" Type="http://schemas.openxmlformats.org/officeDocument/2006/relationships/hyperlink" Target="https://www.centris.ca/en/duplexes~for-sale~montreal-lachine/9389728?view=Summary&amp;uc=70" TargetMode="External"/><Relationship Id="rId464" Type="http://schemas.openxmlformats.org/officeDocument/2006/relationships/hyperlink" Target="https://www.centris.ca/en/duplexes~for-sale~montreal-verdun-ile-des-soeurs/26732252?view=Summary&amp;uc=75" TargetMode="External"/><Relationship Id="rId299" Type="http://schemas.openxmlformats.org/officeDocument/2006/relationships/hyperlink" Target="https://www.centris.ca/fr/condo~a-vendre~laval-duvernay/17140016?view=Summary&amp;uc=139" TargetMode="External"/><Relationship Id="rId727" Type="http://schemas.openxmlformats.org/officeDocument/2006/relationships/hyperlink" Target="https://www.centris.ca/fr/maison~a-vendre~laval-pont-viau/12138092?view=Summary&amp;uc=76" TargetMode="External"/><Relationship Id="rId63" Type="http://schemas.openxmlformats.org/officeDocument/2006/relationships/hyperlink" Target="https://www.centris.ca/fr/condo~a-vendre~montreal-lasalle/18694780?view=Summary&amp;uc=33" TargetMode="External"/><Relationship Id="rId159" Type="http://schemas.openxmlformats.org/officeDocument/2006/relationships/hyperlink" Target="https://www.centris.ca/fr/condo~a-vendre~laval-chomedey/14414362?view=Summary&amp;uc=54" TargetMode="External"/><Relationship Id="rId366" Type="http://schemas.openxmlformats.org/officeDocument/2006/relationships/hyperlink" Target="https://www.centris.ca/en/condos~for-sale~brossard/28186396?view=Summary&amp;uc=27" TargetMode="External"/><Relationship Id="rId573" Type="http://schemas.openxmlformats.org/officeDocument/2006/relationships/hyperlink" Target="https://www.centris.ca/fr/condo~a-vendre~laval-duvernay/20132076?view=Summary&amp;uc=280" TargetMode="External"/><Relationship Id="rId780" Type="http://schemas.openxmlformats.org/officeDocument/2006/relationships/hyperlink" Target="https://www.centris.ca/fr/condo~a-vendre~montreal-saint-laurent/20141314?view=Summary&amp;uc=89" TargetMode="External"/><Relationship Id="rId226" Type="http://schemas.openxmlformats.org/officeDocument/2006/relationships/hyperlink" Target="https://www.centris.ca/fr/condo~a-vendre~laval-chomedey/27173457?view=Summary&amp;uc=142" TargetMode="External"/><Relationship Id="rId433" Type="http://schemas.openxmlformats.org/officeDocument/2006/relationships/hyperlink" Target="https://www.centris.ca/en/condos~for-sale~montreal-verdun-ile-des-soeurs/21010683?view=Summary&amp;uc=83" TargetMode="External"/><Relationship Id="rId640" Type="http://schemas.openxmlformats.org/officeDocument/2006/relationships/hyperlink" Target="https://www.centris.ca/fr/condo~a-vendre~laval-chomedey/15240702?view=Summary&amp;uc=226" TargetMode="External"/><Relationship Id="rId738" Type="http://schemas.openxmlformats.org/officeDocument/2006/relationships/hyperlink" Target="https://www.centris.ca/fr/condo~a-vendre~laval-pont-viau/20957454?view=Summary&amp;uc=87" TargetMode="External"/><Relationship Id="rId74" Type="http://schemas.openxmlformats.org/officeDocument/2006/relationships/hyperlink" Target="https://www.centris.ca/fr/condo~a-vendre~montreal-lasalle/20909341?view=Summary&amp;uc=23" TargetMode="External"/><Relationship Id="rId377" Type="http://schemas.openxmlformats.org/officeDocument/2006/relationships/hyperlink" Target="https://www.centris.ca/en/condos~for-sale~brossard/25965397?view=Summary&amp;uc=41" TargetMode="External"/><Relationship Id="rId500" Type="http://schemas.openxmlformats.org/officeDocument/2006/relationships/hyperlink" Target="https://www.centris.ca/fr/condo~a-vendre~montreal-verdun-ile-des-soeurs/17978642?view=Summary&amp;uc=273" TargetMode="External"/><Relationship Id="rId584" Type="http://schemas.openxmlformats.org/officeDocument/2006/relationships/hyperlink" Target="https://www.centris.ca/fr/condo~a-vendre~laval-duvernay/12042334?view=Summary&amp;uc=302" TargetMode="External"/><Relationship Id="rId805" Type="http://schemas.openxmlformats.org/officeDocument/2006/relationships/hyperlink" Target="https://www.centris.ca/fr/maison~a-vendre~montreal-saint-laurent/20387599?view=Summary&amp;uc=115" TargetMode="External"/><Relationship Id="rId5" Type="http://schemas.openxmlformats.org/officeDocument/2006/relationships/hyperlink" Target="https://www.centris.ca/en/condos~for-sale~montreal-verdun-ile-des-soeurs/25197549?view=Summary&amp;uc=6" TargetMode="External"/><Relationship Id="rId237" Type="http://schemas.openxmlformats.org/officeDocument/2006/relationships/hyperlink" Target="https://www.centris.ca/fr/condo~a-vendre~laval-laval-des-rapides/16981768?view=Summary&amp;uc=126" TargetMode="External"/><Relationship Id="rId791" Type="http://schemas.openxmlformats.org/officeDocument/2006/relationships/hyperlink" Target="https://www.centris.ca/fr/condo~a-vendre~montreal-saint-laurent/15104665?view=Summary&amp;uc=98" TargetMode="External"/><Relationship Id="rId444" Type="http://schemas.openxmlformats.org/officeDocument/2006/relationships/hyperlink" Target="https://www.centris.ca/en/4plex~for-sale~montreal-verdun-ile-des-soeurs/27158533?view=Summary&amp;uc=97" TargetMode="External"/><Relationship Id="rId651" Type="http://schemas.openxmlformats.org/officeDocument/2006/relationships/hyperlink" Target="https://www.centris.ca/fr/condo~a-vendre~laval-chomedey/12132341?view=Summary&amp;uc=252" TargetMode="External"/><Relationship Id="rId749" Type="http://schemas.openxmlformats.org/officeDocument/2006/relationships/hyperlink" Target="https://www.centris.ca/fr/condo~a-vendre~montreal-saint-laurent/10414434?view=Summary&amp;uc=360" TargetMode="External"/><Relationship Id="rId290" Type="http://schemas.openxmlformats.org/officeDocument/2006/relationships/hyperlink" Target="https://www.centris.ca/fr/condo~a-vendre~laval-duvernay/12219849?view=Summary&amp;uc=143" TargetMode="External"/><Relationship Id="rId304" Type="http://schemas.openxmlformats.org/officeDocument/2006/relationships/hyperlink" Target="https://www.centris.ca/fr/condo~a-vendre~laval-duvernay/12042334?view=Summary&amp;uc=147" TargetMode="External"/><Relationship Id="rId388" Type="http://schemas.openxmlformats.org/officeDocument/2006/relationships/hyperlink" Target="https://www.centris.ca/en/condos~for-sale~brossard/24439227?view=Summary&amp;uc=225" TargetMode="External"/><Relationship Id="rId511" Type="http://schemas.openxmlformats.org/officeDocument/2006/relationships/hyperlink" Target="https://www.centris.ca/fr/condo~a-vendre~laval-chomedey/17955473?view=Summary&amp;uc=310" TargetMode="External"/><Relationship Id="rId609" Type="http://schemas.openxmlformats.org/officeDocument/2006/relationships/hyperlink" Target="https://www.centris.ca/fr/condo~a-vendre~laval-sainte-dorothee/12402550?view=Summary&amp;uc=229" TargetMode="External"/><Relationship Id="rId85" Type="http://schemas.openxmlformats.org/officeDocument/2006/relationships/hyperlink" Target="https://www.centris.ca/fr/condo~a-vendre~montreal-lasalle/25025142?view=Summary&amp;uc=44" TargetMode="External"/><Relationship Id="rId150" Type="http://schemas.openxmlformats.org/officeDocument/2006/relationships/hyperlink" Target="https://www.centris.ca/fr/maison-en-copropriete~a-vendre~montreal-lachine/21003052?view=Summary&amp;uc=38" TargetMode="External"/><Relationship Id="rId595" Type="http://schemas.openxmlformats.org/officeDocument/2006/relationships/hyperlink" Target="https://www.centris.ca/fr/condo~a-vendre~laval-sainte-dorothee/25979834?view=Summary&amp;uc=209" TargetMode="External"/><Relationship Id="rId816" Type="http://schemas.openxmlformats.org/officeDocument/2006/relationships/hyperlink" Target="https://www.centris.ca/fr/maison~a-vendre~montreal-saint-laurent/20426343?view=Summary&amp;uc=103" TargetMode="External"/><Relationship Id="rId248" Type="http://schemas.openxmlformats.org/officeDocument/2006/relationships/hyperlink" Target="https://www.centris.ca/fr/condo~a-vendre~laval-laval-des-rapides/21490567?view=Summary&amp;uc=146" TargetMode="External"/><Relationship Id="rId455" Type="http://schemas.openxmlformats.org/officeDocument/2006/relationships/hyperlink" Target="https://www.centris.ca/en/triplexes~for-sale~montreal-verdun-ile-des-soeurs/9224237?view=Summary&amp;uc=88" TargetMode="External"/><Relationship Id="rId662" Type="http://schemas.openxmlformats.org/officeDocument/2006/relationships/hyperlink" Target="https://www.centris.ca/fr/condo~a-vendre~laval-chomedey/15401978?view=Summary&amp;uc=270" TargetMode="External"/><Relationship Id="rId12" Type="http://schemas.openxmlformats.org/officeDocument/2006/relationships/hyperlink" Target="https://www.centris.ca/en/condos~for-sale~montreal-verdun-ile-des-soeurs/25197809?view=Summary&amp;uc=19" TargetMode="External"/><Relationship Id="rId108" Type="http://schemas.openxmlformats.org/officeDocument/2006/relationships/hyperlink" Target="https://www.centris.ca/fr/condo~a-vendre~montreal-lachine/11202859?view=Summary&amp;uc=32" TargetMode="External"/><Relationship Id="rId315" Type="http://schemas.openxmlformats.org/officeDocument/2006/relationships/hyperlink" Target="https://www.centris.ca/fr/condo~a-vendre~laval-duvernay/10797621?view=Summary&amp;uc=162" TargetMode="External"/><Relationship Id="rId522" Type="http://schemas.openxmlformats.org/officeDocument/2006/relationships/hyperlink" Target="https://www.centris.ca/fr/condo~a-vendre~laval-chomedey/12931816?view=Summary&amp;uc=325" TargetMode="External"/><Relationship Id="rId96" Type="http://schemas.openxmlformats.org/officeDocument/2006/relationships/hyperlink" Target="https://www.centris.ca/fr/condo~a-vendre~montreal-lasalle/18962553?view=Summary&amp;uc=39" TargetMode="External"/><Relationship Id="rId161" Type="http://schemas.openxmlformats.org/officeDocument/2006/relationships/hyperlink" Target="https://www.centris.ca/fr/condo~a-vendre~laval-chomedey/15840891?view=Summary&amp;uc=57" TargetMode="External"/><Relationship Id="rId399" Type="http://schemas.openxmlformats.org/officeDocument/2006/relationships/hyperlink" Target="https://www.centris.ca/en/houses~for-sale~montreal-lachine/16864168?view=Summary&amp;uc=53" TargetMode="External"/><Relationship Id="rId827" Type="http://schemas.openxmlformats.org/officeDocument/2006/relationships/hyperlink" Target="https://www.centris.ca/fr/condo~a-vendre~montreal-saint-laurent/26672273?view=Summary&amp;uc=120" TargetMode="External"/><Relationship Id="rId259" Type="http://schemas.openxmlformats.org/officeDocument/2006/relationships/hyperlink" Target="https://www.centris.ca/fr/maison-en-copropriete~a-vendre~laval-sainte-dorothee/15225801?view=Summary&amp;uc=164" TargetMode="External"/><Relationship Id="rId466" Type="http://schemas.openxmlformats.org/officeDocument/2006/relationships/hyperlink" Target="https://www.centris.ca/fr/condo~a-vendre~montreal-verdun-ile-des-soeurs/25244187?view=Summary&amp;uc=227" TargetMode="External"/><Relationship Id="rId673" Type="http://schemas.openxmlformats.org/officeDocument/2006/relationships/hyperlink" Target="https://duproprio.com/fr/laval/pont-viau/condo-a-vendre/hab-204-600-place-juge-desnoyers-1056229" TargetMode="External"/><Relationship Id="rId23" Type="http://schemas.openxmlformats.org/officeDocument/2006/relationships/hyperlink" Target="https://www.centris.ca/en/condos~for-sale~montreal-verdun-ile-des-soeurs/22879981?view=Summary&amp;uc=14" TargetMode="External"/><Relationship Id="rId119" Type="http://schemas.openxmlformats.org/officeDocument/2006/relationships/hyperlink" Target="https://www.centris.ca/fr/condo~a-vendre~montreal-lachine/20588469?view=Summary&amp;uc=45" TargetMode="External"/><Relationship Id="rId326" Type="http://schemas.openxmlformats.org/officeDocument/2006/relationships/hyperlink" Target="https://www.centris.ca/fr/maison~a-vendre~laval-duvernay/11619645?view=Summary&amp;uc=178" TargetMode="External"/><Relationship Id="rId533" Type="http://schemas.openxmlformats.org/officeDocument/2006/relationships/hyperlink" Target="https://www.centris.ca/fr/condo~a-vendre~laval-chomedey/21767271?view=Summary&amp;uc=336" TargetMode="External"/><Relationship Id="rId740" Type="http://schemas.openxmlformats.org/officeDocument/2006/relationships/hyperlink" Target="https://www.centris.ca/fr/condo~a-vendre~montreal-saint-laurent/24405021?view=Summary&amp;uc=89" TargetMode="External"/><Relationship Id="rId838" Type="http://schemas.openxmlformats.org/officeDocument/2006/relationships/hyperlink" Target="https://www.centris.ca/fr/maison~a-vendre~montreal-saint-laurent/11970910?view=Summary&amp;uc=102" TargetMode="External"/><Relationship Id="rId172" Type="http://schemas.openxmlformats.org/officeDocument/2006/relationships/hyperlink" Target="https://www.centris.ca/fr/condo~a-vendre~laval-chomedey/22768250?view=Summary&amp;uc=72" TargetMode="External"/><Relationship Id="rId477" Type="http://schemas.openxmlformats.org/officeDocument/2006/relationships/hyperlink" Target="https://www.centris.ca/fr/condo~a-vendre~montreal-verdun-ile-des-soeurs/17719230?view=Summary&amp;uc=241" TargetMode="External"/><Relationship Id="rId600" Type="http://schemas.openxmlformats.org/officeDocument/2006/relationships/hyperlink" Target="https://www.centris.ca/fr/condo~a-vendre~laval-sainte-dorothee/25743439?view=Summary&amp;uc=219" TargetMode="External"/><Relationship Id="rId684" Type="http://schemas.openxmlformats.org/officeDocument/2006/relationships/hyperlink" Target="https://www.centris.ca/fr/condo~a-vendre~laval-laval-des-rapides/25998130?view=Summary&amp;uc=286" TargetMode="External"/><Relationship Id="rId337" Type="http://schemas.openxmlformats.org/officeDocument/2006/relationships/hyperlink" Target="https://www.centris.ca/fr/condo~a-vendre~laval-fabreville/23603343?view=Summary&amp;uc=193" TargetMode="External"/><Relationship Id="rId34" Type="http://schemas.openxmlformats.org/officeDocument/2006/relationships/hyperlink" Target="https://www.centris.ca/en/condos~for-sale~montreal-lasalle/28373431?view=Summary&amp;uc=24" TargetMode="External"/><Relationship Id="rId544" Type="http://schemas.openxmlformats.org/officeDocument/2006/relationships/hyperlink" Target="https://www.centris.ca/fr/condo~a-vendre~laval-chomedey/17844297?view=Summary&amp;uc=349" TargetMode="External"/><Relationship Id="rId751" Type="http://schemas.openxmlformats.org/officeDocument/2006/relationships/hyperlink" Target="https://www.centris.ca/fr/condo~a-vendre~montreal-saint-laurent/13534491?view=Summary&amp;uc=362" TargetMode="External"/><Relationship Id="rId849" Type="http://schemas.openxmlformats.org/officeDocument/2006/relationships/hyperlink" Target="https://www.centris.ca/fr/duplex~a-vendre~montreal-saint-laurent/19372262?view=Summary&amp;uc=117" TargetMode="External"/><Relationship Id="rId183" Type="http://schemas.openxmlformats.org/officeDocument/2006/relationships/hyperlink" Target="https://www.centris.ca/fr/condo~a-vendre~laval-chomedey/14187994?view=Summary&amp;uc=84" TargetMode="External"/><Relationship Id="rId390" Type="http://schemas.openxmlformats.org/officeDocument/2006/relationships/hyperlink" Target="https://www.centris.ca/en/houses~for-sale~montreal-lachine/26942590?view=Summary&amp;uc=52" TargetMode="External"/><Relationship Id="rId404" Type="http://schemas.openxmlformats.org/officeDocument/2006/relationships/hyperlink" Target="https://www.centris.ca/en/condos~for-sale~montreal-lachine/27972738?view=Summary&amp;uc=60" TargetMode="External"/><Relationship Id="rId611" Type="http://schemas.openxmlformats.org/officeDocument/2006/relationships/hyperlink" Target="https://www.centris.ca/fr/condo~a-vendre~laval-sainte-dorothee/17518378?view=Summary&amp;uc=231" TargetMode="External"/><Relationship Id="rId250" Type="http://schemas.openxmlformats.org/officeDocument/2006/relationships/hyperlink" Target="https://www.centris.ca/fr/maison~a-vendre~laval-laval-des-rapides/17186079?view=Summary&amp;uc=149" TargetMode="External"/><Relationship Id="rId488" Type="http://schemas.openxmlformats.org/officeDocument/2006/relationships/hyperlink" Target="https://www.centris.ca/fr/condo~a-vendre~montreal-verdun-ile-des-soeurs/10097413?view=Summary&amp;uc=260" TargetMode="External"/><Relationship Id="rId695" Type="http://schemas.openxmlformats.org/officeDocument/2006/relationships/hyperlink" Target="https://www.centris.ca/fr/condo~a-vendre~laval-laval-des-rapides/25756353?view=Summary&amp;uc=18" TargetMode="External"/><Relationship Id="rId709" Type="http://schemas.openxmlformats.org/officeDocument/2006/relationships/hyperlink" Target="https://www.centris.ca/fr/maison~a-vendre~laval-laval-des-rapides/17561273?view=Summary&amp;uc=47" TargetMode="External"/><Relationship Id="rId45" Type="http://schemas.openxmlformats.org/officeDocument/2006/relationships/hyperlink" Target="https://www.centris.ca/en/condos~for-sale~montreal-lasalle/18741717?view=Summary&amp;uc=41" TargetMode="External"/><Relationship Id="rId110" Type="http://schemas.openxmlformats.org/officeDocument/2006/relationships/hyperlink" Target="https://www.centris.ca/fr/condo~a-vendre~montreal-lachine/12776929?view=Summary&amp;uc=33" TargetMode="External"/><Relationship Id="rId348" Type="http://schemas.openxmlformats.org/officeDocument/2006/relationships/hyperlink" Target="https://www.centris.ca/fr/maison~a-vendre~laval-fabreville/28064092?view=Summary&amp;uc=214" TargetMode="External"/><Relationship Id="rId555" Type="http://schemas.openxmlformats.org/officeDocument/2006/relationships/hyperlink" Target="https://www.centris.ca/fr/condo~a-vendre~laval-laval-des-rapides/28107653?view=Summary&amp;uc=257" TargetMode="External"/><Relationship Id="rId762" Type="http://schemas.openxmlformats.org/officeDocument/2006/relationships/hyperlink" Target="https://www.centris.ca/fr/condo~a-vendre~montreal-saint-laurent/13498868?view=Summary&amp;uc=375" TargetMode="External"/><Relationship Id="rId194" Type="http://schemas.openxmlformats.org/officeDocument/2006/relationships/hyperlink" Target="https://www.centris.ca/fr/condo~a-vendre~laval-chomedey/28576940?view=Summary&amp;uc=97" TargetMode="External"/><Relationship Id="rId208" Type="http://schemas.openxmlformats.org/officeDocument/2006/relationships/hyperlink" Target="https://www.centris.ca/fr/condo~a-vendre~laval-chomedey/20159806?view=Summary&amp;uc=116" TargetMode="External"/><Relationship Id="rId415" Type="http://schemas.openxmlformats.org/officeDocument/2006/relationships/hyperlink" Target="https://www.centris.ca/en/houses~for-sale~montreal-lachine/9008581?view=Summary&amp;uc=61" TargetMode="External"/><Relationship Id="rId622" Type="http://schemas.openxmlformats.org/officeDocument/2006/relationships/hyperlink" Target="https://www.centris.ca/fr/condo~a-vendre~laval-chomedey/25977405?view=Summary&amp;uc=221" TargetMode="External"/><Relationship Id="rId261" Type="http://schemas.openxmlformats.org/officeDocument/2006/relationships/hyperlink" Target="https://www.centris.ca/fr/maison~a-vendre~laval-sainte-dorothee/26388984?view=Summary&amp;uc=166" TargetMode="External"/><Relationship Id="rId499" Type="http://schemas.openxmlformats.org/officeDocument/2006/relationships/hyperlink" Target="https://www.centris.ca/fr/condo~a-vendre~montreal-verdun-ile-des-soeurs/28286814?view=Summary&amp;uc=272" TargetMode="External"/><Relationship Id="rId56" Type="http://schemas.openxmlformats.org/officeDocument/2006/relationships/hyperlink" Target="https://www.centris.ca/fr/condo~a-vendre~montreal-lasalle/18773591?view=Summary&amp;uc=23" TargetMode="External"/><Relationship Id="rId359" Type="http://schemas.openxmlformats.org/officeDocument/2006/relationships/hyperlink" Target="https://www.centris.ca/en/condos~for-sale~brossard/24898252?view=Summary&amp;uc=20" TargetMode="External"/><Relationship Id="rId566" Type="http://schemas.openxmlformats.org/officeDocument/2006/relationships/hyperlink" Target="https://www.centris.ca/fr/condo~a-vendre~laval-laval-des-rapides/24164929?view=Summary&amp;uc=265" TargetMode="External"/><Relationship Id="rId773" Type="http://schemas.openxmlformats.org/officeDocument/2006/relationships/hyperlink" Target="https://www.centris.ca/fr/condo~a-vendre~montreal-saint-laurent/20449546?view=Summary&amp;uc=81" TargetMode="External"/><Relationship Id="rId121" Type="http://schemas.openxmlformats.org/officeDocument/2006/relationships/hyperlink" Target="https://www.centris.ca/fr/condo~a-vendre~montreal-lachine/23518758?view=Summary&amp;uc=49" TargetMode="External"/><Relationship Id="rId219" Type="http://schemas.openxmlformats.org/officeDocument/2006/relationships/hyperlink" Target="https://www.centris.ca/fr/condo~a-vendre~laval-chomedey/23418001?view=Summary&amp;uc=133" TargetMode="External"/><Relationship Id="rId426" Type="http://schemas.openxmlformats.org/officeDocument/2006/relationships/hyperlink" Target="https://www.centris.ca/en/condos~for-sale~montreal-verdun-ile-des-soeurs/20514913?view=Summary&amp;uc=76" TargetMode="External"/><Relationship Id="rId633" Type="http://schemas.openxmlformats.org/officeDocument/2006/relationships/hyperlink" Target="https://www.centris.ca/fr/condo~a-vendre~laval-chomedey/14747586?view=Summary&amp;uc=206" TargetMode="External"/><Relationship Id="rId840" Type="http://schemas.openxmlformats.org/officeDocument/2006/relationships/hyperlink" Target="https://www.centris.ca/fr/maison~a-vendre~montreal-saint-laurent/10235279?view=Summary&amp;uc=106" TargetMode="External"/><Relationship Id="rId67" Type="http://schemas.openxmlformats.org/officeDocument/2006/relationships/hyperlink" Target="https://www.centris.ca/fr/condo~a-vendre~montreal-lasalle/21417701?view=Summary&amp;uc=38" TargetMode="External"/><Relationship Id="rId272" Type="http://schemas.openxmlformats.org/officeDocument/2006/relationships/hyperlink" Target="https://www.centris.ca/fr/maison~a-vendre~laval-sainte-dorothee/26689969?view=Summary&amp;uc=180" TargetMode="External"/><Relationship Id="rId577" Type="http://schemas.openxmlformats.org/officeDocument/2006/relationships/hyperlink" Target="https://www.centris.ca/fr/condo~a-vendre~laval-duvernay/22939490?view=Summary&amp;uc=291" TargetMode="External"/><Relationship Id="rId700" Type="http://schemas.openxmlformats.org/officeDocument/2006/relationships/hyperlink" Target="https://www.centris.ca/fr/maison~a-vendre~laval-laval-des-rapides/17692301?view=Summary&amp;uc=26" TargetMode="External"/><Relationship Id="rId132" Type="http://schemas.openxmlformats.org/officeDocument/2006/relationships/hyperlink" Target="https://www.centris.ca/fr/condo~a-vendre~montreal-lachine/20802868?view=Summary&amp;uc=41" TargetMode="External"/><Relationship Id="rId784" Type="http://schemas.openxmlformats.org/officeDocument/2006/relationships/hyperlink" Target="https://www.centris.ca/fr/condo~a-vendre~montreal-saint-laurent/22455780?view=Summary&amp;uc=89" TargetMode="External"/><Relationship Id="rId437" Type="http://schemas.openxmlformats.org/officeDocument/2006/relationships/hyperlink" Target="https://www.centris.ca/en/condos~for-sale~montreal-verdun-ile-des-soeurs/28655682?view=Summary&amp;uc=88" TargetMode="External"/><Relationship Id="rId644" Type="http://schemas.openxmlformats.org/officeDocument/2006/relationships/hyperlink" Target="https://www.centris.ca/fr/condo~a-vendre~laval-chomedey/11577717?view=Summary&amp;uc=231" TargetMode="External"/><Relationship Id="rId851" Type="http://schemas.openxmlformats.org/officeDocument/2006/relationships/hyperlink" Target="https://www.centris.ca/fr/maison~a-vendre~montreal-saint-laurent/25859404?view=Summary&amp;uc=119" TargetMode="External"/><Relationship Id="rId283" Type="http://schemas.openxmlformats.org/officeDocument/2006/relationships/hyperlink" Target="https://www.centris.ca/fr/condo~a-vendre~laval-pont-viau/15724858?view=Summary&amp;uc=133" TargetMode="External"/><Relationship Id="rId490" Type="http://schemas.openxmlformats.org/officeDocument/2006/relationships/hyperlink" Target="https://www.centris.ca/fr/condo~a-vendre~montreal-verdun-ile-des-soeurs/15450181?view=Summary&amp;uc=263" TargetMode="External"/><Relationship Id="rId504" Type="http://schemas.openxmlformats.org/officeDocument/2006/relationships/hyperlink" Target="https://www.centris.ca/fr/condo~a-vendre~laval-chomedey/15672928?view=Summary&amp;uc=298" TargetMode="External"/><Relationship Id="rId711" Type="http://schemas.openxmlformats.org/officeDocument/2006/relationships/hyperlink" Target="https://www.centris.ca/fr/condo~a-vendre~laval-laval-des-rapides/23129668?view=Summary&amp;uc=49" TargetMode="External"/><Relationship Id="rId78" Type="http://schemas.openxmlformats.org/officeDocument/2006/relationships/hyperlink" Target="https://www.centris.ca/fr/condo~a-vendre~montreal-lasalle/13841910?view=Summary&amp;uc=28" TargetMode="External"/><Relationship Id="rId143" Type="http://schemas.openxmlformats.org/officeDocument/2006/relationships/hyperlink" Target="https://www.centris.ca/fr/maison~a-vendre~montreal-lachine/15539481?view=Summary&amp;uc=59" TargetMode="External"/><Relationship Id="rId350" Type="http://schemas.openxmlformats.org/officeDocument/2006/relationships/hyperlink" Target="https://www.centris.ca/fr/condo~a-vendre~laval-fabreville/10436296?view=Summary&amp;uc=216" TargetMode="External"/><Relationship Id="rId588" Type="http://schemas.openxmlformats.org/officeDocument/2006/relationships/hyperlink" Target="https://www.centris.ca/fr/condo~a-vendre~laval-fabreville/11353724?view=Summary&amp;uc=184" TargetMode="External"/><Relationship Id="rId795" Type="http://schemas.openxmlformats.org/officeDocument/2006/relationships/hyperlink" Target="https://www.centris.ca/fr/condo~a-vendre~montreal-saint-laurent/18480236?view=Summary&amp;uc=104" TargetMode="External"/><Relationship Id="rId809" Type="http://schemas.openxmlformats.org/officeDocument/2006/relationships/hyperlink" Target="https://www.centris.ca/fr/maison~a-vendre~montreal-saint-laurent/20493225?view=Summary&amp;uc=93" TargetMode="External"/><Relationship Id="rId9" Type="http://schemas.openxmlformats.org/officeDocument/2006/relationships/hyperlink" Target="https://www.centris.ca/en/condos~for-sale~montreal-verdun-ile-des-soeurs/14378791?view=Summary&amp;uc=16" TargetMode="External"/><Relationship Id="rId210" Type="http://schemas.openxmlformats.org/officeDocument/2006/relationships/hyperlink" Target="https://www.centris.ca/fr/condo~a-vendre~laval-chomedey/28518929?view=Summary&amp;uc=119" TargetMode="External"/><Relationship Id="rId448" Type="http://schemas.openxmlformats.org/officeDocument/2006/relationships/hyperlink" Target="https://www.centris.ca/en/condos~for-sale~montreal-verdun-ile-des-soeurs/28286814?view=Summary&amp;uc=76" TargetMode="External"/><Relationship Id="rId655" Type="http://schemas.openxmlformats.org/officeDocument/2006/relationships/hyperlink" Target="https://www.centris.ca/fr/condo~a-vendre~laval-chomedey/11191249?view=Summary&amp;uc=258" TargetMode="External"/><Relationship Id="rId862" Type="http://schemas.openxmlformats.org/officeDocument/2006/relationships/comments" Target="../comments1.xml"/><Relationship Id="rId294" Type="http://schemas.openxmlformats.org/officeDocument/2006/relationships/hyperlink" Target="https://www.centris.ca/fr/condo~a-vendre~laval-duvernay/20074576?view=Summary&amp;uc=147" TargetMode="External"/><Relationship Id="rId308" Type="http://schemas.openxmlformats.org/officeDocument/2006/relationships/hyperlink" Target="https://www.centris.ca/fr/condo~a-vendre~laval-duvernay/24585034?view=Summary&amp;uc=152" TargetMode="External"/><Relationship Id="rId515" Type="http://schemas.openxmlformats.org/officeDocument/2006/relationships/hyperlink" Target="https://www.centris.ca/fr/condo~a-vendre~laval-chomedey/15008049?view=Summary&amp;uc=314" TargetMode="External"/><Relationship Id="rId722" Type="http://schemas.openxmlformats.org/officeDocument/2006/relationships/hyperlink" Target="https://www.centris.ca/fr/condo~a-vendre~laval-pont-viau/22810275?view=Summary&amp;uc=67" TargetMode="External"/><Relationship Id="rId89" Type="http://schemas.openxmlformats.org/officeDocument/2006/relationships/hyperlink" Target="https://www.centris.ca/fr/condo~a-vendre~montreal-lasalle/14800691?view=Summary&amp;uc=52" TargetMode="External"/><Relationship Id="rId154" Type="http://schemas.openxmlformats.org/officeDocument/2006/relationships/hyperlink" Target="https://www.centris.ca/fr/condo~a-vendre~laval-chomedey/9457719?view=Summary&amp;uc=48" TargetMode="External"/><Relationship Id="rId361" Type="http://schemas.openxmlformats.org/officeDocument/2006/relationships/hyperlink" Target="https://www.centris.ca/en/condos~for-sale~brossard/16160517?view=Summary&amp;uc=22" TargetMode="External"/><Relationship Id="rId599" Type="http://schemas.openxmlformats.org/officeDocument/2006/relationships/hyperlink" Target="https://www.centris.ca/fr/condo~a-vendre~laval-sainte-dorothee/26294075?view=Summary&amp;uc=218" TargetMode="External"/><Relationship Id="rId459" Type="http://schemas.openxmlformats.org/officeDocument/2006/relationships/hyperlink" Target="https://www.centris.ca/en/duplexes~for-sale~montreal-verdun-ile-des-soeurs/17314875?view=Summary&amp;uc=96" TargetMode="External"/><Relationship Id="rId666" Type="http://schemas.openxmlformats.org/officeDocument/2006/relationships/hyperlink" Target="https://www.centris.ca/fr/condo~a-vendre~laval-chomedey/10347018?view=Summary&amp;uc=278" TargetMode="External"/><Relationship Id="rId16" Type="http://schemas.openxmlformats.org/officeDocument/2006/relationships/hyperlink" Target="https://www.centris.ca/en/condos~for-sale~montreal-verdun-ile-des-soeurs/24548830?view=Summary&amp;uc=1" TargetMode="External"/><Relationship Id="rId221" Type="http://schemas.openxmlformats.org/officeDocument/2006/relationships/hyperlink" Target="https://www.centris.ca/fr/condo~a-vendre~laval-chomedey/27466321?view=Summary&amp;uc=135" TargetMode="External"/><Relationship Id="rId319" Type="http://schemas.openxmlformats.org/officeDocument/2006/relationships/hyperlink" Target="https://www.centris.ca/fr/condo~a-vendre~laval-duvernay/21867427?view=Summary&amp;uc=167" TargetMode="External"/><Relationship Id="rId526" Type="http://schemas.openxmlformats.org/officeDocument/2006/relationships/hyperlink" Target="https://www.centris.ca/fr/condo~a-vendre~laval-chomedey/28785534?view=Summary&amp;uc=329" TargetMode="External"/><Relationship Id="rId733" Type="http://schemas.openxmlformats.org/officeDocument/2006/relationships/hyperlink" Target="https://www.centris.ca/fr/condo~a-vendre~laval-pont-viau/12877138?view=Summary&amp;uc=82" TargetMode="External"/><Relationship Id="rId165" Type="http://schemas.openxmlformats.org/officeDocument/2006/relationships/hyperlink" Target="https://www.centris.ca/fr/condo~a-vendre~laval-chomedey/16765452?view=Summary&amp;uc=61" TargetMode="External"/><Relationship Id="rId372" Type="http://schemas.openxmlformats.org/officeDocument/2006/relationships/hyperlink" Target="https://www.centris.ca/en/condos~for-sale~brossard/18312777?view=Summary&amp;uc=36" TargetMode="External"/><Relationship Id="rId677" Type="http://schemas.openxmlformats.org/officeDocument/2006/relationships/hyperlink" Target="https://duproprio.com/fr/laval/pont-viau/bi-generation-a-vendre/hab-136-rue-jubinville-1069380" TargetMode="External"/><Relationship Id="rId800" Type="http://schemas.openxmlformats.org/officeDocument/2006/relationships/hyperlink" Target="https://www.centris.ca/fr/condo~a-vendre~montreal-saint-laurent/23282879?view=Summary&amp;uc=109" TargetMode="External"/><Relationship Id="rId232" Type="http://schemas.openxmlformats.org/officeDocument/2006/relationships/hyperlink" Target="https://www.centris.ca/fr/condo~a-vendre~laval-laval-des-rapides/17076172?view=Summary&amp;uc=116" TargetMode="External"/><Relationship Id="rId27" Type="http://schemas.openxmlformats.org/officeDocument/2006/relationships/hyperlink" Target="https://www.centris.ca/en/condos~for-sale~montreal-lasalle/28635358?view=Summary&amp;uc=19" TargetMode="External"/><Relationship Id="rId537" Type="http://schemas.openxmlformats.org/officeDocument/2006/relationships/hyperlink" Target="https://www.centris.ca/fr/maison-en-copropriete~a-vendre~laval-chomedey/12592208?view=Summary&amp;uc=340" TargetMode="External"/><Relationship Id="rId744" Type="http://schemas.openxmlformats.org/officeDocument/2006/relationships/hyperlink" Target="https://www.centris.ca/fr/condo~a-vendre~montreal-saint-laurent/9947384?view=Summary&amp;uc=93" TargetMode="External"/><Relationship Id="rId80" Type="http://schemas.openxmlformats.org/officeDocument/2006/relationships/hyperlink" Target="https://www.centris.ca/fr/condo~a-vendre~montreal-lasalle/18484183?view=Summary&amp;uc=34" TargetMode="External"/><Relationship Id="rId176" Type="http://schemas.openxmlformats.org/officeDocument/2006/relationships/hyperlink" Target="https://www.centris.ca/fr/maison~a-vendre~laval-chomedey/27957265?view=Summary&amp;uc=77" TargetMode="External"/><Relationship Id="rId383" Type="http://schemas.openxmlformats.org/officeDocument/2006/relationships/hyperlink" Target="https://www.centris.ca/en/condos~for-sale~brossard/17408113?view=Summary&amp;uc=50" TargetMode="External"/><Relationship Id="rId590" Type="http://schemas.openxmlformats.org/officeDocument/2006/relationships/hyperlink" Target="https://www.centris.ca/fr/condo~a-vendre~laval-fabreville/25603230?view=Summary&amp;uc=186" TargetMode="External"/><Relationship Id="rId604" Type="http://schemas.openxmlformats.org/officeDocument/2006/relationships/hyperlink" Target="https://www.centris.ca/fr/condo~a-vendre~laval-sainte-dorothee/10607389?view=Summary&amp;uc=224" TargetMode="External"/><Relationship Id="rId811" Type="http://schemas.openxmlformats.org/officeDocument/2006/relationships/hyperlink" Target="https://www.centris.ca/fr/condo~a-vendre~montreal-saint-laurent/21511374?view=Summary&amp;uc=95" TargetMode="External"/><Relationship Id="rId243" Type="http://schemas.openxmlformats.org/officeDocument/2006/relationships/hyperlink" Target="https://www.centris.ca/fr/condo~a-vendre~laval-laval-des-rapides/9569530?view=Summary&amp;uc=136" TargetMode="External"/><Relationship Id="rId450" Type="http://schemas.openxmlformats.org/officeDocument/2006/relationships/hyperlink" Target="https://www.centris.ca/en/condos~for-sale~montreal-verdun-ile-des-soeurs/28109831?view=Summary&amp;uc=80" TargetMode="External"/><Relationship Id="rId688" Type="http://schemas.openxmlformats.org/officeDocument/2006/relationships/hyperlink" Target="https://www.centris.ca/fr/condo~a-vendre~laval-laval-des-rapides/16578766?view=Summary" TargetMode="External"/><Relationship Id="rId38" Type="http://schemas.openxmlformats.org/officeDocument/2006/relationships/hyperlink" Target="https://www.centris.ca/en/condos~for-sale~montreal-lasalle/16441676?view=Summary&amp;uc=29" TargetMode="External"/><Relationship Id="rId103" Type="http://schemas.openxmlformats.org/officeDocument/2006/relationships/hyperlink" Target="https://www.centris.ca/fr/condo~a-vendre~montreal-lachine/9884389?view=Summary&amp;uc=53" TargetMode="External"/><Relationship Id="rId310" Type="http://schemas.openxmlformats.org/officeDocument/2006/relationships/hyperlink" Target="https://www.centris.ca/fr/condo~a-vendre~laval-duvernay/14885202?view=Summary&amp;uc=154" TargetMode="External"/><Relationship Id="rId548" Type="http://schemas.openxmlformats.org/officeDocument/2006/relationships/hyperlink" Target="https://www.centris.ca/fr/condo~a-vendre~laval-laval-des-rapides/26304894?view=Summary&amp;uc=355" TargetMode="External"/><Relationship Id="rId755" Type="http://schemas.openxmlformats.org/officeDocument/2006/relationships/hyperlink" Target="https://www.centris.ca/fr/condo~a-vendre~montreal-saint-laurent/24917177?view=Summary&amp;uc=366" TargetMode="External"/><Relationship Id="rId91" Type="http://schemas.openxmlformats.org/officeDocument/2006/relationships/hyperlink" Target="https://www.centris.ca/fr/condo~a-vendre~montreal-lasalle/21263446?view=Summary&amp;uc=55" TargetMode="External"/><Relationship Id="rId187" Type="http://schemas.openxmlformats.org/officeDocument/2006/relationships/hyperlink" Target="https://www.centris.ca/fr/condo~a-vendre~laval-chomedey/16721206?view=Summary&amp;uc=88" TargetMode="External"/><Relationship Id="rId394" Type="http://schemas.openxmlformats.org/officeDocument/2006/relationships/hyperlink" Target="https://www.centris.ca/en/condos~for-sale~montreal-lachine/10026262?view=Summary&amp;uc=47" TargetMode="External"/><Relationship Id="rId408" Type="http://schemas.openxmlformats.org/officeDocument/2006/relationships/hyperlink" Target="https://www.centris.ca/en/houses~for-sale~montreal-lachine/19866983?view=Summary&amp;uc=68" TargetMode="External"/><Relationship Id="rId615" Type="http://schemas.openxmlformats.org/officeDocument/2006/relationships/hyperlink" Target="https://www.centris.ca/fr/condo~a-vendre~laval-sainte-dorothee/24966269?view=Summary&amp;uc=236" TargetMode="External"/><Relationship Id="rId822" Type="http://schemas.openxmlformats.org/officeDocument/2006/relationships/hyperlink" Target="https://www.centris.ca/fr/condo~a-vendre~montreal-saint-laurent/19444108?view=Summary&amp;uc=114" TargetMode="External"/><Relationship Id="rId254" Type="http://schemas.openxmlformats.org/officeDocument/2006/relationships/hyperlink" Target="https://www.centris.ca/fr/condo~a-vendre~laval-sainte-dorothee/18929287?view=Summary&amp;uc=158" TargetMode="External"/><Relationship Id="rId699" Type="http://schemas.openxmlformats.org/officeDocument/2006/relationships/hyperlink" Target="https://www.centris.ca/fr/condo~a-vendre~laval-laval-des-rapides/12496129?view=Summary&amp;uc=25" TargetMode="External"/><Relationship Id="rId49" Type="http://schemas.openxmlformats.org/officeDocument/2006/relationships/hyperlink" Target="https://www.centris.ca/en/condos~for-sale~montreal-lasalle/21291249?view=Summary&amp;uc=47" TargetMode="External"/><Relationship Id="rId114" Type="http://schemas.openxmlformats.org/officeDocument/2006/relationships/hyperlink" Target="https://www.centris.ca/fr/maison~a-vendre~montreal-lachine/17548140?view=Summary&amp;uc=38" TargetMode="External"/><Relationship Id="rId461" Type="http://schemas.openxmlformats.org/officeDocument/2006/relationships/hyperlink" Target="https://www.centris.ca/en/duplexes~for-sale~montreal-verdun-ile-des-soeurs/20014638?view=Summary&amp;uc=101" TargetMode="External"/><Relationship Id="rId559" Type="http://schemas.openxmlformats.org/officeDocument/2006/relationships/hyperlink" Target="https://www.centris.ca/fr/condo~a-vendre~laval-laval-des-rapides/23069439?view=Summary&amp;uc=264" TargetMode="External"/><Relationship Id="rId766" Type="http://schemas.openxmlformats.org/officeDocument/2006/relationships/hyperlink" Target="https://www.centris.ca/fr/condo~a-vendre~montreal-saint-laurent/19421456?view=Summary&amp;uc=379" TargetMode="External"/><Relationship Id="rId198" Type="http://schemas.openxmlformats.org/officeDocument/2006/relationships/hyperlink" Target="https://www.centris.ca/fr/condo~a-vendre~laval-chomedey/24699089?view=Summary&amp;uc=101" TargetMode="External"/><Relationship Id="rId321" Type="http://schemas.openxmlformats.org/officeDocument/2006/relationships/hyperlink" Target="https://www.centris.ca/fr/maison~a-vendre~laval-duvernay/11155374?view=Summary&amp;uc=170" TargetMode="External"/><Relationship Id="rId419" Type="http://schemas.openxmlformats.org/officeDocument/2006/relationships/hyperlink" Target="https://www.centris.ca/en/duplexes~for-sale~montreal-lachine/18568666?view=Summary&amp;uc=67" TargetMode="External"/><Relationship Id="rId626" Type="http://schemas.openxmlformats.org/officeDocument/2006/relationships/hyperlink" Target="https://www.centris.ca/fr/condo~a-vendre~laval-chomedey/27851639?view=Summary&amp;uc=227" TargetMode="External"/><Relationship Id="rId833" Type="http://schemas.openxmlformats.org/officeDocument/2006/relationships/hyperlink" Target="https://www.centris.ca/fr/maison~a-vendre~montreal-saint-laurent/10414027?view=Summary&amp;uc=127" TargetMode="External"/><Relationship Id="rId265" Type="http://schemas.openxmlformats.org/officeDocument/2006/relationships/hyperlink" Target="https://www.centris.ca/fr/maison~a-vendre~laval-sainte-dorothee/17936217?view=Summary&amp;uc=170" TargetMode="External"/><Relationship Id="rId472" Type="http://schemas.openxmlformats.org/officeDocument/2006/relationships/hyperlink" Target="https://www.centris.ca/fr/condo~a-vendre~montreal-verdun-ile-des-soeurs/18706048?view=Summary&amp;uc=236" TargetMode="External"/><Relationship Id="rId125" Type="http://schemas.openxmlformats.org/officeDocument/2006/relationships/hyperlink" Target="https://www.centris.ca/fr/condo~a-vendre~montreal-lachine/14145192?view=Summary&amp;uc=58" TargetMode="External"/><Relationship Id="rId332" Type="http://schemas.openxmlformats.org/officeDocument/2006/relationships/hyperlink" Target="https://www.centris.ca/fr/condo~a-vendre~laval-fabreville/26678802?view=Summary&amp;uc=186" TargetMode="External"/><Relationship Id="rId777" Type="http://schemas.openxmlformats.org/officeDocument/2006/relationships/hyperlink" Target="https://www.centris.ca/fr/condo~a-vendre~montreal-saint-laurent/20305544?view=Summary&amp;uc=85" TargetMode="External"/><Relationship Id="rId637" Type="http://schemas.openxmlformats.org/officeDocument/2006/relationships/hyperlink" Target="https://www.centris.ca/fr/condo~a-vendre~laval-chomedey/22208480?view=Summary&amp;uc=216" TargetMode="External"/><Relationship Id="rId844" Type="http://schemas.openxmlformats.org/officeDocument/2006/relationships/hyperlink" Target="https://www.centris.ca/fr/duplex~a-vendre~montreal-saint-laurent/9125109?view=Summary&amp;uc=111" TargetMode="External"/><Relationship Id="rId276" Type="http://schemas.openxmlformats.org/officeDocument/2006/relationships/hyperlink" Target="https://www.centris.ca/fr/condo~a-vendre~laval-pont-viau/21267852?view=Summary&amp;uc=120" TargetMode="External"/><Relationship Id="rId483" Type="http://schemas.openxmlformats.org/officeDocument/2006/relationships/hyperlink" Target="https://www.centris.ca/fr/condo~a-vendre~montreal-verdun-ile-des-soeurs/28865723?view=Summary&amp;uc=254" TargetMode="External"/><Relationship Id="rId690" Type="http://schemas.openxmlformats.org/officeDocument/2006/relationships/hyperlink" Target="https://www.centris.ca/fr/condo~a-vendre~laval-laval-des-rapides/16735600?view=Summary&amp;uc=10" TargetMode="External"/><Relationship Id="rId704" Type="http://schemas.openxmlformats.org/officeDocument/2006/relationships/hyperlink" Target="https://www.centris.ca/fr/maison~a-vendre~laval-laval-des-rapides/20955675?view=Summary&amp;uc=33" TargetMode="External"/><Relationship Id="rId40" Type="http://schemas.openxmlformats.org/officeDocument/2006/relationships/hyperlink" Target="https://www.centris.ca/en/condos~for-sale~montreal-lasalle/17863044?view=Summary&amp;uc=35" TargetMode="External"/><Relationship Id="rId136" Type="http://schemas.openxmlformats.org/officeDocument/2006/relationships/hyperlink" Target="https://www.centris.ca/fr/condo~a-vendre~montreal-lachine/11056082?view=Summary&amp;uc=47" TargetMode="External"/><Relationship Id="rId343" Type="http://schemas.openxmlformats.org/officeDocument/2006/relationships/hyperlink" Target="https://www.centris.ca/fr/maison~a-vendre~laval-fabreville/13964404?view=Summary&amp;uc=204" TargetMode="External"/><Relationship Id="rId550" Type="http://schemas.openxmlformats.org/officeDocument/2006/relationships/hyperlink" Target="https://www.centris.ca/fr/condo~a-vendre~laval-laval-des-rapides/13332489?view=Summary&amp;uc=357" TargetMode="External"/><Relationship Id="rId788" Type="http://schemas.openxmlformats.org/officeDocument/2006/relationships/hyperlink" Target="https://www.centris.ca/fr/condo~a-vendre~montreal-saint-laurent/9541709?view=Summary&amp;uc=95" TargetMode="External"/><Relationship Id="rId203" Type="http://schemas.openxmlformats.org/officeDocument/2006/relationships/hyperlink" Target="https://www.centris.ca/fr/condo~a-vendre~laval-chomedey/24554800?view=Summary&amp;uc=110" TargetMode="External"/><Relationship Id="rId648" Type="http://schemas.openxmlformats.org/officeDocument/2006/relationships/hyperlink" Target="https://www.centris.ca/fr/condo~a-vendre~laval-chomedey/15047421?view=Summary&amp;uc=237" TargetMode="External"/><Relationship Id="rId855" Type="http://schemas.openxmlformats.org/officeDocument/2006/relationships/hyperlink" Target="https://www.centris.ca/fr/maison~a-vendre~montreal-saint-laurent/26020864?view=Summary&amp;uc=126" TargetMode="External"/><Relationship Id="rId287" Type="http://schemas.openxmlformats.org/officeDocument/2006/relationships/hyperlink" Target="https://www.centris.ca/fr/condo~a-vendre~laval-duvernay/17625920?view=Summary&amp;uc=139" TargetMode="External"/><Relationship Id="rId410" Type="http://schemas.openxmlformats.org/officeDocument/2006/relationships/hyperlink" Target="https://www.centris.ca/en/houses~for-sale~montreal-lachine/19815820?view=Summary&amp;uc=72" TargetMode="External"/><Relationship Id="rId494" Type="http://schemas.openxmlformats.org/officeDocument/2006/relationships/hyperlink" Target="https://www.centris.ca/fr/condo~a-vendre~montreal-verdun-ile-des-soeurs/9869692?view=Summary&amp;uc=267" TargetMode="External"/><Relationship Id="rId508" Type="http://schemas.openxmlformats.org/officeDocument/2006/relationships/hyperlink" Target="https://www.centris.ca/fr/condo~a-vendre~laval-chomedey/22178141?view=Summary&amp;uc=303" TargetMode="External"/><Relationship Id="rId715" Type="http://schemas.openxmlformats.org/officeDocument/2006/relationships/hyperlink" Target="https://www.centris.ca/fr/maison~a-vendre~laval-laval-des-rapides/19454925?view=Summary&amp;uc=53" TargetMode="External"/><Relationship Id="rId147" Type="http://schemas.openxmlformats.org/officeDocument/2006/relationships/hyperlink" Target="https://www.centris.ca/fr/duplex~a-vendre~montreal-lachine/12475984?view=Summary&amp;uc=35" TargetMode="External"/><Relationship Id="rId354" Type="http://schemas.openxmlformats.org/officeDocument/2006/relationships/hyperlink" Target="https://www.centris.ca/fr/condo~a-vendre~laval-fabreville/28866369?view=Summary&amp;uc=183" TargetMode="External"/><Relationship Id="rId799" Type="http://schemas.openxmlformats.org/officeDocument/2006/relationships/hyperlink" Target="https://www.centris.ca/fr/condo~a-vendre~montreal-saint-laurent/24966057?view=Summary&amp;uc=108" TargetMode="External"/><Relationship Id="rId51" Type="http://schemas.openxmlformats.org/officeDocument/2006/relationships/hyperlink" Target="https://www.centris.ca/fr/condo~a-vendre~montreal-lasalle/24272404?view=Summary&amp;uc=21" TargetMode="External"/><Relationship Id="rId561" Type="http://schemas.openxmlformats.org/officeDocument/2006/relationships/hyperlink" Target="https://www.centris.ca/fr/condo~a-vendre~laval-laval-des-rapides/25756353?view=Summary&amp;uc=266" TargetMode="External"/><Relationship Id="rId659" Type="http://schemas.openxmlformats.org/officeDocument/2006/relationships/hyperlink" Target="https://www.centris.ca/fr/condo~a-vendre~laval-chomedey/14504412?view=Summary&amp;uc=266" TargetMode="External"/><Relationship Id="rId214" Type="http://schemas.openxmlformats.org/officeDocument/2006/relationships/hyperlink" Target="https://www.centris.ca/fr/condo~a-vendre~laval-chomedey/19095586?view=Summary&amp;uc=126" TargetMode="External"/><Relationship Id="rId298" Type="http://schemas.openxmlformats.org/officeDocument/2006/relationships/hyperlink" Target="https://www.centris.ca/fr/condo~a-vendre~laval-duvernay/21011275?view=Summary&amp;uc=137" TargetMode="External"/><Relationship Id="rId421" Type="http://schemas.openxmlformats.org/officeDocument/2006/relationships/hyperlink" Target="https://www.centris.ca/en/houses~for-sale~montreal-lachine/20709029?view=Summary&amp;uc=69" TargetMode="External"/><Relationship Id="rId519" Type="http://schemas.openxmlformats.org/officeDocument/2006/relationships/hyperlink" Target="https://www.centris.ca/fr/condo~a-vendre~laval-chomedey/19609809?view=Summary&amp;uc=322" TargetMode="External"/><Relationship Id="rId158" Type="http://schemas.openxmlformats.org/officeDocument/2006/relationships/hyperlink" Target="https://www.centris.ca/fr/condo~a-vendre~laval-chomedey/22207216?view=Summary&amp;uc=53" TargetMode="External"/><Relationship Id="rId726" Type="http://schemas.openxmlformats.org/officeDocument/2006/relationships/hyperlink" Target="https://www.centris.ca/fr/maison~a-vendre~laval-pont-viau/11324462?view=Summary&amp;uc=75" TargetMode="External"/><Relationship Id="rId62" Type="http://schemas.openxmlformats.org/officeDocument/2006/relationships/hyperlink" Target="https://www.centris.ca/fr/condo~a-vendre~montreal-lasalle/12842531?view=Summary&amp;uc=32" TargetMode="External"/><Relationship Id="rId365" Type="http://schemas.openxmlformats.org/officeDocument/2006/relationships/hyperlink" Target="https://www.centris.ca/en/condos~for-sale~brossard/18595739?view=Summary&amp;uc=26" TargetMode="External"/><Relationship Id="rId572" Type="http://schemas.openxmlformats.org/officeDocument/2006/relationships/hyperlink" Target="https://www.centris.ca/fr/condo~a-vendre~laval-duvernay/27837847?view=Summary&amp;uc=278" TargetMode="External"/><Relationship Id="rId225" Type="http://schemas.openxmlformats.org/officeDocument/2006/relationships/hyperlink" Target="https://www.centris.ca/fr/condo~a-vendre~laval-laval-des-rapides/18182821?view=Summary&amp;uc=141" TargetMode="External"/><Relationship Id="rId432" Type="http://schemas.openxmlformats.org/officeDocument/2006/relationships/hyperlink" Target="https://www.centris.ca/en/condos~for-sale~montreal-verdun-ile-des-soeurs/28639251?view=Summary&amp;uc=82" TargetMode="External"/><Relationship Id="rId737" Type="http://schemas.openxmlformats.org/officeDocument/2006/relationships/hyperlink" Target="https://www.centris.ca/fr/condo~a-vendre~laval-pont-viau/10263187?view=Summary&amp;uc=86" TargetMode="External"/><Relationship Id="rId73" Type="http://schemas.openxmlformats.org/officeDocument/2006/relationships/hyperlink" Target="https://www.centris.ca/fr/condo~a-vendre~montreal-lasalle/22366644?view=Summary&amp;uc=21" TargetMode="External"/><Relationship Id="rId169" Type="http://schemas.openxmlformats.org/officeDocument/2006/relationships/hyperlink" Target="https://www.centris.ca/fr/condo~a-vendre~laval-chomedey/13715331?view=Summary&amp;uc=66" TargetMode="External"/><Relationship Id="rId376" Type="http://schemas.openxmlformats.org/officeDocument/2006/relationships/hyperlink" Target="https://www.centris.ca/en/condos~for-sale~brossard/26534656?view=Summary&amp;uc=40" TargetMode="External"/><Relationship Id="rId583" Type="http://schemas.openxmlformats.org/officeDocument/2006/relationships/hyperlink" Target="https://www.centris.ca/fr/condo~a-vendre~laval-duvernay/15447892?view=Summary&amp;uc=301" TargetMode="External"/><Relationship Id="rId790" Type="http://schemas.openxmlformats.org/officeDocument/2006/relationships/hyperlink" Target="https://www.centris.ca/fr/condo~a-vendre~montreal-saint-laurent/27104141?view=Summary&amp;uc=97" TargetMode="External"/><Relationship Id="rId804" Type="http://schemas.openxmlformats.org/officeDocument/2006/relationships/hyperlink" Target="https://www.centris.ca/fr/condo~a-vendre~montreal-saint-laurent/19512241?view=Summary&amp;uc=114" TargetMode="External"/><Relationship Id="rId4" Type="http://schemas.openxmlformats.org/officeDocument/2006/relationships/hyperlink" Target="https://www.centris.ca/en/condos~for-sale~montreal-verdun-ile-des-soeurs/15371717?view=Summary&amp;uc=5" TargetMode="External"/><Relationship Id="rId236" Type="http://schemas.openxmlformats.org/officeDocument/2006/relationships/hyperlink" Target="https://www.centris.ca/fr/condo~a-vendre~laval-laval-des-rapides/11454086?view=Summary&amp;uc=123" TargetMode="External"/><Relationship Id="rId443" Type="http://schemas.openxmlformats.org/officeDocument/2006/relationships/hyperlink" Target="https://www.centris.ca/en/condos~for-sale~montreal-verdun-ile-des-soeurs/21436212?view=Summary&amp;uc=95" TargetMode="External"/><Relationship Id="rId650" Type="http://schemas.openxmlformats.org/officeDocument/2006/relationships/hyperlink" Target="https://www.centris.ca/fr/condo~a-vendre~laval-chomedey/28362281?view=Summary&amp;uc=250" TargetMode="External"/><Relationship Id="rId303" Type="http://schemas.openxmlformats.org/officeDocument/2006/relationships/hyperlink" Target="https://www.centris.ca/fr/maison~a-vendre~laval-duvernay/16982896?view=Summary&amp;uc=146" TargetMode="External"/><Relationship Id="rId748" Type="http://schemas.openxmlformats.org/officeDocument/2006/relationships/hyperlink" Target="https://www.centris.ca/fr/condo~a-vendre~montreal-saint-laurent/22098014?view=Summary&amp;uc=359" TargetMode="External"/><Relationship Id="rId84" Type="http://schemas.openxmlformats.org/officeDocument/2006/relationships/hyperlink" Target="https://www.centris.ca/fr/condo~a-vendre~montreal-lasalle/28236927?view=Summary&amp;uc=40" TargetMode="External"/><Relationship Id="rId387" Type="http://schemas.openxmlformats.org/officeDocument/2006/relationships/hyperlink" Target="https://www.centris.ca/en/condos~for-sale~brossard/10981185?view=Summary&amp;uc=224" TargetMode="External"/><Relationship Id="rId510" Type="http://schemas.openxmlformats.org/officeDocument/2006/relationships/hyperlink" Target="https://www.centris.ca/fr/condo~a-vendre~laval-chomedey/18007720?view=Summary&amp;uc=309" TargetMode="External"/><Relationship Id="rId594" Type="http://schemas.openxmlformats.org/officeDocument/2006/relationships/hyperlink" Target="https://www.centris.ca/fr/condo~a-vendre~laval-fabreville/25354750?view=Summary&amp;uc=204" TargetMode="External"/><Relationship Id="rId608" Type="http://schemas.openxmlformats.org/officeDocument/2006/relationships/hyperlink" Target="https://www.centris.ca/fr/condo~a-vendre~laval-sainte-dorothee/25024171?view=Summary&amp;uc=228" TargetMode="External"/><Relationship Id="rId815" Type="http://schemas.openxmlformats.org/officeDocument/2006/relationships/hyperlink" Target="https://www.centris.ca/fr/condo~a-vendre~montreal-saint-laurent/14601951?view=Summary&amp;uc=102" TargetMode="External"/><Relationship Id="rId247" Type="http://schemas.openxmlformats.org/officeDocument/2006/relationships/hyperlink" Target="https://www.centris.ca/fr/condo~a-vendre~laval-laval-des-rapides/12787314?view=Summary&amp;uc=144" TargetMode="External"/><Relationship Id="rId107" Type="http://schemas.openxmlformats.org/officeDocument/2006/relationships/hyperlink" Target="https://www.centris.ca/fr/condo~a-vendre~montreal-lachine/17437369?view=Summary&amp;uc=60" TargetMode="External"/><Relationship Id="rId454" Type="http://schemas.openxmlformats.org/officeDocument/2006/relationships/hyperlink" Target="https://www.centris.ca/en/condos~for-sale~montreal-verdun-ile-des-soeurs/17814820?view=Summary&amp;uc=85" TargetMode="External"/><Relationship Id="rId661" Type="http://schemas.openxmlformats.org/officeDocument/2006/relationships/hyperlink" Target="https://www.centris.ca/fr/condo~a-vendre~laval-chomedey/28494827?view=Summary&amp;uc=269" TargetMode="External"/><Relationship Id="rId759" Type="http://schemas.openxmlformats.org/officeDocument/2006/relationships/hyperlink" Target="https://www.centris.ca/fr/condo~a-vendre~montreal-saint-laurent/10638426?view=Summary&amp;uc=371" TargetMode="External"/><Relationship Id="rId11" Type="http://schemas.openxmlformats.org/officeDocument/2006/relationships/hyperlink" Target="https://www.centris.ca/en/condos~for-sale~montreal-verdun-ile-des-soeurs/11750908?view=Summary&amp;uc=18" TargetMode="External"/><Relationship Id="rId314" Type="http://schemas.openxmlformats.org/officeDocument/2006/relationships/hyperlink" Target="https://www.centris.ca/fr/maison-en-copropriete~a-vendre~laval-duvernay/11457706?view=Summary&amp;uc=159" TargetMode="External"/><Relationship Id="rId398" Type="http://schemas.openxmlformats.org/officeDocument/2006/relationships/hyperlink" Target="https://www.centris.ca/en/houses~for-sale~montreal-lachine/10220974?view=Summary&amp;uc=52" TargetMode="External"/><Relationship Id="rId521" Type="http://schemas.openxmlformats.org/officeDocument/2006/relationships/hyperlink" Target="https://www.centris.ca/fr/condo~a-vendre~laval-chomedey/26249303?view=Summary&amp;uc=324" TargetMode="External"/><Relationship Id="rId619" Type="http://schemas.openxmlformats.org/officeDocument/2006/relationships/hyperlink" Target="https://www.centris.ca/fr/condo~a-vendre~laval-chomedey/14589561?view=Summary&amp;uc=214" TargetMode="External"/><Relationship Id="rId95" Type="http://schemas.openxmlformats.org/officeDocument/2006/relationships/hyperlink" Target="https://www.centris.ca/fr/maison~a-vendre~montreal-lasalle/20331299?view=Summary&amp;uc=37" TargetMode="External"/><Relationship Id="rId160" Type="http://schemas.openxmlformats.org/officeDocument/2006/relationships/hyperlink" Target="https://www.centris.ca/fr/condo~a-vendre~laval-chomedey/26555097?view=Summary&amp;uc=56" TargetMode="External"/><Relationship Id="rId826" Type="http://schemas.openxmlformats.org/officeDocument/2006/relationships/hyperlink" Target="https://www.centris.ca/fr/condo~a-vendre~montreal-saint-laurent/17723319?view=Summary&amp;uc=119" TargetMode="External"/><Relationship Id="rId258" Type="http://schemas.openxmlformats.org/officeDocument/2006/relationships/hyperlink" Target="https://www.centris.ca/fr/condo~a-vendre~laval-sainte-dorothee/12340174?view=Summary&amp;uc=163" TargetMode="External"/><Relationship Id="rId465" Type="http://schemas.openxmlformats.org/officeDocument/2006/relationships/hyperlink" Target="https://www.centris.ca/en/4plex~for-sale~montreal-verdun-ile-des-soeurs/11922693?view=Summary&amp;uc=79" TargetMode="External"/><Relationship Id="rId672" Type="http://schemas.openxmlformats.org/officeDocument/2006/relationships/hyperlink" Target="https://www.centris.ca/fr/condo~a-vendre~laval-pont-viau/10263187?view=Summary&amp;uc=279" TargetMode="External"/><Relationship Id="rId22" Type="http://schemas.openxmlformats.org/officeDocument/2006/relationships/hyperlink" Target="https://www.centris.ca/en/condos~for-sale~montreal-verdun-ile-des-soeurs/12905109?view=Summary&amp;uc=13" TargetMode="External"/><Relationship Id="rId118" Type="http://schemas.openxmlformats.org/officeDocument/2006/relationships/hyperlink" Target="https://www.centris.ca/fr/maison~a-vendre~montreal-lachine/25046100?view=Summary&amp;uc=44" TargetMode="External"/><Relationship Id="rId325" Type="http://schemas.openxmlformats.org/officeDocument/2006/relationships/hyperlink" Target="https://www.centris.ca/fr/maison~a-vendre~laval-duvernay/27139427?view=Summary&amp;uc=175" TargetMode="External"/><Relationship Id="rId532" Type="http://schemas.openxmlformats.org/officeDocument/2006/relationships/hyperlink" Target="https://www.centris.ca/fr/condo~a-vendre~laval-chomedey/15007708?view=Summary&amp;uc=335" TargetMode="External"/><Relationship Id="rId171" Type="http://schemas.openxmlformats.org/officeDocument/2006/relationships/hyperlink" Target="https://www.centris.ca/fr/condo~a-vendre~laval-chomedey/10157055?view=Summary&amp;uc=69" TargetMode="External"/><Relationship Id="rId837" Type="http://schemas.openxmlformats.org/officeDocument/2006/relationships/hyperlink" Target="https://www.centris.ca/fr/condo~a-vendre~montreal-saint-laurent/22879376?view=Summary&amp;uc=100" TargetMode="External"/><Relationship Id="rId269" Type="http://schemas.openxmlformats.org/officeDocument/2006/relationships/hyperlink" Target="https://www.centris.ca/fr/maison~a-vendre~laval-sainte-dorothee/12130928?view=Summary&amp;uc=176" TargetMode="External"/><Relationship Id="rId476" Type="http://schemas.openxmlformats.org/officeDocument/2006/relationships/hyperlink" Target="https://www.centris.ca/fr/condo~a-vendre~montreal-verdun-ile-des-soeurs/13388547?view=Summary&amp;uc=241" TargetMode="External"/><Relationship Id="rId683" Type="http://schemas.openxmlformats.org/officeDocument/2006/relationships/hyperlink" Target="https://www.centris.ca/fr/condo~a-vendre~laval-laval-des-rapides/25056897?view=Summary&amp;uc=284" TargetMode="External"/><Relationship Id="rId33" Type="http://schemas.openxmlformats.org/officeDocument/2006/relationships/hyperlink" Target="https://www.centris.ca/en/condos~for-sale~montreal-lasalle/15507868?view=Summary&amp;uc=23" TargetMode="External"/><Relationship Id="rId129" Type="http://schemas.openxmlformats.org/officeDocument/2006/relationships/hyperlink" Target="https://www.centris.ca/fr/condo~a-vendre~montreal-lachine/28548491?view=Summary&amp;uc=36" TargetMode="External"/><Relationship Id="rId336" Type="http://schemas.openxmlformats.org/officeDocument/2006/relationships/hyperlink" Target="https://www.centris.ca/fr/maison-en-copropriete~a-vendre~laval-fabreville/13260944?view=Summary&amp;uc=190" TargetMode="External"/><Relationship Id="rId543" Type="http://schemas.openxmlformats.org/officeDocument/2006/relationships/hyperlink" Target="https://www.centris.ca/fr/condo~a-vendre~laval-chomedey/10069994?view=Summary&amp;uc=348" TargetMode="External"/><Relationship Id="rId182" Type="http://schemas.openxmlformats.org/officeDocument/2006/relationships/hyperlink" Target="https://www.centris.ca/fr/condo~a-vendre~laval-chomedey/10903990?view=Summary&amp;uc=83" TargetMode="External"/><Relationship Id="rId403" Type="http://schemas.openxmlformats.org/officeDocument/2006/relationships/hyperlink" Target="https://www.centris.ca/en/condos~for-sale~montreal-lachine/14160797?view=Summary&amp;uc=59" TargetMode="External"/><Relationship Id="rId750" Type="http://schemas.openxmlformats.org/officeDocument/2006/relationships/hyperlink" Target="https://www.centris.ca/fr/condo~a-vendre~montreal-saint-laurent/12250763?view=Summary&amp;uc=361" TargetMode="External"/><Relationship Id="rId848" Type="http://schemas.openxmlformats.org/officeDocument/2006/relationships/hyperlink" Target="https://www.centris.ca/fr/maison~a-vendre~montreal-saint-laurent/15157581?view=Summary&amp;uc=115" TargetMode="External"/><Relationship Id="rId487" Type="http://schemas.openxmlformats.org/officeDocument/2006/relationships/hyperlink" Target="https://www.centris.ca/fr/condo~a-vendre~montreal-verdun-ile-des-soeurs/21957728?view=Summary&amp;uc=259" TargetMode="External"/><Relationship Id="rId610" Type="http://schemas.openxmlformats.org/officeDocument/2006/relationships/hyperlink" Target="https://www.centris.ca/fr/condo~a-vendre~laval-sainte-dorothee/14992435?view=Summary&amp;uc=230" TargetMode="External"/><Relationship Id="rId694" Type="http://schemas.openxmlformats.org/officeDocument/2006/relationships/hyperlink" Target="https://www.centris.ca/fr/condo~a-vendre~laval-laval-des-rapides/21989497?view=Summary&amp;uc=17" TargetMode="External"/><Relationship Id="rId708" Type="http://schemas.openxmlformats.org/officeDocument/2006/relationships/hyperlink" Target="https://www.centris.ca/fr/maison~a-vendre~laval-laval-des-rapides/9217231?view=Summary&amp;uc=45" TargetMode="External"/><Relationship Id="rId347" Type="http://schemas.openxmlformats.org/officeDocument/2006/relationships/hyperlink" Target="https://www.centris.ca/fr/maison~a-vendre~laval-fabreville/18708698?view=Summary&amp;uc=211" TargetMode="External"/><Relationship Id="rId44" Type="http://schemas.openxmlformats.org/officeDocument/2006/relationships/hyperlink" Target="https://www.centris.ca/en/condos~for-sale~montreal-lasalle/27460555?view=Summary&amp;uc=40" TargetMode="External"/><Relationship Id="rId554" Type="http://schemas.openxmlformats.org/officeDocument/2006/relationships/hyperlink" Target="https://www.centris.ca/fr/condo~a-vendre~laval-laval-des-rapides/15331234?view=Summary&amp;uc=256" TargetMode="External"/><Relationship Id="rId761" Type="http://schemas.openxmlformats.org/officeDocument/2006/relationships/hyperlink" Target="https://www.centris.ca/fr/condo~a-vendre~montreal-saint-laurent/26420372?view=Summary&amp;uc=374" TargetMode="External"/><Relationship Id="rId859" Type="http://schemas.openxmlformats.org/officeDocument/2006/relationships/hyperlink" Target="https://www.centris.ca/fr/maison~a-vendre~montreal-saint-laurent/17170715?view=Summary&amp;uc=119" TargetMode="External"/><Relationship Id="rId193" Type="http://schemas.openxmlformats.org/officeDocument/2006/relationships/hyperlink" Target="https://www.centris.ca/fr/condo~a-vendre~laval-chomedey/15020163?view=Summary&amp;uc=96" TargetMode="External"/><Relationship Id="rId207" Type="http://schemas.openxmlformats.org/officeDocument/2006/relationships/hyperlink" Target="https://www.centris.ca/fr/condo~a-vendre~laval-chomedey/9244704?view=Summary&amp;uc=115" TargetMode="External"/><Relationship Id="rId414" Type="http://schemas.openxmlformats.org/officeDocument/2006/relationships/hyperlink" Target="https://www.centris.ca/en/condominium-houses~for-sale~montreal-lachine/12371098?view=Summary&amp;uc=59" TargetMode="External"/><Relationship Id="rId498" Type="http://schemas.openxmlformats.org/officeDocument/2006/relationships/hyperlink" Target="https://www.centris.ca/fr/condo~a-vendre~montreal-verdun-ile-des-soeurs/17653768?view=Summary&amp;uc=271" TargetMode="External"/><Relationship Id="rId621" Type="http://schemas.openxmlformats.org/officeDocument/2006/relationships/hyperlink" Target="https://www.centris.ca/fr/condo~a-vendre~laval-chomedey/11369222?view=Summary&amp;uc=219" TargetMode="External"/><Relationship Id="rId260" Type="http://schemas.openxmlformats.org/officeDocument/2006/relationships/hyperlink" Target="https://www.centris.ca/fr/condo~a-vendre~laval-sainte-dorothee/20402608?view=Summary&amp;uc=165" TargetMode="External"/><Relationship Id="rId719" Type="http://schemas.openxmlformats.org/officeDocument/2006/relationships/hyperlink" Target="https://www.centris.ca/fr/maison~a-vendre~laval-laval-des-rapides/27338517?view=Summary&amp;uc=61" TargetMode="External"/><Relationship Id="rId55" Type="http://schemas.openxmlformats.org/officeDocument/2006/relationships/hyperlink" Target="https://www.centris.ca/fr/condo~a-vendre~montreal-lasalle/26917268?view=Summary&amp;uc=22" TargetMode="External"/><Relationship Id="rId120" Type="http://schemas.openxmlformats.org/officeDocument/2006/relationships/hyperlink" Target="https://www.centris.ca/fr/condo~a-vendre~montreal-lachine/28794494?view=Summary&amp;uc=47" TargetMode="External"/><Relationship Id="rId358" Type="http://schemas.openxmlformats.org/officeDocument/2006/relationships/hyperlink" Target="https://www.centris.ca/en/condos~for-sale~brossard/16013492?view=Summary&amp;uc=19" TargetMode="External"/><Relationship Id="rId565" Type="http://schemas.openxmlformats.org/officeDocument/2006/relationships/hyperlink" Target="https://www.centris.ca/fr/condo~a-vendre~laval-laval-des-rapides/14451093?view=Summary&amp;uc=263" TargetMode="External"/><Relationship Id="rId772" Type="http://schemas.openxmlformats.org/officeDocument/2006/relationships/hyperlink" Target="https://www.centris.ca/fr/condo~a-vendre~montreal-saint-laurent/19480115?view=Summary&amp;uc=80" TargetMode="External"/><Relationship Id="rId218" Type="http://schemas.openxmlformats.org/officeDocument/2006/relationships/hyperlink" Target="https://www.centris.ca/fr/condo~a-vendre~laval-laval-des-rapides/10303320?view=Summary&amp;uc=132" TargetMode="External"/><Relationship Id="rId425" Type="http://schemas.openxmlformats.org/officeDocument/2006/relationships/hyperlink" Target="https://www.centris.ca/en/condos~for-sale~montreal-verdun-ile-des-soeurs/18534836?view=Summary&amp;uc=75" TargetMode="External"/><Relationship Id="rId632" Type="http://schemas.openxmlformats.org/officeDocument/2006/relationships/hyperlink" Target="https://www.centris.ca/fr/condo~a-vendre~laval-chomedey/28404289?view=Summary&amp;uc=236" TargetMode="External"/><Relationship Id="rId271" Type="http://schemas.openxmlformats.org/officeDocument/2006/relationships/hyperlink" Target="https://www.centris.ca/fr/maison~a-vendre~laval-sainte-dorothee/21271032?view=Summary&amp;uc=179" TargetMode="External"/><Relationship Id="rId66" Type="http://schemas.openxmlformats.org/officeDocument/2006/relationships/hyperlink" Target="https://www.centris.ca/fr/condo~a-vendre~montreal-lasalle/13359442?view=Summary&amp;uc=36" TargetMode="External"/><Relationship Id="rId131" Type="http://schemas.openxmlformats.org/officeDocument/2006/relationships/hyperlink" Target="https://www.centris.ca/fr/condo~a-vendre~montreal-lachine/21203448?view=Summary&amp;uc=38" TargetMode="External"/><Relationship Id="rId369" Type="http://schemas.openxmlformats.org/officeDocument/2006/relationships/hyperlink" Target="https://www.centris.ca/en/condos~for-sale~brossard/20442043?view=Summary&amp;uc=33" TargetMode="External"/><Relationship Id="rId576" Type="http://schemas.openxmlformats.org/officeDocument/2006/relationships/hyperlink" Target="https://www.centris.ca/fr/condo~a-vendre~laval-duvernay/23236586?view=Summary&amp;uc=287" TargetMode="External"/><Relationship Id="rId783" Type="http://schemas.openxmlformats.org/officeDocument/2006/relationships/hyperlink" Target="https://www.centris.ca/fr/condo~a-vendre~montreal-saint-laurent/25532416?view=Summary&amp;uc=88" TargetMode="External"/><Relationship Id="rId229" Type="http://schemas.openxmlformats.org/officeDocument/2006/relationships/hyperlink" Target="https://www.centris.ca/fr/condo~a-vendre~laval-chomedey/20750883?view=Summary&amp;uc=147" TargetMode="External"/><Relationship Id="rId436" Type="http://schemas.openxmlformats.org/officeDocument/2006/relationships/hyperlink" Target="https://www.centris.ca/en/condos~for-sale~montreal-verdun-ile-des-soeurs/15878953?view=Summary&amp;uc=87" TargetMode="External"/><Relationship Id="rId643" Type="http://schemas.openxmlformats.org/officeDocument/2006/relationships/hyperlink" Target="https://www.centris.ca/fr/condo~a-vendre~laval-chomedey/19009110?view=Summary&amp;uc=229" TargetMode="External"/><Relationship Id="rId850" Type="http://schemas.openxmlformats.org/officeDocument/2006/relationships/hyperlink" Target="https://www.centris.ca/fr/maison-en-copropriete~a-vendre~montreal-saint-laurent/16220277?view=Summary&amp;uc=118" TargetMode="External"/><Relationship Id="rId77" Type="http://schemas.openxmlformats.org/officeDocument/2006/relationships/hyperlink" Target="https://www.centris.ca/fr/condo~a-vendre~montreal-lasalle/26501808?view=Summary&amp;uc=26" TargetMode="External"/><Relationship Id="rId282" Type="http://schemas.openxmlformats.org/officeDocument/2006/relationships/hyperlink" Target="https://www.centris.ca/fr/condo~a-vendre~laval-pont-viau/27706073?view=Summary&amp;uc=130" TargetMode="External"/><Relationship Id="rId503" Type="http://schemas.openxmlformats.org/officeDocument/2006/relationships/hyperlink" Target="https://www.centris.ca/fr/condo~a-vendre~laval-chomedey/27466321?view=Summary&amp;uc=295" TargetMode="External"/><Relationship Id="rId587" Type="http://schemas.openxmlformats.org/officeDocument/2006/relationships/hyperlink" Target="https://www.centris.ca/fr/condo~a-vendre~laval-fabreville/14496061?view=Summary&amp;uc=182" TargetMode="External"/><Relationship Id="rId710" Type="http://schemas.openxmlformats.org/officeDocument/2006/relationships/hyperlink" Target="https://www.centris.ca/fr/maison~a-vendre~laval-laval-des-rapides/18135051?view=Summary&amp;uc=48" TargetMode="External"/><Relationship Id="rId808" Type="http://schemas.openxmlformats.org/officeDocument/2006/relationships/hyperlink" Target="https://www.centris.ca/fr/maison~a-vendre~montreal-saint-laurent/26722888?view=Summary&amp;uc=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E964-88D2-4D7C-B8B1-D6B95A451AF2}">
  <sheetPr>
    <outlinePr summaryBelow="0" summaryRight="0"/>
  </sheetPr>
  <dimension ref="A1:U866"/>
  <sheetViews>
    <sheetView tabSelected="1" zoomScale="80" zoomScaleNormal="80" workbookViewId="0">
      <pane ySplit="1" topLeftCell="A581" activePane="bottomLeft" state="frozen"/>
      <selection pane="bottomLeft" activeCell="B603" sqref="B602:B603"/>
    </sheetView>
  </sheetViews>
  <sheetFormatPr baseColWidth="10" defaultColWidth="12.6640625" defaultRowHeight="15.75" customHeight="1" x14ac:dyDescent="0.3"/>
  <cols>
    <col min="1" max="1" width="12.6640625" style="1"/>
    <col min="2" max="2" width="43.77734375" style="1" customWidth="1"/>
    <col min="3" max="4" width="12.6640625" style="1"/>
    <col min="5" max="5" width="13.6640625" style="1" customWidth="1"/>
    <col min="6" max="6" width="18.77734375" style="1" customWidth="1"/>
    <col min="7" max="7" width="24.88671875" style="1" customWidth="1"/>
    <col min="8" max="8" width="21.109375" style="1" customWidth="1"/>
    <col min="9" max="10" width="12.6640625" style="1"/>
    <col min="11" max="11" width="22.44140625" style="1" bestFit="1" customWidth="1"/>
    <col min="12" max="14" width="12.6640625" style="1"/>
    <col min="15" max="15" width="13.44140625" style="8" bestFit="1" customWidth="1"/>
    <col min="16" max="16" width="18.77734375" style="1" customWidth="1"/>
    <col min="17" max="18" width="21.44140625" style="1" customWidth="1"/>
    <col min="19" max="19" width="21.44140625" style="8" customWidth="1"/>
    <col min="20" max="20" width="18.6640625" style="3" customWidth="1"/>
    <col min="21" max="21" width="24.33203125" style="8" customWidth="1"/>
    <col min="22" max="16384" width="12.6640625" style="1"/>
  </cols>
  <sheetData>
    <row r="1" spans="1:21" ht="13.8" x14ac:dyDescent="0.3">
      <c r="A1" s="2" t="s">
        <v>1733</v>
      </c>
      <c r="B1" s="2" t="s">
        <v>1716</v>
      </c>
      <c r="C1" s="2" t="s">
        <v>49</v>
      </c>
      <c r="D1" s="2" t="s">
        <v>1717</v>
      </c>
      <c r="E1" s="2" t="s">
        <v>373</v>
      </c>
      <c r="F1" s="2" t="s">
        <v>1718</v>
      </c>
      <c r="G1" s="2" t="s">
        <v>1720</v>
      </c>
      <c r="H1" s="2" t="s">
        <v>1719</v>
      </c>
      <c r="I1" s="2" t="s">
        <v>50</v>
      </c>
      <c r="J1" s="2" t="s">
        <v>1721</v>
      </c>
      <c r="K1" s="2" t="s">
        <v>1722</v>
      </c>
      <c r="L1" s="2" t="s">
        <v>1723</v>
      </c>
      <c r="M1" s="2" t="s">
        <v>1724</v>
      </c>
      <c r="N1" s="2" t="s">
        <v>1725</v>
      </c>
      <c r="O1" s="12" t="s">
        <v>1726</v>
      </c>
      <c r="P1" s="3" t="s">
        <v>1727</v>
      </c>
      <c r="Q1" s="2" t="s">
        <v>1728</v>
      </c>
      <c r="R1" s="3" t="s">
        <v>1729</v>
      </c>
      <c r="S1" s="12" t="s">
        <v>1730</v>
      </c>
      <c r="T1" s="3" t="s">
        <v>1731</v>
      </c>
      <c r="U1" s="12" t="s">
        <v>1732</v>
      </c>
    </row>
    <row r="2" spans="1:21" ht="13.8" x14ac:dyDescent="0.3">
      <c r="A2" s="6">
        <v>45444</v>
      </c>
      <c r="B2" s="2" t="s">
        <v>887</v>
      </c>
      <c r="C2" s="2" t="s">
        <v>4</v>
      </c>
      <c r="D2" s="2" t="s">
        <v>0</v>
      </c>
      <c r="E2" s="2" t="s">
        <v>375</v>
      </c>
      <c r="F2" s="2">
        <v>1919</v>
      </c>
      <c r="G2" s="2">
        <v>335</v>
      </c>
      <c r="H2" s="2">
        <v>335</v>
      </c>
      <c r="I2" s="2"/>
      <c r="J2" s="2">
        <v>1</v>
      </c>
      <c r="K2" s="2">
        <v>1</v>
      </c>
      <c r="L2" s="2">
        <v>1</v>
      </c>
      <c r="M2" s="2">
        <v>4</v>
      </c>
      <c r="N2" s="5" t="s">
        <v>5</v>
      </c>
      <c r="O2" s="12">
        <v>289000</v>
      </c>
      <c r="P2" s="3">
        <f>(1644+926+96)/12</f>
        <v>222.16666666666666</v>
      </c>
      <c r="Q2" s="3"/>
      <c r="R2" s="2">
        <v>1031.56</v>
      </c>
      <c r="S2" s="12">
        <f t="shared" ref="S2:S65" si="0">13+(G2*10*0.07)/12</f>
        <v>32.541666666666671</v>
      </c>
      <c r="T2" s="3">
        <f t="shared" ref="T2:T65" si="1">P2+R2+S2</f>
        <v>1286.2683333333334</v>
      </c>
      <c r="U2" s="12">
        <f t="shared" ref="U2:U65" si="2">120000+T2*12*25</f>
        <v>505880.5</v>
      </c>
    </row>
    <row r="3" spans="1:21" ht="13.8" x14ac:dyDescent="0.3">
      <c r="A3" s="6">
        <v>45444</v>
      </c>
      <c r="B3" s="2" t="s">
        <v>888</v>
      </c>
      <c r="C3" s="2" t="s">
        <v>4</v>
      </c>
      <c r="D3" s="2" t="s">
        <v>0</v>
      </c>
      <c r="E3" s="2" t="s">
        <v>375</v>
      </c>
      <c r="F3" s="2">
        <v>1987</v>
      </c>
      <c r="G3" s="2">
        <v>680</v>
      </c>
      <c r="H3" s="2">
        <v>680</v>
      </c>
      <c r="I3" s="2"/>
      <c r="J3" s="2">
        <v>1</v>
      </c>
      <c r="K3" s="2">
        <v>3</v>
      </c>
      <c r="L3" s="2">
        <v>1</v>
      </c>
      <c r="M3" s="2">
        <v>4</v>
      </c>
      <c r="N3" s="5" t="s">
        <v>6</v>
      </c>
      <c r="O3" s="12">
        <v>325000</v>
      </c>
      <c r="P3" s="3">
        <f>(1236+1398+149)/12</f>
        <v>231.91666666666666</v>
      </c>
      <c r="Q3" s="3"/>
      <c r="R3" s="2">
        <v>1251.3</v>
      </c>
      <c r="S3" s="12">
        <f t="shared" si="0"/>
        <v>52.666666666666671</v>
      </c>
      <c r="T3" s="3">
        <f t="shared" si="1"/>
        <v>1535.8833333333334</v>
      </c>
      <c r="U3" s="12">
        <f t="shared" si="2"/>
        <v>580765</v>
      </c>
    </row>
    <row r="4" spans="1:21" ht="13.8" x14ac:dyDescent="0.3">
      <c r="A4" s="6">
        <v>45444</v>
      </c>
      <c r="B4" s="2" t="s">
        <v>889</v>
      </c>
      <c r="C4" s="2" t="s">
        <v>4</v>
      </c>
      <c r="D4" s="2" t="s">
        <v>0</v>
      </c>
      <c r="E4" s="2" t="s">
        <v>375</v>
      </c>
      <c r="F4" s="2">
        <v>1984</v>
      </c>
      <c r="G4" s="2">
        <v>820</v>
      </c>
      <c r="H4" s="2">
        <v>820</v>
      </c>
      <c r="I4" s="2"/>
      <c r="J4" s="2">
        <v>1</v>
      </c>
      <c r="K4" s="2">
        <v>2</v>
      </c>
      <c r="L4" s="2">
        <v>1</v>
      </c>
      <c r="M4" s="2">
        <v>5</v>
      </c>
      <c r="N4" s="5" t="s">
        <v>7</v>
      </c>
      <c r="O4" s="12">
        <v>329000</v>
      </c>
      <c r="P4" s="3">
        <f>(238+2034+4284)/12</f>
        <v>546.33333333333337</v>
      </c>
      <c r="Q4" s="3"/>
      <c r="R4" s="2">
        <v>1275.72</v>
      </c>
      <c r="S4" s="12">
        <f t="shared" si="0"/>
        <v>60.833333333333336</v>
      </c>
      <c r="T4" s="3">
        <f t="shared" si="1"/>
        <v>1882.8866666666665</v>
      </c>
      <c r="U4" s="12">
        <f t="shared" si="2"/>
        <v>684866</v>
      </c>
    </row>
    <row r="5" spans="1:21" ht="13.8" x14ac:dyDescent="0.3">
      <c r="A5" s="6">
        <v>45444</v>
      </c>
      <c r="B5" s="2" t="s">
        <v>374</v>
      </c>
      <c r="C5" s="2" t="s">
        <v>4</v>
      </c>
      <c r="D5" s="2" t="s">
        <v>0</v>
      </c>
      <c r="E5" s="2" t="s">
        <v>375</v>
      </c>
      <c r="F5" s="2">
        <v>1984</v>
      </c>
      <c r="G5" s="2">
        <v>775</v>
      </c>
      <c r="H5" s="2">
        <v>775</v>
      </c>
      <c r="I5" s="2"/>
      <c r="J5" s="2">
        <v>1</v>
      </c>
      <c r="K5" s="2">
        <v>2</v>
      </c>
      <c r="L5" s="2">
        <v>1</v>
      </c>
      <c r="M5" s="2">
        <v>5</v>
      </c>
      <c r="N5" s="5" t="s">
        <v>8</v>
      </c>
      <c r="O5" s="12">
        <v>330000</v>
      </c>
      <c r="P5" s="3">
        <f>(1800+2100+1820+201)/12</f>
        <v>493.41666666666669</v>
      </c>
      <c r="Q5" s="3"/>
      <c r="R5" s="2">
        <v>1281.82</v>
      </c>
      <c r="S5" s="12">
        <f t="shared" si="0"/>
        <v>58.208333333333336</v>
      </c>
      <c r="T5" s="3">
        <f t="shared" si="1"/>
        <v>1833.4449999999999</v>
      </c>
      <c r="U5" s="12">
        <f t="shared" si="2"/>
        <v>670033.5</v>
      </c>
    </row>
    <row r="6" spans="1:21" ht="13.8" x14ac:dyDescent="0.3">
      <c r="A6" s="6">
        <v>45444</v>
      </c>
      <c r="B6" s="2" t="s">
        <v>376</v>
      </c>
      <c r="C6" s="2" t="s">
        <v>4</v>
      </c>
      <c r="D6" s="2" t="s">
        <v>9</v>
      </c>
      <c r="E6" s="2" t="s">
        <v>375</v>
      </c>
      <c r="F6" s="2">
        <v>1994</v>
      </c>
      <c r="G6" s="2">
        <v>586</v>
      </c>
      <c r="H6" s="2">
        <v>586</v>
      </c>
      <c r="I6" s="2"/>
      <c r="J6" s="2">
        <v>1</v>
      </c>
      <c r="K6" s="2">
        <v>1</v>
      </c>
      <c r="L6" s="2">
        <v>1</v>
      </c>
      <c r="M6" s="2">
        <v>4</v>
      </c>
      <c r="N6" s="5" t="s">
        <v>10</v>
      </c>
      <c r="O6" s="12">
        <v>348000</v>
      </c>
      <c r="P6" s="3">
        <f>(4296+1609+177)/12</f>
        <v>506.83333333333331</v>
      </c>
      <c r="Q6" s="3"/>
      <c r="R6" s="2">
        <v>1392</v>
      </c>
      <c r="S6" s="12">
        <f t="shared" si="0"/>
        <v>47.183333333333337</v>
      </c>
      <c r="T6" s="3">
        <f t="shared" si="1"/>
        <v>1946.0166666666667</v>
      </c>
      <c r="U6" s="2">
        <f t="shared" si="2"/>
        <v>703805</v>
      </c>
    </row>
    <row r="7" spans="1:21" ht="13.8" x14ac:dyDescent="0.3">
      <c r="A7" s="6">
        <v>45444</v>
      </c>
      <c r="B7" s="2" t="s">
        <v>890</v>
      </c>
      <c r="C7" s="2" t="s">
        <v>4</v>
      </c>
      <c r="D7" s="2" t="s">
        <v>0</v>
      </c>
      <c r="E7" s="2" t="s">
        <v>375</v>
      </c>
      <c r="F7" s="2">
        <v>2017</v>
      </c>
      <c r="G7" s="2">
        <f>8*8+5.1*3+11*10.9+8.6*6.7+11*9</f>
        <v>355.82</v>
      </c>
      <c r="H7" s="2">
        <f>8*8+5.1*3+11*10.9+8.6*6.7+11*9</f>
        <v>355.82</v>
      </c>
      <c r="I7" s="2"/>
      <c r="J7" s="2">
        <v>1</v>
      </c>
      <c r="K7" s="2">
        <v>1</v>
      </c>
      <c r="L7" s="2">
        <v>1</v>
      </c>
      <c r="M7" s="2">
        <v>5</v>
      </c>
      <c r="N7" s="5" t="s">
        <v>11</v>
      </c>
      <c r="O7" s="12">
        <v>349000</v>
      </c>
      <c r="P7" s="3">
        <f>(1869+500+2369)/12</f>
        <v>394.83333333333331</v>
      </c>
      <c r="Q7" s="3"/>
      <c r="R7" s="2">
        <v>1398</v>
      </c>
      <c r="S7" s="12">
        <f t="shared" si="0"/>
        <v>33.756166666666672</v>
      </c>
      <c r="T7" s="3">
        <f t="shared" si="1"/>
        <v>1826.5895</v>
      </c>
      <c r="U7" s="12">
        <f t="shared" si="2"/>
        <v>667976.85</v>
      </c>
    </row>
    <row r="8" spans="1:21" ht="13.8" x14ac:dyDescent="0.3">
      <c r="A8" s="6">
        <v>45444</v>
      </c>
      <c r="B8" s="2" t="s">
        <v>377</v>
      </c>
      <c r="C8" s="2" t="s">
        <v>4</v>
      </c>
      <c r="D8" s="2" t="s">
        <v>0</v>
      </c>
      <c r="E8" s="2" t="s">
        <v>375</v>
      </c>
      <c r="F8" s="2">
        <v>2005</v>
      </c>
      <c r="G8" s="2">
        <v>553</v>
      </c>
      <c r="H8" s="2">
        <v>553</v>
      </c>
      <c r="I8" s="2"/>
      <c r="J8" s="2">
        <v>1</v>
      </c>
      <c r="K8" s="2">
        <v>1</v>
      </c>
      <c r="L8" s="2">
        <v>1</v>
      </c>
      <c r="M8" s="2">
        <v>5</v>
      </c>
      <c r="N8" s="5" t="s">
        <v>12</v>
      </c>
      <c r="O8" s="12">
        <v>359000</v>
      </c>
      <c r="P8" s="3">
        <f>(3900+1635+181)/12</f>
        <v>476.33333333333331</v>
      </c>
      <c r="Q8" s="3"/>
      <c r="R8" s="2">
        <v>1459</v>
      </c>
      <c r="S8" s="12">
        <f t="shared" si="0"/>
        <v>45.258333333333333</v>
      </c>
      <c r="T8" s="3">
        <f t="shared" si="1"/>
        <v>1980.5916666666667</v>
      </c>
      <c r="U8" s="12">
        <f t="shared" si="2"/>
        <v>714177.5</v>
      </c>
    </row>
    <row r="9" spans="1:21" ht="13.8" x14ac:dyDescent="0.3">
      <c r="A9" s="6">
        <v>45444</v>
      </c>
      <c r="B9" s="2" t="s">
        <v>378</v>
      </c>
      <c r="C9" s="2" t="s">
        <v>4</v>
      </c>
      <c r="D9" s="2" t="s">
        <v>0</v>
      </c>
      <c r="E9" s="2" t="s">
        <v>375</v>
      </c>
      <c r="F9" s="2">
        <v>1912</v>
      </c>
      <c r="G9" s="2">
        <v>615</v>
      </c>
      <c r="H9" s="2">
        <v>615</v>
      </c>
      <c r="I9" s="2"/>
      <c r="J9" s="2">
        <v>1</v>
      </c>
      <c r="K9" s="2">
        <v>1</v>
      </c>
      <c r="L9" s="2">
        <v>1</v>
      </c>
      <c r="M9" s="2">
        <v>5</v>
      </c>
      <c r="N9" s="5" t="s">
        <v>13</v>
      </c>
      <c r="O9" s="12">
        <v>389000</v>
      </c>
      <c r="P9" s="3">
        <f>(1172+124+1296)/12</f>
        <v>216</v>
      </c>
      <c r="Q9" s="3"/>
      <c r="R9" s="2">
        <v>1642</v>
      </c>
      <c r="S9" s="12">
        <f t="shared" si="0"/>
        <v>48.875000000000007</v>
      </c>
      <c r="T9" s="3">
        <f t="shared" si="1"/>
        <v>1906.875</v>
      </c>
      <c r="U9" s="12">
        <f t="shared" si="2"/>
        <v>692062.5</v>
      </c>
    </row>
    <row r="10" spans="1:21" ht="13.8" x14ac:dyDescent="0.3">
      <c r="A10" s="6">
        <v>45444</v>
      </c>
      <c r="B10" s="2" t="s">
        <v>379</v>
      </c>
      <c r="C10" s="2" t="s">
        <v>4</v>
      </c>
      <c r="D10" s="2" t="s">
        <v>9</v>
      </c>
      <c r="E10" s="2" t="s">
        <v>375</v>
      </c>
      <c r="F10" s="2">
        <v>1987</v>
      </c>
      <c r="G10" s="2">
        <v>822</v>
      </c>
      <c r="H10" s="2">
        <v>822</v>
      </c>
      <c r="I10" s="2"/>
      <c r="J10" s="2">
        <v>1</v>
      </c>
      <c r="K10" s="2">
        <v>1</v>
      </c>
      <c r="L10" s="2">
        <v>1</v>
      </c>
      <c r="M10" s="2">
        <v>7</v>
      </c>
      <c r="N10" s="5" t="s">
        <v>14</v>
      </c>
      <c r="O10" s="12">
        <v>390000</v>
      </c>
      <c r="P10" s="3">
        <f>(4260+2006+245)/12</f>
        <v>542.58333333333337</v>
      </c>
      <c r="Q10" s="3"/>
      <c r="R10" s="2">
        <v>1648</v>
      </c>
      <c r="S10" s="12">
        <f t="shared" si="0"/>
        <v>60.95000000000001</v>
      </c>
      <c r="T10" s="3">
        <f t="shared" si="1"/>
        <v>2251.5333333333333</v>
      </c>
      <c r="U10" s="2">
        <f t="shared" si="2"/>
        <v>795460</v>
      </c>
    </row>
    <row r="11" spans="1:21" ht="13.8" x14ac:dyDescent="0.3">
      <c r="A11" s="6">
        <v>45444</v>
      </c>
      <c r="B11" s="2" t="s">
        <v>891</v>
      </c>
      <c r="C11" s="2" t="s">
        <v>4</v>
      </c>
      <c r="D11" s="2" t="s">
        <v>0</v>
      </c>
      <c r="E11" s="2" t="s">
        <v>375</v>
      </c>
      <c r="F11" s="2">
        <v>1930</v>
      </c>
      <c r="G11" s="2">
        <v>864</v>
      </c>
      <c r="H11" s="2">
        <v>864</v>
      </c>
      <c r="I11" s="2"/>
      <c r="J11" s="2">
        <v>1</v>
      </c>
      <c r="K11" s="2">
        <v>1</v>
      </c>
      <c r="L11" s="2">
        <v>1</v>
      </c>
      <c r="M11" s="2">
        <v>7</v>
      </c>
      <c r="N11" s="5" t="s">
        <v>15</v>
      </c>
      <c r="O11" s="12">
        <v>399900</v>
      </c>
      <c r="P11" s="3">
        <f>(496+3890+140)/12</f>
        <v>377.16666666666669</v>
      </c>
      <c r="Q11" s="3"/>
      <c r="R11" s="2">
        <v>1708</v>
      </c>
      <c r="S11" s="12">
        <f t="shared" si="0"/>
        <v>63.400000000000006</v>
      </c>
      <c r="T11" s="3">
        <f t="shared" si="1"/>
        <v>2148.5666666666666</v>
      </c>
      <c r="U11" s="12">
        <f t="shared" si="2"/>
        <v>764570</v>
      </c>
    </row>
    <row r="12" spans="1:21" ht="13.8" x14ac:dyDescent="0.3">
      <c r="A12" s="6">
        <v>45444</v>
      </c>
      <c r="B12" s="2" t="s">
        <v>380</v>
      </c>
      <c r="C12" s="2" t="s">
        <v>4</v>
      </c>
      <c r="D12" s="2" t="s">
        <v>0</v>
      </c>
      <c r="E12" s="2" t="s">
        <v>375</v>
      </c>
      <c r="F12" s="2">
        <v>1987</v>
      </c>
      <c r="G12" s="2">
        <v>785</v>
      </c>
      <c r="H12" s="2">
        <v>785</v>
      </c>
      <c r="I12" s="2"/>
      <c r="J12" s="2">
        <v>1</v>
      </c>
      <c r="K12" s="2">
        <v>1</v>
      </c>
      <c r="L12" s="2">
        <v>1</v>
      </c>
      <c r="M12" s="2">
        <v>5</v>
      </c>
      <c r="N12" s="5" t="s">
        <v>16</v>
      </c>
      <c r="O12" s="12">
        <v>400000</v>
      </c>
      <c r="P12" s="3">
        <f>(2384+2616)/12</f>
        <v>416.66666666666669</v>
      </c>
      <c r="Q12" s="3"/>
      <c r="R12" s="2">
        <v>1709</v>
      </c>
      <c r="S12" s="12">
        <f t="shared" si="0"/>
        <v>58.791666666666664</v>
      </c>
      <c r="T12" s="3">
        <f t="shared" si="1"/>
        <v>2184.458333333333</v>
      </c>
      <c r="U12" s="12">
        <f t="shared" si="2"/>
        <v>775337.49999999988</v>
      </c>
    </row>
    <row r="13" spans="1:21" ht="13.8" x14ac:dyDescent="0.3">
      <c r="A13" s="6">
        <v>45444</v>
      </c>
      <c r="B13" s="2" t="s">
        <v>381</v>
      </c>
      <c r="C13" s="2" t="s">
        <v>4</v>
      </c>
      <c r="D13" s="2" t="s">
        <v>9</v>
      </c>
      <c r="E13" s="2" t="s">
        <v>375</v>
      </c>
      <c r="F13" s="2">
        <v>1989</v>
      </c>
      <c r="G13" s="2">
        <v>783</v>
      </c>
      <c r="H13" s="2">
        <v>783</v>
      </c>
      <c r="I13" s="2"/>
      <c r="J13" s="2">
        <v>1</v>
      </c>
      <c r="K13" s="2">
        <v>1</v>
      </c>
      <c r="L13" s="2">
        <v>1</v>
      </c>
      <c r="M13" s="2">
        <v>6</v>
      </c>
      <c r="N13" s="5" t="s">
        <v>17</v>
      </c>
      <c r="O13" s="12">
        <v>415000</v>
      </c>
      <c r="P13" s="3">
        <f>(6552+2300+284)/12</f>
        <v>761.33333333333337</v>
      </c>
      <c r="Q13" s="3"/>
      <c r="R13" s="2">
        <v>1801</v>
      </c>
      <c r="S13" s="12">
        <f t="shared" si="0"/>
        <v>58.675000000000004</v>
      </c>
      <c r="T13" s="3">
        <f t="shared" si="1"/>
        <v>2621.0083333333337</v>
      </c>
      <c r="U13" s="2">
        <f t="shared" si="2"/>
        <v>906302.50000000012</v>
      </c>
    </row>
    <row r="14" spans="1:21" ht="13.8" x14ac:dyDescent="0.3">
      <c r="A14" s="6">
        <v>45444</v>
      </c>
      <c r="B14" s="2" t="s">
        <v>382</v>
      </c>
      <c r="C14" s="2" t="s">
        <v>4</v>
      </c>
      <c r="D14" s="2" t="s">
        <v>9</v>
      </c>
      <c r="E14" s="2" t="s">
        <v>375</v>
      </c>
      <c r="F14" s="2">
        <v>1980</v>
      </c>
      <c r="G14" s="2">
        <v>1045</v>
      </c>
      <c r="H14" s="2">
        <v>1045</v>
      </c>
      <c r="I14" s="2"/>
      <c r="J14" s="2">
        <v>1</v>
      </c>
      <c r="K14" s="2">
        <v>2</v>
      </c>
      <c r="L14" s="2">
        <v>2</v>
      </c>
      <c r="M14" s="2">
        <v>6</v>
      </c>
      <c r="N14" s="5" t="s">
        <v>18</v>
      </c>
      <c r="O14" s="12">
        <v>429000</v>
      </c>
      <c r="P14" s="3">
        <f>(2724+7812)/12</f>
        <v>878</v>
      </c>
      <c r="Q14" s="3"/>
      <c r="R14" s="2">
        <v>1886</v>
      </c>
      <c r="S14" s="12">
        <f t="shared" si="0"/>
        <v>73.958333333333343</v>
      </c>
      <c r="T14" s="3">
        <f t="shared" si="1"/>
        <v>2837.9583333333335</v>
      </c>
      <c r="U14" s="2">
        <f t="shared" si="2"/>
        <v>971387.5</v>
      </c>
    </row>
    <row r="15" spans="1:21" ht="13.8" x14ac:dyDescent="0.3">
      <c r="A15" s="6">
        <v>45444</v>
      </c>
      <c r="B15" s="2" t="s">
        <v>383</v>
      </c>
      <c r="C15" s="2" t="s">
        <v>4</v>
      </c>
      <c r="D15" s="2" t="s">
        <v>9</v>
      </c>
      <c r="E15" s="2" t="s">
        <v>375</v>
      </c>
      <c r="F15" s="2">
        <v>1991</v>
      </c>
      <c r="G15" s="2">
        <v>964</v>
      </c>
      <c r="H15" s="2">
        <v>964</v>
      </c>
      <c r="I15" s="2"/>
      <c r="J15" s="2">
        <v>1</v>
      </c>
      <c r="K15" s="2">
        <v>2</v>
      </c>
      <c r="L15" s="2">
        <v>1</v>
      </c>
      <c r="M15" s="2">
        <v>8</v>
      </c>
      <c r="N15" s="5" t="s">
        <v>19</v>
      </c>
      <c r="O15" s="12">
        <v>439000</v>
      </c>
      <c r="P15" s="3">
        <f>(2830+2100)/12</f>
        <v>410.83333333333331</v>
      </c>
      <c r="Q15" s="3"/>
      <c r="R15" s="2">
        <v>1947</v>
      </c>
      <c r="S15" s="12">
        <f t="shared" si="0"/>
        <v>69.233333333333348</v>
      </c>
      <c r="T15" s="3">
        <f t="shared" si="1"/>
        <v>2427.0666666666666</v>
      </c>
      <c r="U15" s="2">
        <f t="shared" si="2"/>
        <v>848120</v>
      </c>
    </row>
    <row r="16" spans="1:21" ht="13.8" x14ac:dyDescent="0.3">
      <c r="A16" s="6">
        <v>45444</v>
      </c>
      <c r="B16" s="2" t="s">
        <v>384</v>
      </c>
      <c r="C16" s="2" t="s">
        <v>4</v>
      </c>
      <c r="D16" s="2" t="s">
        <v>9</v>
      </c>
      <c r="E16" s="2" t="s">
        <v>375</v>
      </c>
      <c r="F16" s="2">
        <v>1994</v>
      </c>
      <c r="G16" s="2">
        <f>8.25*10.9+16.4*8+8.7*7.9+7.8*5.5</f>
        <v>332.755</v>
      </c>
      <c r="H16" s="2">
        <f>8.25*10.9+16.4*8+8.7*7.9+7.8*5.5</f>
        <v>332.755</v>
      </c>
      <c r="I16" s="2"/>
      <c r="J16" s="2">
        <v>1</v>
      </c>
      <c r="K16" s="2">
        <v>1</v>
      </c>
      <c r="L16" s="2">
        <v>1</v>
      </c>
      <c r="M16" s="2">
        <v>4</v>
      </c>
      <c r="N16" s="5" t="s">
        <v>20</v>
      </c>
      <c r="O16" s="12">
        <v>440000</v>
      </c>
      <c r="P16" s="3">
        <f>(2181+4944)/12</f>
        <v>593.75</v>
      </c>
      <c r="Q16" s="3"/>
      <c r="R16" s="2">
        <v>1953</v>
      </c>
      <c r="S16" s="12">
        <f t="shared" si="0"/>
        <v>32.410708333333332</v>
      </c>
      <c r="T16" s="3">
        <f t="shared" si="1"/>
        <v>2579.1607083333333</v>
      </c>
      <c r="U16" s="2">
        <f t="shared" si="2"/>
        <v>893748.21250000002</v>
      </c>
    </row>
    <row r="17" spans="1:21" ht="13.8" x14ac:dyDescent="0.3">
      <c r="A17" s="6">
        <v>45444</v>
      </c>
      <c r="B17" s="2" t="s">
        <v>385</v>
      </c>
      <c r="C17" s="2" t="s">
        <v>4</v>
      </c>
      <c r="D17" s="2" t="s">
        <v>0</v>
      </c>
      <c r="E17" s="2" t="s">
        <v>375</v>
      </c>
      <c r="F17" s="2">
        <v>2006</v>
      </c>
      <c r="G17" s="2">
        <v>817</v>
      </c>
      <c r="H17" s="2">
        <v>817</v>
      </c>
      <c r="I17" s="2"/>
      <c r="J17" s="2">
        <v>1</v>
      </c>
      <c r="K17" s="2">
        <v>2</v>
      </c>
      <c r="L17" s="2">
        <v>1</v>
      </c>
      <c r="M17" s="2">
        <v>5</v>
      </c>
      <c r="N17" s="5" t="s">
        <v>21</v>
      </c>
      <c r="O17" s="12">
        <v>449900</v>
      </c>
      <c r="P17" s="3">
        <f>(3060+259+2063)/12</f>
        <v>448.5</v>
      </c>
      <c r="Q17" s="3"/>
      <c r="R17" s="2">
        <v>2013.68</v>
      </c>
      <c r="S17" s="12">
        <f t="shared" si="0"/>
        <v>60.658333333333339</v>
      </c>
      <c r="T17" s="3">
        <f t="shared" si="1"/>
        <v>2522.8383333333336</v>
      </c>
      <c r="U17" s="12">
        <f t="shared" si="2"/>
        <v>876851.50000000012</v>
      </c>
    </row>
    <row r="18" spans="1:21" ht="13.8" x14ac:dyDescent="0.3">
      <c r="A18" s="6">
        <v>45444</v>
      </c>
      <c r="B18" s="2" t="s">
        <v>386</v>
      </c>
      <c r="C18" s="2" t="s">
        <v>4</v>
      </c>
      <c r="D18" s="2" t="s">
        <v>0</v>
      </c>
      <c r="E18" s="2" t="s">
        <v>375</v>
      </c>
      <c r="F18" s="2">
        <v>1955</v>
      </c>
      <c r="G18" s="2">
        <v>790</v>
      </c>
      <c r="H18" s="2">
        <v>790</v>
      </c>
      <c r="I18" s="2"/>
      <c r="J18" s="2">
        <v>1</v>
      </c>
      <c r="K18" s="2">
        <v>1</v>
      </c>
      <c r="L18" s="2">
        <v>1</v>
      </c>
      <c r="M18" s="2">
        <v>7</v>
      </c>
      <c r="N18" s="5" t="s">
        <v>22</v>
      </c>
      <c r="O18" s="12">
        <v>450000</v>
      </c>
      <c r="P18" s="3">
        <f>(9696+1799+220)/12</f>
        <v>976.25</v>
      </c>
      <c r="Q18" s="3"/>
      <c r="R18" s="2">
        <v>2014</v>
      </c>
      <c r="S18" s="12">
        <f t="shared" si="0"/>
        <v>59.083333333333336</v>
      </c>
      <c r="T18" s="3">
        <f t="shared" si="1"/>
        <v>3049.3333333333335</v>
      </c>
      <c r="U18" s="12">
        <f t="shared" si="2"/>
        <v>1034800</v>
      </c>
    </row>
    <row r="19" spans="1:21" ht="13.8" x14ac:dyDescent="0.3">
      <c r="A19" s="6">
        <v>45444</v>
      </c>
      <c r="B19" s="2" t="s">
        <v>387</v>
      </c>
      <c r="C19" s="2" t="s">
        <v>4</v>
      </c>
      <c r="D19" s="2" t="s">
        <v>9</v>
      </c>
      <c r="E19" s="2" t="s">
        <v>375</v>
      </c>
      <c r="F19" s="2">
        <v>1988</v>
      </c>
      <c r="G19" s="2">
        <v>1032</v>
      </c>
      <c r="H19" s="2">
        <v>1032</v>
      </c>
      <c r="I19" s="2"/>
      <c r="J19" s="2">
        <v>1</v>
      </c>
      <c r="K19" s="2">
        <v>2</v>
      </c>
      <c r="L19" s="2">
        <v>1</v>
      </c>
      <c r="M19" s="2">
        <v>7</v>
      </c>
      <c r="N19" s="5" t="s">
        <v>23</v>
      </c>
      <c r="O19" s="12">
        <v>450000</v>
      </c>
      <c r="P19" s="3">
        <f>(3169+5952)/12</f>
        <v>760.08333333333337</v>
      </c>
      <c r="Q19" s="3"/>
      <c r="R19" s="2">
        <v>2014</v>
      </c>
      <c r="S19" s="12">
        <f t="shared" si="0"/>
        <v>73.200000000000017</v>
      </c>
      <c r="T19" s="3">
        <f t="shared" si="1"/>
        <v>2847.2833333333333</v>
      </c>
      <c r="U19" s="2">
        <f t="shared" si="2"/>
        <v>974185</v>
      </c>
    </row>
    <row r="20" spans="1:21" ht="13.8" x14ac:dyDescent="0.3">
      <c r="A20" s="6">
        <v>45444</v>
      </c>
      <c r="B20" s="2" t="s">
        <v>892</v>
      </c>
      <c r="C20" s="2" t="s">
        <v>4</v>
      </c>
      <c r="D20" s="2" t="s">
        <v>0</v>
      </c>
      <c r="E20" s="2" t="s">
        <v>375</v>
      </c>
      <c r="F20" s="2">
        <v>1930</v>
      </c>
      <c r="G20" s="2">
        <v>864</v>
      </c>
      <c r="H20" s="2">
        <v>864</v>
      </c>
      <c r="I20" s="2"/>
      <c r="J20" s="2">
        <v>1</v>
      </c>
      <c r="K20" s="2">
        <v>2</v>
      </c>
      <c r="L20" s="2">
        <v>1</v>
      </c>
      <c r="M20" s="2">
        <v>7</v>
      </c>
      <c r="N20" s="5" t="s">
        <v>24</v>
      </c>
      <c r="O20" s="12">
        <v>459900</v>
      </c>
      <c r="P20" s="3">
        <f>(4386+250*12)/12</f>
        <v>615.5</v>
      </c>
      <c r="Q20" s="3" t="s">
        <v>25</v>
      </c>
      <c r="R20" s="2">
        <v>2075</v>
      </c>
      <c r="S20" s="12">
        <f t="shared" si="0"/>
        <v>63.400000000000006</v>
      </c>
      <c r="T20" s="3">
        <f t="shared" si="1"/>
        <v>2753.9</v>
      </c>
      <c r="U20" s="12">
        <f t="shared" si="2"/>
        <v>946170.00000000012</v>
      </c>
    </row>
    <row r="21" spans="1:21" ht="13.8" x14ac:dyDescent="0.3">
      <c r="A21" s="6">
        <v>45444</v>
      </c>
      <c r="B21" s="2" t="s">
        <v>388</v>
      </c>
      <c r="C21" s="2" t="s">
        <v>4</v>
      </c>
      <c r="D21" s="2" t="s">
        <v>9</v>
      </c>
      <c r="E21" s="2" t="s">
        <v>375</v>
      </c>
      <c r="F21" s="2">
        <v>2011</v>
      </c>
      <c r="G21" s="2">
        <v>661</v>
      </c>
      <c r="H21" s="2">
        <v>661</v>
      </c>
      <c r="I21" s="2"/>
      <c r="J21" s="2">
        <v>1</v>
      </c>
      <c r="K21" s="2">
        <v>1</v>
      </c>
      <c r="L21" s="2">
        <v>1</v>
      </c>
      <c r="M21" s="2">
        <v>4</v>
      </c>
      <c r="N21" s="5" t="s">
        <v>26</v>
      </c>
      <c r="O21" s="12">
        <v>465000</v>
      </c>
      <c r="P21" s="3">
        <f>(3900+2301+275)/12</f>
        <v>539.66666666666663</v>
      </c>
      <c r="Q21" s="3"/>
      <c r="R21" s="2">
        <v>2106</v>
      </c>
      <c r="S21" s="12">
        <f t="shared" si="0"/>
        <v>51.558333333333337</v>
      </c>
      <c r="T21" s="3">
        <f t="shared" si="1"/>
        <v>2697.2249999999999</v>
      </c>
      <c r="U21" s="2">
        <f t="shared" si="2"/>
        <v>929167.49999999988</v>
      </c>
    </row>
    <row r="22" spans="1:21" ht="13.8" x14ac:dyDescent="0.3">
      <c r="A22" s="6">
        <v>45444</v>
      </c>
      <c r="B22" s="2" t="s">
        <v>389</v>
      </c>
      <c r="C22" s="2" t="s">
        <v>4</v>
      </c>
      <c r="D22" s="2" t="s">
        <v>9</v>
      </c>
      <c r="E22" s="2" t="s">
        <v>375</v>
      </c>
      <c r="F22" s="2">
        <v>1983</v>
      </c>
      <c r="G22" s="2">
        <v>981</v>
      </c>
      <c r="H22" s="2">
        <v>981</v>
      </c>
      <c r="I22" s="2"/>
      <c r="J22" s="2">
        <v>1</v>
      </c>
      <c r="K22" s="2">
        <v>2</v>
      </c>
      <c r="L22" s="2">
        <v>1</v>
      </c>
      <c r="M22" s="2">
        <v>4</v>
      </c>
      <c r="N22" s="5" t="s">
        <v>27</v>
      </c>
      <c r="O22" s="12">
        <v>469000</v>
      </c>
      <c r="P22" s="3">
        <f>(6588+2208+251)/12</f>
        <v>753.91666666666663</v>
      </c>
      <c r="Q22" s="3"/>
      <c r="R22" s="2">
        <v>2130</v>
      </c>
      <c r="S22" s="12">
        <f t="shared" si="0"/>
        <v>70.224999999999994</v>
      </c>
      <c r="T22" s="3">
        <f t="shared" si="1"/>
        <v>2954.1416666666664</v>
      </c>
      <c r="U22" s="2">
        <f t="shared" si="2"/>
        <v>1006242.4999999999</v>
      </c>
    </row>
    <row r="23" spans="1:21" ht="13.8" x14ac:dyDescent="0.3">
      <c r="A23" s="6">
        <v>45444</v>
      </c>
      <c r="B23" s="2" t="s">
        <v>390</v>
      </c>
      <c r="C23" s="2" t="s">
        <v>4</v>
      </c>
      <c r="D23" s="2" t="s">
        <v>9</v>
      </c>
      <c r="E23" s="2" t="s">
        <v>375</v>
      </c>
      <c r="F23" s="2">
        <v>1989</v>
      </c>
      <c r="G23" s="2">
        <v>778</v>
      </c>
      <c r="H23" s="2">
        <v>778</v>
      </c>
      <c r="I23" s="2"/>
      <c r="J23" s="2">
        <v>1</v>
      </c>
      <c r="K23" s="2">
        <v>1</v>
      </c>
      <c r="L23" s="2">
        <v>1</v>
      </c>
      <c r="M23" s="2">
        <v>4</v>
      </c>
      <c r="N23" s="5" t="s">
        <v>28</v>
      </c>
      <c r="O23" s="12">
        <v>479000</v>
      </c>
      <c r="P23" s="3">
        <f>(3005+6528)/12</f>
        <v>794.41666666666663</v>
      </c>
      <c r="Q23" s="3"/>
      <c r="R23" s="2">
        <v>2191</v>
      </c>
      <c r="S23" s="12">
        <f t="shared" si="0"/>
        <v>58.383333333333333</v>
      </c>
      <c r="T23" s="3">
        <f t="shared" si="1"/>
        <v>3043.7999999999997</v>
      </c>
      <c r="U23" s="2">
        <f t="shared" si="2"/>
        <v>1033140</v>
      </c>
    </row>
    <row r="24" spans="1:21" ht="13.8" x14ac:dyDescent="0.3">
      <c r="A24" s="6">
        <v>45444</v>
      </c>
      <c r="B24" s="2" t="s">
        <v>391</v>
      </c>
      <c r="C24" s="2" t="s">
        <v>4</v>
      </c>
      <c r="D24" s="2" t="s">
        <v>9</v>
      </c>
      <c r="E24" s="2" t="s">
        <v>375</v>
      </c>
      <c r="F24" s="2">
        <v>1989</v>
      </c>
      <c r="G24" s="2">
        <v>901</v>
      </c>
      <c r="H24" s="2">
        <v>901</v>
      </c>
      <c r="I24" s="2"/>
      <c r="J24" s="2">
        <v>1</v>
      </c>
      <c r="K24" s="2">
        <v>1</v>
      </c>
      <c r="L24" s="2">
        <v>1</v>
      </c>
      <c r="M24" s="2">
        <v>4</v>
      </c>
      <c r="N24" s="5" t="s">
        <v>29</v>
      </c>
      <c r="O24" s="12">
        <v>479900</v>
      </c>
      <c r="P24" s="3">
        <f>(2023+8628)/12</f>
        <v>887.58333333333337</v>
      </c>
      <c r="Q24" s="3"/>
      <c r="R24" s="2">
        <v>2197</v>
      </c>
      <c r="S24" s="12">
        <f t="shared" si="0"/>
        <v>65.558333333333337</v>
      </c>
      <c r="T24" s="3">
        <f t="shared" si="1"/>
        <v>3150.1416666666669</v>
      </c>
      <c r="U24" s="2">
        <f t="shared" si="2"/>
        <v>1065042.5</v>
      </c>
    </row>
    <row r="25" spans="1:21" ht="13.8" x14ac:dyDescent="0.3">
      <c r="A25" s="6">
        <v>45444</v>
      </c>
      <c r="B25" s="2" t="s">
        <v>392</v>
      </c>
      <c r="C25" s="2" t="s">
        <v>4</v>
      </c>
      <c r="D25" s="2" t="s">
        <v>9</v>
      </c>
      <c r="E25" s="2" t="s">
        <v>375</v>
      </c>
      <c r="F25" s="2">
        <v>1987</v>
      </c>
      <c r="G25" s="2">
        <v>701</v>
      </c>
      <c r="H25" s="2">
        <v>701</v>
      </c>
      <c r="I25" s="2"/>
      <c r="J25" s="2">
        <v>1</v>
      </c>
      <c r="K25" s="2">
        <v>1</v>
      </c>
      <c r="L25" s="2">
        <v>1</v>
      </c>
      <c r="M25" s="2">
        <v>4</v>
      </c>
      <c r="N25" s="5" t="s">
        <v>30</v>
      </c>
      <c r="O25" s="12">
        <v>480000</v>
      </c>
      <c r="P25" s="3">
        <f>(2377+627*12)/12</f>
        <v>825.08333333333337</v>
      </c>
      <c r="Q25" s="3"/>
      <c r="R25" s="2">
        <v>2197</v>
      </c>
      <c r="S25" s="12">
        <f t="shared" si="0"/>
        <v>53.891666666666673</v>
      </c>
      <c r="T25" s="3">
        <f t="shared" si="1"/>
        <v>3075.9750000000004</v>
      </c>
      <c r="U25" s="2">
        <f t="shared" si="2"/>
        <v>1042792.5000000001</v>
      </c>
    </row>
    <row r="26" spans="1:21" ht="13.8" x14ac:dyDescent="0.3">
      <c r="A26" s="6">
        <v>45444</v>
      </c>
      <c r="B26" s="2" t="s">
        <v>893</v>
      </c>
      <c r="C26" s="2" t="s">
        <v>4</v>
      </c>
      <c r="D26" s="2" t="s">
        <v>9</v>
      </c>
      <c r="E26" s="2" t="s">
        <v>375</v>
      </c>
      <c r="F26" s="2">
        <v>2020</v>
      </c>
      <c r="G26" s="2">
        <v>601</v>
      </c>
      <c r="H26" s="2">
        <v>601</v>
      </c>
      <c r="I26" s="2"/>
      <c r="J26" s="2">
        <v>1</v>
      </c>
      <c r="K26" s="2">
        <v>2</v>
      </c>
      <c r="L26" s="2">
        <v>1</v>
      </c>
      <c r="M26" s="2">
        <v>6</v>
      </c>
      <c r="N26" s="5" t="s">
        <v>31</v>
      </c>
      <c r="O26" s="12">
        <v>485000</v>
      </c>
      <c r="P26" s="3">
        <f>(2894+3540)/12</f>
        <v>536.16666666666663</v>
      </c>
      <c r="Q26" s="3"/>
      <c r="R26" s="2">
        <v>2228</v>
      </c>
      <c r="S26" s="12">
        <f t="shared" si="0"/>
        <v>48.058333333333337</v>
      </c>
      <c r="T26" s="3">
        <f t="shared" si="1"/>
        <v>2812.2249999999999</v>
      </c>
      <c r="U26" s="2">
        <f t="shared" si="2"/>
        <v>963667.49999999988</v>
      </c>
    </row>
    <row r="27" spans="1:21" ht="13.8" x14ac:dyDescent="0.3">
      <c r="A27" s="6">
        <v>45444</v>
      </c>
      <c r="B27" s="2" t="s">
        <v>393</v>
      </c>
      <c r="C27" s="2" t="s">
        <v>4</v>
      </c>
      <c r="D27" s="2" t="s">
        <v>9</v>
      </c>
      <c r="E27" s="2" t="s">
        <v>375</v>
      </c>
      <c r="F27" s="2">
        <v>2012</v>
      </c>
      <c r="G27" s="2">
        <v>643</v>
      </c>
      <c r="H27" s="2">
        <v>643</v>
      </c>
      <c r="I27" s="2"/>
      <c r="J27" s="2">
        <v>1</v>
      </c>
      <c r="K27" s="2">
        <v>1</v>
      </c>
      <c r="L27" s="2">
        <v>1</v>
      </c>
      <c r="M27" s="2">
        <v>4</v>
      </c>
      <c r="N27" s="5" t="s">
        <v>32</v>
      </c>
      <c r="O27" s="12">
        <v>485000</v>
      </c>
      <c r="P27" s="3">
        <f>(2833+4836)/12</f>
        <v>639.08333333333337</v>
      </c>
      <c r="Q27" s="3"/>
      <c r="R27" s="2">
        <v>2228</v>
      </c>
      <c r="S27" s="12">
        <f t="shared" si="0"/>
        <v>50.508333333333333</v>
      </c>
      <c r="T27" s="3">
        <f t="shared" si="1"/>
        <v>2917.5916666666667</v>
      </c>
      <c r="U27" s="2">
        <f t="shared" si="2"/>
        <v>995277.5</v>
      </c>
    </row>
    <row r="28" spans="1:21" ht="13.8" x14ac:dyDescent="0.3">
      <c r="A28" s="6">
        <v>45444</v>
      </c>
      <c r="B28" s="2" t="s">
        <v>394</v>
      </c>
      <c r="C28" s="2" t="s">
        <v>4</v>
      </c>
      <c r="D28" s="2" t="s">
        <v>1</v>
      </c>
      <c r="E28" s="2" t="s">
        <v>375</v>
      </c>
      <c r="F28" s="2">
        <v>1985</v>
      </c>
      <c r="G28" s="2">
        <f>10*40</f>
        <v>400</v>
      </c>
      <c r="H28" s="2">
        <f>10*40</f>
        <v>400</v>
      </c>
      <c r="I28" s="2"/>
      <c r="J28" s="2">
        <v>1</v>
      </c>
      <c r="K28" s="2">
        <v>1</v>
      </c>
      <c r="L28" s="2">
        <v>1</v>
      </c>
      <c r="M28" s="2">
        <v>4</v>
      </c>
      <c r="N28" s="5" t="s">
        <v>33</v>
      </c>
      <c r="O28" s="12">
        <v>215000</v>
      </c>
      <c r="P28" s="3">
        <f>(1172+50*12)/12</f>
        <v>147.66666666666666</v>
      </c>
      <c r="Q28" s="3" t="s">
        <v>25</v>
      </c>
      <c r="R28" s="2">
        <v>580</v>
      </c>
      <c r="S28" s="12">
        <f t="shared" si="0"/>
        <v>36.333333333333329</v>
      </c>
      <c r="T28" s="3">
        <f t="shared" si="1"/>
        <v>764</v>
      </c>
      <c r="U28" s="2">
        <f t="shared" si="2"/>
        <v>349200</v>
      </c>
    </row>
    <row r="29" spans="1:21" ht="13.8" x14ac:dyDescent="0.3">
      <c r="A29" s="6">
        <v>45444</v>
      </c>
      <c r="B29" s="2" t="s">
        <v>395</v>
      </c>
      <c r="C29" s="2" t="s">
        <v>4</v>
      </c>
      <c r="D29" s="2" t="s">
        <v>1</v>
      </c>
      <c r="E29" s="2" t="s">
        <v>375</v>
      </c>
      <c r="F29" s="2">
        <v>1991</v>
      </c>
      <c r="G29" s="2">
        <v>587</v>
      </c>
      <c r="H29" s="2">
        <v>587</v>
      </c>
      <c r="I29" s="2"/>
      <c r="J29" s="2">
        <v>1</v>
      </c>
      <c r="K29" s="2">
        <v>1</v>
      </c>
      <c r="L29" s="2">
        <v>1</v>
      </c>
      <c r="M29" s="2">
        <v>5</v>
      </c>
      <c r="N29" s="5" t="s">
        <v>34</v>
      </c>
      <c r="O29" s="12">
        <v>225000</v>
      </c>
      <c r="P29" s="3">
        <f>(1102+124+50*12)/12</f>
        <v>152.16666666666666</v>
      </c>
      <c r="Q29" s="3"/>
      <c r="R29" s="2">
        <v>641</v>
      </c>
      <c r="S29" s="12">
        <f t="shared" si="0"/>
        <v>47.241666666666667</v>
      </c>
      <c r="T29" s="3">
        <f t="shared" si="1"/>
        <v>840.4083333333333</v>
      </c>
      <c r="U29" s="2">
        <f t="shared" si="2"/>
        <v>372122.5</v>
      </c>
    </row>
    <row r="30" spans="1:21" ht="13.8" x14ac:dyDescent="0.3">
      <c r="A30" s="6">
        <v>45444</v>
      </c>
      <c r="B30" s="2" t="s">
        <v>396</v>
      </c>
      <c r="C30" s="2" t="s">
        <v>4</v>
      </c>
      <c r="D30" s="2" t="s">
        <v>1</v>
      </c>
      <c r="E30" s="2" t="s">
        <v>375</v>
      </c>
      <c r="F30" s="2">
        <v>2024</v>
      </c>
      <c r="G30" s="2">
        <v>428</v>
      </c>
      <c r="H30" s="2">
        <v>428</v>
      </c>
      <c r="I30" s="2"/>
      <c r="J30" s="2">
        <v>1</v>
      </c>
      <c r="K30" s="2">
        <v>1</v>
      </c>
      <c r="L30" s="2">
        <v>1</v>
      </c>
      <c r="M30" s="2">
        <v>3</v>
      </c>
      <c r="N30" s="5" t="s">
        <v>35</v>
      </c>
      <c r="O30" s="12">
        <v>315000</v>
      </c>
      <c r="P30" s="3">
        <f>(1500+50*12+100*12)/12</f>
        <v>275</v>
      </c>
      <c r="Q30" s="3" t="s">
        <v>25</v>
      </c>
      <c r="R30" s="2">
        <v>1190</v>
      </c>
      <c r="S30" s="12">
        <f t="shared" si="0"/>
        <v>37.966666666666669</v>
      </c>
      <c r="T30" s="3">
        <f t="shared" si="1"/>
        <v>1502.9666666666667</v>
      </c>
      <c r="U30" s="2">
        <f t="shared" si="2"/>
        <v>570890</v>
      </c>
    </row>
    <row r="31" spans="1:21" ht="13.8" x14ac:dyDescent="0.3">
      <c r="A31" s="6">
        <v>45444</v>
      </c>
      <c r="B31" s="2" t="s">
        <v>397</v>
      </c>
      <c r="C31" s="2" t="s">
        <v>4</v>
      </c>
      <c r="D31" s="2" t="s">
        <v>1</v>
      </c>
      <c r="E31" s="2" t="s">
        <v>375</v>
      </c>
      <c r="F31" s="2">
        <v>2023</v>
      </c>
      <c r="G31" s="2">
        <v>376</v>
      </c>
      <c r="H31" s="2">
        <v>376</v>
      </c>
      <c r="I31" s="2"/>
      <c r="J31" s="2">
        <v>1</v>
      </c>
      <c r="K31" s="2">
        <v>1</v>
      </c>
      <c r="L31" s="2">
        <v>1</v>
      </c>
      <c r="M31" s="2">
        <v>4</v>
      </c>
      <c r="N31" s="5" t="s">
        <v>36</v>
      </c>
      <c r="O31" s="12">
        <v>269000</v>
      </c>
      <c r="P31" s="3">
        <f>50+50+117+11</f>
        <v>228</v>
      </c>
      <c r="Q31" s="3" t="s">
        <v>25</v>
      </c>
      <c r="R31" s="2">
        <v>909</v>
      </c>
      <c r="S31" s="12">
        <f t="shared" si="0"/>
        <v>34.933333333333337</v>
      </c>
      <c r="T31" s="3">
        <f t="shared" si="1"/>
        <v>1171.9333333333334</v>
      </c>
      <c r="U31" s="2">
        <f t="shared" si="2"/>
        <v>471580</v>
      </c>
    </row>
    <row r="32" spans="1:21" ht="13.8" x14ac:dyDescent="0.3">
      <c r="A32" s="6">
        <v>45444</v>
      </c>
      <c r="B32" s="2" t="s">
        <v>398</v>
      </c>
      <c r="C32" s="2" t="s">
        <v>4</v>
      </c>
      <c r="D32" s="2" t="s">
        <v>1</v>
      </c>
      <c r="E32" s="2" t="s">
        <v>375</v>
      </c>
      <c r="F32" s="2">
        <v>2018</v>
      </c>
      <c r="G32" s="2">
        <v>411</v>
      </c>
      <c r="H32" s="2">
        <v>411</v>
      </c>
      <c r="I32" s="2"/>
      <c r="J32" s="2">
        <v>1</v>
      </c>
      <c r="K32" s="2">
        <v>1</v>
      </c>
      <c r="L32" s="2">
        <v>1</v>
      </c>
      <c r="M32" s="2">
        <v>2</v>
      </c>
      <c r="N32" s="5" t="s">
        <v>37</v>
      </c>
      <c r="O32" s="12">
        <v>270000</v>
      </c>
      <c r="P32" s="3">
        <f>(1263+139+120*12)/12</f>
        <v>236.83333333333334</v>
      </c>
      <c r="Q32" s="3"/>
      <c r="R32" s="2">
        <v>916</v>
      </c>
      <c r="S32" s="12">
        <f t="shared" si="0"/>
        <v>36.975000000000009</v>
      </c>
      <c r="T32" s="3">
        <f t="shared" si="1"/>
        <v>1189.8083333333332</v>
      </c>
      <c r="U32" s="2">
        <f t="shared" si="2"/>
        <v>476942.49999999994</v>
      </c>
    </row>
    <row r="33" spans="1:21" ht="13.8" x14ac:dyDescent="0.3">
      <c r="A33" s="6">
        <v>45444</v>
      </c>
      <c r="B33" s="2" t="s">
        <v>894</v>
      </c>
      <c r="C33" s="2" t="s">
        <v>4</v>
      </c>
      <c r="D33" s="2" t="s">
        <v>1</v>
      </c>
      <c r="E33" s="2" t="s">
        <v>375</v>
      </c>
      <c r="F33" s="2">
        <v>2005</v>
      </c>
      <c r="G33" s="2">
        <v>391</v>
      </c>
      <c r="H33" s="2">
        <v>391</v>
      </c>
      <c r="I33" s="2"/>
      <c r="J33" s="2">
        <v>1</v>
      </c>
      <c r="K33" s="2">
        <v>1</v>
      </c>
      <c r="L33" s="2">
        <v>1</v>
      </c>
      <c r="M33" s="2">
        <v>5</v>
      </c>
      <c r="N33" s="5" t="s">
        <v>38</v>
      </c>
      <c r="O33" s="12">
        <v>276000</v>
      </c>
      <c r="P33" s="3">
        <f>50+117+11</f>
        <v>178</v>
      </c>
      <c r="Q33" s="3" t="s">
        <v>25</v>
      </c>
      <c r="R33" s="2">
        <v>952</v>
      </c>
      <c r="S33" s="12">
        <f t="shared" si="0"/>
        <v>35.808333333333337</v>
      </c>
      <c r="T33" s="3">
        <f t="shared" si="1"/>
        <v>1165.8083333333334</v>
      </c>
      <c r="U33" s="2">
        <f t="shared" si="2"/>
        <v>469742.5</v>
      </c>
    </row>
    <row r="34" spans="1:21" ht="13.8" x14ac:dyDescent="0.3">
      <c r="A34" s="6">
        <v>45444</v>
      </c>
      <c r="B34" s="2" t="s">
        <v>399</v>
      </c>
      <c r="C34" s="2" t="s">
        <v>4</v>
      </c>
      <c r="D34" s="2" t="s">
        <v>1</v>
      </c>
      <c r="E34" s="2" t="s">
        <v>375</v>
      </c>
      <c r="F34" s="2">
        <v>2002</v>
      </c>
      <c r="G34" s="2">
        <v>485</v>
      </c>
      <c r="H34" s="2">
        <v>485</v>
      </c>
      <c r="I34" s="2"/>
      <c r="J34" s="2">
        <v>1</v>
      </c>
      <c r="K34" s="2">
        <v>1</v>
      </c>
      <c r="L34" s="2">
        <v>1</v>
      </c>
      <c r="M34" s="2">
        <v>6</v>
      </c>
      <c r="N34" s="5" t="s">
        <v>39</v>
      </c>
      <c r="O34" s="12">
        <v>289000</v>
      </c>
      <c r="P34" s="3">
        <f>2206/12+11+50</f>
        <v>244.83333333333334</v>
      </c>
      <c r="Q34" s="3" t="s">
        <v>25</v>
      </c>
      <c r="R34" s="2">
        <v>1032</v>
      </c>
      <c r="S34" s="12">
        <f t="shared" si="0"/>
        <v>41.291666666666671</v>
      </c>
      <c r="T34" s="3">
        <f t="shared" si="1"/>
        <v>1318.125</v>
      </c>
      <c r="U34" s="2">
        <f t="shared" si="2"/>
        <v>515437.5</v>
      </c>
    </row>
    <row r="35" spans="1:21" ht="13.8" x14ac:dyDescent="0.3">
      <c r="A35" s="6">
        <v>45444</v>
      </c>
      <c r="B35" s="2" t="s">
        <v>895</v>
      </c>
      <c r="C35" s="2" t="s">
        <v>4</v>
      </c>
      <c r="D35" s="2" t="s">
        <v>1</v>
      </c>
      <c r="E35" s="2" t="s">
        <v>375</v>
      </c>
      <c r="F35" s="2">
        <v>1958</v>
      </c>
      <c r="G35" s="2">
        <v>942</v>
      </c>
      <c r="H35" s="2">
        <v>942</v>
      </c>
      <c r="I35" s="2"/>
      <c r="J35" s="2">
        <v>1</v>
      </c>
      <c r="K35" s="2">
        <v>2</v>
      </c>
      <c r="L35" s="2">
        <v>1</v>
      </c>
      <c r="M35" s="2">
        <v>5</v>
      </c>
      <c r="N35" s="5" t="s">
        <v>40</v>
      </c>
      <c r="O35" s="12">
        <v>299000</v>
      </c>
      <c r="P35" s="3">
        <f>(1455+161)/12+383</f>
        <v>517.66666666666663</v>
      </c>
      <c r="Q35" s="3"/>
      <c r="R35" s="2">
        <v>1093</v>
      </c>
      <c r="S35" s="12">
        <f t="shared" si="0"/>
        <v>67.950000000000017</v>
      </c>
      <c r="T35" s="3">
        <f t="shared" si="1"/>
        <v>1678.6166666666666</v>
      </c>
      <c r="U35" s="2">
        <f t="shared" si="2"/>
        <v>623585</v>
      </c>
    </row>
    <row r="36" spans="1:21" ht="13.8" x14ac:dyDescent="0.3">
      <c r="A36" s="6">
        <v>45444</v>
      </c>
      <c r="B36" s="2" t="s">
        <v>400</v>
      </c>
      <c r="C36" s="2" t="s">
        <v>4</v>
      </c>
      <c r="D36" s="2" t="s">
        <v>1</v>
      </c>
      <c r="E36" s="2" t="s">
        <v>375</v>
      </c>
      <c r="F36" s="2">
        <v>1987</v>
      </c>
      <c r="G36" s="2">
        <v>787</v>
      </c>
      <c r="H36" s="2">
        <v>787</v>
      </c>
      <c r="I36" s="2"/>
      <c r="J36" s="2">
        <v>1</v>
      </c>
      <c r="K36" s="2">
        <v>1</v>
      </c>
      <c r="L36" s="2">
        <v>1</v>
      </c>
      <c r="M36" s="2">
        <v>4</v>
      </c>
      <c r="N36" s="5" t="s">
        <v>41</v>
      </c>
      <c r="O36" s="12">
        <v>299000</v>
      </c>
      <c r="P36" s="3">
        <f>(1589+2784)/12</f>
        <v>364.41666666666669</v>
      </c>
      <c r="Q36" s="3"/>
      <c r="R36" s="2">
        <v>1093</v>
      </c>
      <c r="S36" s="12">
        <f t="shared" si="0"/>
        <v>58.908333333333339</v>
      </c>
      <c r="T36" s="3">
        <f t="shared" si="1"/>
        <v>1516.325</v>
      </c>
      <c r="U36" s="2">
        <f t="shared" si="2"/>
        <v>574897.5</v>
      </c>
    </row>
    <row r="37" spans="1:21" ht="13.8" x14ac:dyDescent="0.3">
      <c r="A37" s="6">
        <v>45444</v>
      </c>
      <c r="B37" s="2" t="s">
        <v>401</v>
      </c>
      <c r="C37" s="2" t="s">
        <v>4</v>
      </c>
      <c r="D37" s="2" t="s">
        <v>1</v>
      </c>
      <c r="E37" s="2" t="s">
        <v>375</v>
      </c>
      <c r="F37" s="2">
        <v>1994</v>
      </c>
      <c r="G37" s="2">
        <v>845</v>
      </c>
      <c r="H37" s="2">
        <v>845</v>
      </c>
      <c r="I37" s="2"/>
      <c r="J37" s="2">
        <v>1</v>
      </c>
      <c r="K37" s="2">
        <v>1</v>
      </c>
      <c r="L37" s="2">
        <v>1</v>
      </c>
      <c r="M37" s="2">
        <v>4</v>
      </c>
      <c r="N37" s="5" t="s">
        <v>42</v>
      </c>
      <c r="O37" s="12">
        <v>319000</v>
      </c>
      <c r="P37" s="3">
        <f>(1300+142)/12</f>
        <v>120.16666666666667</v>
      </c>
      <c r="Q37" s="3"/>
      <c r="R37" s="2">
        <v>1215</v>
      </c>
      <c r="S37" s="12">
        <f t="shared" si="0"/>
        <v>62.291666666666664</v>
      </c>
      <c r="T37" s="3">
        <f t="shared" si="1"/>
        <v>1397.4583333333335</v>
      </c>
      <c r="U37" s="2">
        <f t="shared" si="2"/>
        <v>539237.5</v>
      </c>
    </row>
    <row r="38" spans="1:21" ht="13.8" x14ac:dyDescent="0.3">
      <c r="A38" s="6">
        <v>45444</v>
      </c>
      <c r="B38" s="2" t="s">
        <v>402</v>
      </c>
      <c r="C38" s="2" t="s">
        <v>4</v>
      </c>
      <c r="D38" s="2" t="s">
        <v>1</v>
      </c>
      <c r="E38" s="2" t="s">
        <v>375</v>
      </c>
      <c r="F38" s="2">
        <v>2004</v>
      </c>
      <c r="G38" s="2">
        <v>704</v>
      </c>
      <c r="H38" s="2">
        <v>704</v>
      </c>
      <c r="I38" s="2"/>
      <c r="J38" s="2">
        <v>1</v>
      </c>
      <c r="K38" s="2">
        <v>1</v>
      </c>
      <c r="L38" s="2">
        <v>1</v>
      </c>
      <c r="M38" s="2">
        <v>3</v>
      </c>
      <c r="N38" s="5" t="s">
        <v>43</v>
      </c>
      <c r="O38" s="12">
        <v>321000</v>
      </c>
      <c r="P38" s="3">
        <f>(1784+145*12)/12</f>
        <v>293.66666666666669</v>
      </c>
      <c r="Q38" s="3"/>
      <c r="R38" s="2">
        <v>1227</v>
      </c>
      <c r="S38" s="12">
        <f t="shared" si="0"/>
        <v>54.06666666666667</v>
      </c>
      <c r="T38" s="3">
        <f t="shared" si="1"/>
        <v>1574.7333333333333</v>
      </c>
      <c r="U38" s="2">
        <f t="shared" si="2"/>
        <v>592420</v>
      </c>
    </row>
    <row r="39" spans="1:21" ht="13.8" x14ac:dyDescent="0.3">
      <c r="A39" s="6">
        <v>45444</v>
      </c>
      <c r="B39" s="2" t="s">
        <v>403</v>
      </c>
      <c r="C39" s="2" t="s">
        <v>4</v>
      </c>
      <c r="D39" s="2" t="s">
        <v>1</v>
      </c>
      <c r="E39" s="2" t="s">
        <v>375</v>
      </c>
      <c r="F39" s="2">
        <v>1986</v>
      </c>
      <c r="G39" s="2">
        <v>876</v>
      </c>
      <c r="H39" s="2">
        <v>876</v>
      </c>
      <c r="I39" s="2"/>
      <c r="J39" s="2">
        <v>1</v>
      </c>
      <c r="K39" s="2">
        <v>2</v>
      </c>
      <c r="L39" s="2">
        <v>1</v>
      </c>
      <c r="M39" s="2">
        <v>6</v>
      </c>
      <c r="N39" s="5" t="s">
        <v>44</v>
      </c>
      <c r="O39" s="12">
        <v>324000</v>
      </c>
      <c r="P39" s="3">
        <f>(1840+1848)/12</f>
        <v>307.33333333333331</v>
      </c>
      <c r="Q39" s="3"/>
      <c r="R39" s="2">
        <v>1245</v>
      </c>
      <c r="S39" s="12">
        <f t="shared" si="0"/>
        <v>64.099999999999994</v>
      </c>
      <c r="T39" s="3">
        <f t="shared" si="1"/>
        <v>1616.4333333333332</v>
      </c>
      <c r="U39" s="2">
        <f t="shared" si="2"/>
        <v>604930</v>
      </c>
    </row>
    <row r="40" spans="1:21" ht="13.8" x14ac:dyDescent="0.3">
      <c r="A40" s="6">
        <v>45444</v>
      </c>
      <c r="B40" s="2" t="s">
        <v>404</v>
      </c>
      <c r="C40" s="2" t="s">
        <v>4</v>
      </c>
      <c r="D40" s="2" t="s">
        <v>1</v>
      </c>
      <c r="E40" s="2" t="s">
        <v>375</v>
      </c>
      <c r="F40" s="2">
        <v>1958</v>
      </c>
      <c r="G40" s="2">
        <v>792</v>
      </c>
      <c r="H40" s="2">
        <v>792</v>
      </c>
      <c r="I40" s="2"/>
      <c r="J40" s="2">
        <v>1</v>
      </c>
      <c r="K40" s="2">
        <v>2</v>
      </c>
      <c r="L40" s="2">
        <v>1</v>
      </c>
      <c r="M40" s="2">
        <v>7</v>
      </c>
      <c r="N40" s="5" t="s">
        <v>45</v>
      </c>
      <c r="O40" s="12">
        <v>325000</v>
      </c>
      <c r="P40" s="3">
        <f>(1585+1500)/12</f>
        <v>257.08333333333331</v>
      </c>
      <c r="Q40" s="3"/>
      <c r="R40" s="2">
        <v>1251</v>
      </c>
      <c r="S40" s="12">
        <f t="shared" si="0"/>
        <v>59.20000000000001</v>
      </c>
      <c r="T40" s="3">
        <f t="shared" si="1"/>
        <v>1567.2833333333333</v>
      </c>
      <c r="U40" s="2">
        <f t="shared" si="2"/>
        <v>590185</v>
      </c>
    </row>
    <row r="41" spans="1:21" ht="13.8" x14ac:dyDescent="0.3">
      <c r="A41" s="6">
        <v>45444</v>
      </c>
      <c r="B41" s="2" t="s">
        <v>896</v>
      </c>
      <c r="C41" s="2" t="s">
        <v>4</v>
      </c>
      <c r="D41" s="2" t="s">
        <v>1</v>
      </c>
      <c r="E41" s="2" t="s">
        <v>375</v>
      </c>
      <c r="F41" s="2">
        <v>1958</v>
      </c>
      <c r="G41" s="2">
        <v>792</v>
      </c>
      <c r="H41" s="2">
        <v>792</v>
      </c>
      <c r="I41" s="2"/>
      <c r="J41" s="2">
        <v>1</v>
      </c>
      <c r="K41" s="2">
        <v>2</v>
      </c>
      <c r="L41" s="2">
        <v>1</v>
      </c>
      <c r="M41" s="2">
        <v>7</v>
      </c>
      <c r="N41" s="5" t="s">
        <v>46</v>
      </c>
      <c r="O41" s="12">
        <v>338000</v>
      </c>
      <c r="P41" s="3">
        <f>50+100+130+15</f>
        <v>295</v>
      </c>
      <c r="Q41" s="3" t="s">
        <v>25</v>
      </c>
      <c r="R41" s="2">
        <v>1331</v>
      </c>
      <c r="S41" s="12">
        <f t="shared" si="0"/>
        <v>59.20000000000001</v>
      </c>
      <c r="T41" s="3">
        <f t="shared" si="1"/>
        <v>1685.2</v>
      </c>
      <c r="U41" s="2">
        <f t="shared" si="2"/>
        <v>625560</v>
      </c>
    </row>
    <row r="42" spans="1:21" ht="13.8" x14ac:dyDescent="0.3">
      <c r="A42" s="6">
        <v>45444</v>
      </c>
      <c r="B42" s="2" t="s">
        <v>405</v>
      </c>
      <c r="C42" s="2" t="s">
        <v>4</v>
      </c>
      <c r="D42" s="2" t="s">
        <v>1</v>
      </c>
      <c r="E42" s="2" t="s">
        <v>375</v>
      </c>
      <c r="F42" s="2">
        <v>2021</v>
      </c>
      <c r="G42" s="2">
        <v>490</v>
      </c>
      <c r="H42" s="2">
        <v>490</v>
      </c>
      <c r="I42" s="2"/>
      <c r="J42" s="2">
        <v>1</v>
      </c>
      <c r="K42" s="2">
        <v>1</v>
      </c>
      <c r="L42" s="2">
        <v>1</v>
      </c>
      <c r="M42" s="2">
        <v>4</v>
      </c>
      <c r="N42" s="5" t="s">
        <v>47</v>
      </c>
      <c r="O42" s="12">
        <v>339000</v>
      </c>
      <c r="P42" s="3">
        <f>(1872+1502+177)/12</f>
        <v>295.91666666666669</v>
      </c>
      <c r="Q42" s="3"/>
      <c r="R42" s="2">
        <v>1337</v>
      </c>
      <c r="S42" s="12">
        <f t="shared" si="0"/>
        <v>41.583333333333343</v>
      </c>
      <c r="T42" s="3">
        <f t="shared" si="1"/>
        <v>1674.5</v>
      </c>
      <c r="U42" s="2">
        <f t="shared" si="2"/>
        <v>622350</v>
      </c>
    </row>
    <row r="43" spans="1:21" ht="13.8" x14ac:dyDescent="0.3">
      <c r="A43" s="6">
        <v>45444</v>
      </c>
      <c r="B43" s="2" t="s">
        <v>406</v>
      </c>
      <c r="C43" s="2" t="s">
        <v>4</v>
      </c>
      <c r="D43" s="2" t="s">
        <v>1</v>
      </c>
      <c r="E43" s="2" t="s">
        <v>375</v>
      </c>
      <c r="F43" s="2">
        <v>2021</v>
      </c>
      <c r="G43" s="2">
        <v>488</v>
      </c>
      <c r="H43" s="2">
        <v>488</v>
      </c>
      <c r="I43" s="2"/>
      <c r="J43" s="2">
        <v>1</v>
      </c>
      <c r="K43" s="2">
        <v>1</v>
      </c>
      <c r="L43" s="2">
        <v>1</v>
      </c>
      <c r="M43" s="2">
        <v>3</v>
      </c>
      <c r="N43" s="5" t="s">
        <v>48</v>
      </c>
      <c r="O43" s="12">
        <v>339000</v>
      </c>
      <c r="P43" s="3">
        <f>(1850+2100)/12</f>
        <v>329.16666666666669</v>
      </c>
      <c r="Q43" s="3"/>
      <c r="R43" s="2">
        <v>1337</v>
      </c>
      <c r="S43" s="12">
        <f t="shared" si="0"/>
        <v>41.466666666666669</v>
      </c>
      <c r="T43" s="3">
        <f t="shared" si="1"/>
        <v>1707.6333333333334</v>
      </c>
      <c r="U43" s="2">
        <f t="shared" si="2"/>
        <v>632290</v>
      </c>
    </row>
    <row r="44" spans="1:21" ht="13.8" x14ac:dyDescent="0.3">
      <c r="A44" s="6">
        <v>45444</v>
      </c>
      <c r="B44" s="2" t="s">
        <v>407</v>
      </c>
      <c r="C44" s="2" t="s">
        <v>4</v>
      </c>
      <c r="D44" s="2" t="s">
        <v>1</v>
      </c>
      <c r="E44" s="2" t="s">
        <v>375</v>
      </c>
      <c r="F44" s="2">
        <v>2023</v>
      </c>
      <c r="G44" s="2">
        <v>422</v>
      </c>
      <c r="H44" s="2">
        <v>422</v>
      </c>
      <c r="I44" s="2"/>
      <c r="J44" s="2">
        <v>1</v>
      </c>
      <c r="K44" s="2">
        <v>4</v>
      </c>
      <c r="L44" s="2">
        <v>1</v>
      </c>
      <c r="M44" s="2">
        <v>1</v>
      </c>
      <c r="N44" s="5" t="s">
        <v>51</v>
      </c>
      <c r="O44" s="12">
        <v>349000</v>
      </c>
      <c r="P44" s="3">
        <f>(2664+50*12+130*12+15*12)/12</f>
        <v>417</v>
      </c>
      <c r="Q44" s="3" t="s">
        <v>25</v>
      </c>
      <c r="R44" s="3">
        <v>1397.8</v>
      </c>
      <c r="S44" s="12">
        <f t="shared" si="0"/>
        <v>37.616666666666674</v>
      </c>
      <c r="T44" s="3">
        <f t="shared" si="1"/>
        <v>1852.4166666666665</v>
      </c>
      <c r="U44" s="2">
        <f t="shared" si="2"/>
        <v>675725</v>
      </c>
    </row>
    <row r="45" spans="1:21" ht="13.8" x14ac:dyDescent="0.3">
      <c r="A45" s="6">
        <v>45444</v>
      </c>
      <c r="B45" s="2" t="s">
        <v>408</v>
      </c>
      <c r="C45" s="2" t="s">
        <v>4</v>
      </c>
      <c r="D45" s="2" t="s">
        <v>1</v>
      </c>
      <c r="E45" s="2" t="s">
        <v>375</v>
      </c>
      <c r="F45" s="2">
        <v>2016</v>
      </c>
      <c r="G45" s="2">
        <v>687</v>
      </c>
      <c r="H45" s="2">
        <v>687</v>
      </c>
      <c r="I45" s="2"/>
      <c r="J45" s="2">
        <v>1</v>
      </c>
      <c r="K45" s="2">
        <v>1</v>
      </c>
      <c r="L45" s="2">
        <v>1</v>
      </c>
      <c r="M45" s="2">
        <v>6</v>
      </c>
      <c r="N45" s="5" t="s">
        <v>52</v>
      </c>
      <c r="O45" s="12">
        <v>349000</v>
      </c>
      <c r="P45" s="3">
        <f>(3324+2257+267)/12</f>
        <v>487.33333333333331</v>
      </c>
      <c r="Q45" s="3"/>
      <c r="R45" s="3">
        <v>1397.8</v>
      </c>
      <c r="S45" s="12">
        <f t="shared" si="0"/>
        <v>53.075000000000003</v>
      </c>
      <c r="T45" s="3">
        <f t="shared" si="1"/>
        <v>1938.2083333333333</v>
      </c>
      <c r="U45" s="2">
        <f t="shared" si="2"/>
        <v>701462.5</v>
      </c>
    </row>
    <row r="46" spans="1:21" ht="13.8" x14ac:dyDescent="0.3">
      <c r="A46" s="6">
        <v>45444</v>
      </c>
      <c r="B46" s="2" t="s">
        <v>409</v>
      </c>
      <c r="C46" s="2" t="s">
        <v>4</v>
      </c>
      <c r="D46" s="2" t="s">
        <v>1</v>
      </c>
      <c r="E46" s="2" t="s">
        <v>375</v>
      </c>
      <c r="F46" s="2">
        <v>2005</v>
      </c>
      <c r="G46" s="2">
        <v>509</v>
      </c>
      <c r="H46" s="2">
        <v>509</v>
      </c>
      <c r="I46" s="2"/>
      <c r="J46" s="2">
        <v>1</v>
      </c>
      <c r="K46" s="2">
        <v>1</v>
      </c>
      <c r="L46" s="2">
        <v>1</v>
      </c>
      <c r="M46" s="2">
        <v>6</v>
      </c>
      <c r="N46" s="5" t="s">
        <v>53</v>
      </c>
      <c r="O46" s="12">
        <v>349800</v>
      </c>
      <c r="P46" s="3">
        <f>(1715+2976)/12</f>
        <v>390.91666666666669</v>
      </c>
      <c r="Q46" s="3"/>
      <c r="R46" s="3">
        <v>1403</v>
      </c>
      <c r="S46" s="12">
        <f t="shared" si="0"/>
        <v>42.691666666666663</v>
      </c>
      <c r="T46" s="3">
        <f t="shared" si="1"/>
        <v>1836.6083333333333</v>
      </c>
      <c r="U46" s="2">
        <f t="shared" si="2"/>
        <v>670982.5</v>
      </c>
    </row>
    <row r="47" spans="1:21" ht="13.8" x14ac:dyDescent="0.3">
      <c r="A47" s="6">
        <v>45444</v>
      </c>
      <c r="B47" s="2" t="s">
        <v>410</v>
      </c>
      <c r="C47" s="2" t="s">
        <v>4</v>
      </c>
      <c r="D47" s="2" t="s">
        <v>1</v>
      </c>
      <c r="E47" s="2" t="s">
        <v>375</v>
      </c>
      <c r="F47" s="2">
        <v>2002</v>
      </c>
      <c r="G47" s="2">
        <v>824</v>
      </c>
      <c r="H47" s="2">
        <v>824</v>
      </c>
      <c r="I47" s="2"/>
      <c r="J47" s="2">
        <v>1</v>
      </c>
      <c r="K47" s="2">
        <v>1</v>
      </c>
      <c r="L47" s="2">
        <v>1</v>
      </c>
      <c r="M47" s="2">
        <v>5</v>
      </c>
      <c r="N47" s="5" t="s">
        <v>54</v>
      </c>
      <c r="O47" s="12">
        <v>350000</v>
      </c>
      <c r="P47" s="3">
        <f>(2002+150*12)/12</f>
        <v>316.83333333333331</v>
      </c>
      <c r="R47" s="3">
        <v>1404</v>
      </c>
      <c r="S47" s="12">
        <f t="shared" si="0"/>
        <v>61.06666666666667</v>
      </c>
      <c r="T47" s="3">
        <f t="shared" si="1"/>
        <v>1781.8999999999999</v>
      </c>
      <c r="U47" s="2">
        <f t="shared" si="2"/>
        <v>654570</v>
      </c>
    </row>
    <row r="48" spans="1:21" ht="13.8" x14ac:dyDescent="0.3">
      <c r="A48" s="6">
        <v>45444</v>
      </c>
      <c r="B48" s="2" t="s">
        <v>411</v>
      </c>
      <c r="C48" s="2" t="s">
        <v>4</v>
      </c>
      <c r="D48" s="2" t="s">
        <v>1</v>
      </c>
      <c r="E48" s="2" t="s">
        <v>375</v>
      </c>
      <c r="F48" s="2">
        <v>2020</v>
      </c>
      <c r="G48" s="2">
        <v>478</v>
      </c>
      <c r="H48" s="2">
        <v>478</v>
      </c>
      <c r="I48" s="2"/>
      <c r="J48" s="2">
        <v>1</v>
      </c>
      <c r="K48" s="2">
        <v>1</v>
      </c>
      <c r="L48" s="2">
        <v>1</v>
      </c>
      <c r="M48" s="2">
        <v>4</v>
      </c>
      <c r="N48" s="5" t="s">
        <v>55</v>
      </c>
      <c r="O48" s="12">
        <v>359000</v>
      </c>
      <c r="P48" s="3">
        <f>(1539+2928)/12</f>
        <v>372.25</v>
      </c>
      <c r="R48" s="3">
        <v>1459</v>
      </c>
      <c r="S48" s="12">
        <f t="shared" si="0"/>
        <v>40.88333333333334</v>
      </c>
      <c r="T48" s="3">
        <f t="shared" si="1"/>
        <v>1872.1333333333334</v>
      </c>
      <c r="U48" s="2">
        <f t="shared" si="2"/>
        <v>681640</v>
      </c>
    </row>
    <row r="49" spans="1:21" ht="13.8" x14ac:dyDescent="0.3">
      <c r="A49" s="6">
        <v>45444</v>
      </c>
      <c r="B49" s="2" t="s">
        <v>412</v>
      </c>
      <c r="C49" s="2" t="s">
        <v>4</v>
      </c>
      <c r="D49" s="2" t="s">
        <v>1</v>
      </c>
      <c r="E49" s="2" t="s">
        <v>375</v>
      </c>
      <c r="F49" s="2">
        <v>2001</v>
      </c>
      <c r="G49" s="2">
        <v>838</v>
      </c>
      <c r="H49" s="2">
        <v>838</v>
      </c>
      <c r="I49" s="2"/>
      <c r="J49" s="2">
        <v>1</v>
      </c>
      <c r="K49" s="2">
        <v>1</v>
      </c>
      <c r="L49" s="2">
        <v>1</v>
      </c>
      <c r="M49" s="2">
        <v>6</v>
      </c>
      <c r="N49" s="5" t="s">
        <v>56</v>
      </c>
      <c r="O49" s="12">
        <v>368500</v>
      </c>
      <c r="P49" s="3">
        <f>(2213+299*12)/12</f>
        <v>483.41666666666669</v>
      </c>
      <c r="R49" s="3">
        <v>1517</v>
      </c>
      <c r="S49" s="12">
        <f t="shared" si="0"/>
        <v>61.883333333333333</v>
      </c>
      <c r="T49" s="3">
        <f t="shared" si="1"/>
        <v>2062.3000000000002</v>
      </c>
      <c r="U49" s="2">
        <f t="shared" si="2"/>
        <v>738690</v>
      </c>
    </row>
    <row r="50" spans="1:21" ht="13.8" x14ac:dyDescent="0.3">
      <c r="A50" s="6">
        <v>45444</v>
      </c>
      <c r="B50" s="2" t="s">
        <v>413</v>
      </c>
      <c r="C50" s="2" t="s">
        <v>4</v>
      </c>
      <c r="D50" s="2" t="s">
        <v>1</v>
      </c>
      <c r="E50" s="2" t="s">
        <v>375</v>
      </c>
      <c r="F50" s="2">
        <v>2024</v>
      </c>
      <c r="G50" s="2">
        <v>441</v>
      </c>
      <c r="H50" s="2">
        <v>441</v>
      </c>
      <c r="I50" s="2"/>
      <c r="J50" s="2">
        <v>1</v>
      </c>
      <c r="K50" s="2">
        <v>1</v>
      </c>
      <c r="L50" s="2">
        <v>1</v>
      </c>
      <c r="M50" s="2">
        <v>4</v>
      </c>
      <c r="N50" s="5" t="s">
        <v>57</v>
      </c>
      <c r="O50" s="12">
        <v>369000</v>
      </c>
      <c r="P50" s="3">
        <v>441</v>
      </c>
      <c r="R50" s="3">
        <f>(125*12+15*12+2592)/12</f>
        <v>356</v>
      </c>
      <c r="S50" s="12">
        <f t="shared" si="0"/>
        <v>38.725000000000009</v>
      </c>
      <c r="T50" s="3">
        <f t="shared" si="1"/>
        <v>835.72500000000002</v>
      </c>
      <c r="U50" s="2">
        <f t="shared" si="2"/>
        <v>370717.5</v>
      </c>
    </row>
    <row r="51" spans="1:21" ht="13.8" x14ac:dyDescent="0.3">
      <c r="A51" s="6">
        <v>45444</v>
      </c>
      <c r="B51" s="2" t="s">
        <v>414</v>
      </c>
      <c r="C51" s="2" t="s">
        <v>4</v>
      </c>
      <c r="D51" s="2" t="s">
        <v>1</v>
      </c>
      <c r="E51" s="2" t="s">
        <v>375</v>
      </c>
      <c r="F51" s="2">
        <v>1991</v>
      </c>
      <c r="G51" s="2">
        <f>17.3*11+13.2*9.5+10.9*9.5+5*7.9+11.5*14.9+10*9.9</f>
        <v>729.1</v>
      </c>
      <c r="H51" s="2">
        <f>17.3*11+13.2*9.5+10.9*9.5+5*7.9+11.5*14.9+10*9.9</f>
        <v>729.1</v>
      </c>
      <c r="I51" s="2"/>
      <c r="J51" s="2">
        <v>1</v>
      </c>
      <c r="K51" s="2">
        <v>2</v>
      </c>
      <c r="L51" s="2">
        <v>1</v>
      </c>
      <c r="M51" s="2">
        <v>5</v>
      </c>
      <c r="N51" s="5" t="s">
        <v>58</v>
      </c>
      <c r="O51" s="12">
        <v>369000</v>
      </c>
      <c r="P51" s="3">
        <f>(2293+2436)/12</f>
        <v>394.08333333333331</v>
      </c>
      <c r="R51" s="3">
        <v>1519.87</v>
      </c>
      <c r="S51" s="12">
        <f t="shared" si="0"/>
        <v>55.530833333333341</v>
      </c>
      <c r="T51" s="3">
        <f t="shared" si="1"/>
        <v>1969.4841666666664</v>
      </c>
      <c r="U51" s="2">
        <f t="shared" si="2"/>
        <v>710845.25</v>
      </c>
    </row>
    <row r="52" spans="1:21" ht="13.8" x14ac:dyDescent="0.3">
      <c r="A52" s="6">
        <v>45444</v>
      </c>
      <c r="B52" s="2" t="s">
        <v>415</v>
      </c>
      <c r="C52" s="2" t="s">
        <v>4</v>
      </c>
      <c r="D52" s="2" t="s">
        <v>1</v>
      </c>
      <c r="E52" s="2" t="s">
        <v>375</v>
      </c>
      <c r="F52" s="2">
        <v>2000</v>
      </c>
      <c r="G52" s="2">
        <v>908</v>
      </c>
      <c r="H52" s="2">
        <v>908</v>
      </c>
      <c r="I52" s="2"/>
      <c r="J52" s="2">
        <v>1</v>
      </c>
      <c r="K52" s="2">
        <v>2</v>
      </c>
      <c r="L52" s="2">
        <v>1</v>
      </c>
      <c r="M52" s="2">
        <v>6</v>
      </c>
      <c r="N52" s="5" t="s">
        <v>59</v>
      </c>
      <c r="O52" s="12">
        <v>369000</v>
      </c>
      <c r="P52" s="3">
        <f>(1800+1660+188)/12</f>
        <v>304</v>
      </c>
      <c r="R52" s="3">
        <v>1520</v>
      </c>
      <c r="S52" s="12">
        <f t="shared" si="0"/>
        <v>65.966666666666669</v>
      </c>
      <c r="T52" s="3">
        <f t="shared" si="1"/>
        <v>1889.9666666666667</v>
      </c>
      <c r="U52" s="2">
        <f t="shared" si="2"/>
        <v>686990</v>
      </c>
    </row>
    <row r="53" spans="1:21" ht="13.8" x14ac:dyDescent="0.3">
      <c r="A53" s="6">
        <v>45444</v>
      </c>
      <c r="B53" s="2" t="s">
        <v>416</v>
      </c>
      <c r="C53" s="2" t="s">
        <v>4</v>
      </c>
      <c r="D53" s="2" t="s">
        <v>1</v>
      </c>
      <c r="E53" s="2" t="s">
        <v>375</v>
      </c>
      <c r="F53" s="2">
        <v>2024</v>
      </c>
      <c r="G53" s="2">
        <v>532</v>
      </c>
      <c r="H53" s="2">
        <v>532</v>
      </c>
      <c r="I53" s="2"/>
      <c r="J53" s="2">
        <v>1</v>
      </c>
      <c r="K53" s="2">
        <v>1</v>
      </c>
      <c r="L53" s="2">
        <v>1</v>
      </c>
      <c r="M53" s="2">
        <v>3</v>
      </c>
      <c r="N53" s="5" t="s">
        <v>60</v>
      </c>
      <c r="O53" s="12">
        <v>375000</v>
      </c>
      <c r="P53" s="3">
        <f>(210*12+60*12+160*12+20*12)/12</f>
        <v>450</v>
      </c>
      <c r="Q53" s="2" t="s">
        <v>25</v>
      </c>
      <c r="R53" s="3">
        <v>1556</v>
      </c>
      <c r="S53" s="12">
        <f t="shared" si="0"/>
        <v>44.033333333333331</v>
      </c>
      <c r="T53" s="3">
        <f t="shared" si="1"/>
        <v>2050.0333333333333</v>
      </c>
      <c r="U53" s="2">
        <f t="shared" si="2"/>
        <v>735010</v>
      </c>
    </row>
    <row r="54" spans="1:21" ht="13.8" x14ac:dyDescent="0.3">
      <c r="A54" s="6">
        <v>45444</v>
      </c>
      <c r="B54" s="2" t="s">
        <v>417</v>
      </c>
      <c r="C54" s="2" t="s">
        <v>4</v>
      </c>
      <c r="D54" s="2" t="s">
        <v>1</v>
      </c>
      <c r="E54" s="2" t="s">
        <v>375</v>
      </c>
      <c r="F54" s="2">
        <v>2023</v>
      </c>
      <c r="G54" s="2">
        <v>487</v>
      </c>
      <c r="H54" s="2">
        <v>487</v>
      </c>
      <c r="I54" s="2"/>
      <c r="J54" s="2">
        <v>1</v>
      </c>
      <c r="K54" s="2">
        <v>1</v>
      </c>
      <c r="L54" s="2">
        <v>1</v>
      </c>
      <c r="M54" s="2">
        <v>3</v>
      </c>
      <c r="N54" s="5" t="s">
        <v>61</v>
      </c>
      <c r="O54" s="12">
        <v>375000</v>
      </c>
      <c r="P54" s="3">
        <f>(60*12+160*12+20*12+2745)/12</f>
        <v>468.75</v>
      </c>
      <c r="Q54" s="2" t="s">
        <v>25</v>
      </c>
      <c r="R54" s="3">
        <v>1556</v>
      </c>
      <c r="S54" s="12">
        <f t="shared" si="0"/>
        <v>41.408333333333331</v>
      </c>
      <c r="T54" s="3">
        <f t="shared" si="1"/>
        <v>2066.1583333333333</v>
      </c>
      <c r="U54" s="2">
        <f t="shared" si="2"/>
        <v>739847.5</v>
      </c>
    </row>
    <row r="55" spans="1:21" ht="13.8" x14ac:dyDescent="0.3">
      <c r="A55" s="6">
        <v>45444</v>
      </c>
      <c r="B55" s="2" t="s">
        <v>418</v>
      </c>
      <c r="C55" s="2" t="s">
        <v>4</v>
      </c>
      <c r="D55" s="2" t="s">
        <v>1</v>
      </c>
      <c r="E55" s="2" t="s">
        <v>375</v>
      </c>
      <c r="F55" s="2">
        <v>2013</v>
      </c>
      <c r="G55" s="2">
        <v>590</v>
      </c>
      <c r="H55" s="2">
        <v>590</v>
      </c>
      <c r="I55" s="2"/>
      <c r="J55" s="2">
        <v>1</v>
      </c>
      <c r="K55" s="2">
        <v>1</v>
      </c>
      <c r="L55" s="2">
        <v>1</v>
      </c>
      <c r="M55" s="2">
        <v>4</v>
      </c>
      <c r="N55" s="5" t="s">
        <v>62</v>
      </c>
      <c r="O55" s="12">
        <v>377000</v>
      </c>
      <c r="P55" s="3">
        <f>(3132+251+2066)/12</f>
        <v>454.08333333333331</v>
      </c>
      <c r="R55" s="3">
        <v>1569</v>
      </c>
      <c r="S55" s="12">
        <f t="shared" si="0"/>
        <v>47.416666666666671</v>
      </c>
      <c r="T55" s="3">
        <f t="shared" si="1"/>
        <v>2070.5</v>
      </c>
      <c r="U55" s="2">
        <f t="shared" si="2"/>
        <v>741150</v>
      </c>
    </row>
    <row r="56" spans="1:21" ht="13.8" x14ac:dyDescent="0.3">
      <c r="A56" s="6">
        <v>45444</v>
      </c>
      <c r="B56" s="2" t="s">
        <v>419</v>
      </c>
      <c r="C56" s="2" t="s">
        <v>4</v>
      </c>
      <c r="D56" s="2" t="s">
        <v>1</v>
      </c>
      <c r="E56" s="2" t="s">
        <v>375</v>
      </c>
      <c r="F56" s="2">
        <v>1986</v>
      </c>
      <c r="G56" s="2">
        <v>1080</v>
      </c>
      <c r="H56" s="2">
        <v>1080</v>
      </c>
      <c r="I56" s="2"/>
      <c r="J56" s="2">
        <v>1</v>
      </c>
      <c r="K56" s="2">
        <v>2</v>
      </c>
      <c r="L56" s="2">
        <v>1</v>
      </c>
      <c r="M56" s="2">
        <v>5</v>
      </c>
      <c r="N56" s="5" t="s">
        <v>63</v>
      </c>
      <c r="O56" s="12">
        <v>379000</v>
      </c>
      <c r="P56" s="3">
        <f>(2592+2155+246)/12</f>
        <v>416.08333333333331</v>
      </c>
      <c r="R56" s="3">
        <v>1581</v>
      </c>
      <c r="S56" s="12">
        <f t="shared" si="0"/>
        <v>76</v>
      </c>
      <c r="T56" s="3">
        <f t="shared" si="1"/>
        <v>2073.083333333333</v>
      </c>
      <c r="U56" s="2">
        <f t="shared" si="2"/>
        <v>741924.99999999988</v>
      </c>
    </row>
    <row r="57" spans="1:21" ht="13.8" x14ac:dyDescent="0.3">
      <c r="A57" s="6">
        <v>45444</v>
      </c>
      <c r="B57" s="2" t="s">
        <v>420</v>
      </c>
      <c r="C57" s="2" t="s">
        <v>4</v>
      </c>
      <c r="D57" s="2" t="s">
        <v>1</v>
      </c>
      <c r="E57" s="2" t="s">
        <v>375</v>
      </c>
      <c r="F57" s="2">
        <v>2024</v>
      </c>
      <c r="G57" s="2">
        <v>552</v>
      </c>
      <c r="H57" s="2">
        <v>552</v>
      </c>
      <c r="I57" s="2"/>
      <c r="J57" s="2">
        <v>1</v>
      </c>
      <c r="K57" s="2">
        <v>1</v>
      </c>
      <c r="L57" s="2">
        <v>1</v>
      </c>
      <c r="M57" s="2">
        <v>4</v>
      </c>
      <c r="N57" s="5" t="s">
        <v>64</v>
      </c>
      <c r="O57" s="12">
        <v>379136</v>
      </c>
      <c r="P57" s="3">
        <f>60+150+160+20</f>
        <v>390</v>
      </c>
      <c r="Q57" s="2" t="s">
        <v>25</v>
      </c>
      <c r="R57" s="3">
        <v>1582</v>
      </c>
      <c r="S57" s="12">
        <f t="shared" si="0"/>
        <v>45.2</v>
      </c>
      <c r="T57" s="3">
        <f t="shared" si="1"/>
        <v>2017.2</v>
      </c>
      <c r="U57" s="2">
        <f t="shared" si="2"/>
        <v>725160</v>
      </c>
    </row>
    <row r="58" spans="1:21" ht="13.8" x14ac:dyDescent="0.3">
      <c r="A58" s="6">
        <v>45444</v>
      </c>
      <c r="B58" s="2" t="s">
        <v>421</v>
      </c>
      <c r="C58" s="2" t="s">
        <v>4</v>
      </c>
      <c r="D58" s="2" t="s">
        <v>1</v>
      </c>
      <c r="E58" s="2" t="s">
        <v>375</v>
      </c>
      <c r="F58" s="2">
        <v>1983</v>
      </c>
      <c r="G58" s="2">
        <v>904</v>
      </c>
      <c r="H58" s="2">
        <v>904</v>
      </c>
      <c r="I58" s="2"/>
      <c r="J58" s="2">
        <v>1</v>
      </c>
      <c r="K58" s="2">
        <v>2</v>
      </c>
      <c r="L58" s="2">
        <v>1</v>
      </c>
      <c r="M58" s="2">
        <v>5</v>
      </c>
      <c r="N58" s="5" t="s">
        <v>65</v>
      </c>
      <c r="O58" s="12">
        <v>389000</v>
      </c>
      <c r="P58" s="3">
        <f>(2619+1150)/12</f>
        <v>314.08333333333331</v>
      </c>
      <c r="R58" s="3">
        <v>1642</v>
      </c>
      <c r="S58" s="12">
        <f t="shared" si="0"/>
        <v>65.733333333333348</v>
      </c>
      <c r="T58" s="3">
        <f t="shared" si="1"/>
        <v>2021.8166666666666</v>
      </c>
      <c r="U58" s="2">
        <f t="shared" si="2"/>
        <v>726545</v>
      </c>
    </row>
    <row r="59" spans="1:21" ht="13.8" x14ac:dyDescent="0.3">
      <c r="A59" s="6">
        <v>45444</v>
      </c>
      <c r="B59" s="2" t="s">
        <v>422</v>
      </c>
      <c r="C59" s="2" t="s">
        <v>4</v>
      </c>
      <c r="D59" s="2" t="s">
        <v>1</v>
      </c>
      <c r="E59" s="2" t="s">
        <v>375</v>
      </c>
      <c r="F59" s="2">
        <v>2016</v>
      </c>
      <c r="G59" s="2">
        <v>687</v>
      </c>
      <c r="H59" s="2">
        <v>687</v>
      </c>
      <c r="I59" s="2"/>
      <c r="J59" s="2">
        <v>1</v>
      </c>
      <c r="K59" s="2">
        <v>1</v>
      </c>
      <c r="L59" s="2">
        <v>1</v>
      </c>
      <c r="M59" s="2">
        <v>6</v>
      </c>
      <c r="N59" s="5" t="s">
        <v>66</v>
      </c>
      <c r="O59" s="12">
        <v>395000</v>
      </c>
      <c r="P59" s="3">
        <f>(2523+3684)/12</f>
        <v>517.25</v>
      </c>
      <c r="R59" s="3">
        <v>1679</v>
      </c>
      <c r="S59" s="12">
        <f t="shared" si="0"/>
        <v>53.075000000000003</v>
      </c>
      <c r="T59" s="3">
        <f t="shared" si="1"/>
        <v>2249.3249999999998</v>
      </c>
      <c r="U59" s="2">
        <f t="shared" si="2"/>
        <v>794797.5</v>
      </c>
    </row>
    <row r="60" spans="1:21" ht="13.8" x14ac:dyDescent="0.3">
      <c r="A60" s="6">
        <v>45444</v>
      </c>
      <c r="B60" s="2" t="s">
        <v>423</v>
      </c>
      <c r="C60" s="2" t="s">
        <v>4</v>
      </c>
      <c r="D60" s="2" t="s">
        <v>1</v>
      </c>
      <c r="E60" s="2" t="s">
        <v>375</v>
      </c>
      <c r="F60" s="2">
        <v>2016</v>
      </c>
      <c r="G60" s="2">
        <v>681</v>
      </c>
      <c r="H60" s="2">
        <v>681</v>
      </c>
      <c r="I60" s="2"/>
      <c r="J60" s="2">
        <v>1</v>
      </c>
      <c r="K60" s="2">
        <v>1</v>
      </c>
      <c r="L60" s="2">
        <v>1</v>
      </c>
      <c r="M60" s="2">
        <v>4</v>
      </c>
      <c r="N60" s="5" t="s">
        <v>67</v>
      </c>
      <c r="O60" s="12">
        <v>395000</v>
      </c>
      <c r="P60" s="3">
        <f>300+2043/12+300</f>
        <v>770.25</v>
      </c>
      <c r="R60" s="3">
        <v>1679</v>
      </c>
      <c r="S60" s="12">
        <f t="shared" si="0"/>
        <v>52.725000000000001</v>
      </c>
      <c r="T60" s="3">
        <f t="shared" si="1"/>
        <v>2501.9749999999999</v>
      </c>
      <c r="U60" s="2">
        <f t="shared" si="2"/>
        <v>870592.49999999988</v>
      </c>
    </row>
    <row r="61" spans="1:21" ht="13.8" x14ac:dyDescent="0.3">
      <c r="A61" s="6">
        <v>45444</v>
      </c>
      <c r="B61" s="2" t="s">
        <v>424</v>
      </c>
      <c r="C61" s="2" t="s">
        <v>4</v>
      </c>
      <c r="D61" s="2" t="s">
        <v>1</v>
      </c>
      <c r="E61" s="2" t="s">
        <v>375</v>
      </c>
      <c r="F61" s="2">
        <v>2016</v>
      </c>
      <c r="G61" s="2">
        <v>721</v>
      </c>
      <c r="H61" s="2">
        <v>721</v>
      </c>
      <c r="I61" s="2"/>
      <c r="J61" s="2">
        <v>1</v>
      </c>
      <c r="K61" s="2">
        <v>1</v>
      </c>
      <c r="L61" s="2">
        <v>1</v>
      </c>
      <c r="M61" s="2">
        <v>4</v>
      </c>
      <c r="N61" s="5" t="s">
        <v>68</v>
      </c>
      <c r="O61" s="12">
        <v>399000</v>
      </c>
      <c r="P61" s="3">
        <f>(3516+2141+252)/12</f>
        <v>492.41666666666669</v>
      </c>
      <c r="R61" s="3">
        <v>1703</v>
      </c>
      <c r="S61" s="12">
        <f t="shared" si="0"/>
        <v>55.058333333333337</v>
      </c>
      <c r="T61" s="3">
        <f t="shared" si="1"/>
        <v>2250.4749999999999</v>
      </c>
      <c r="U61" s="2">
        <f t="shared" si="2"/>
        <v>795142.49999999988</v>
      </c>
    </row>
    <row r="62" spans="1:21" ht="13.8" x14ac:dyDescent="0.3">
      <c r="A62" s="6">
        <v>45444</v>
      </c>
      <c r="B62" s="2" t="s">
        <v>425</v>
      </c>
      <c r="C62" s="2" t="s">
        <v>4</v>
      </c>
      <c r="D62" s="2" t="s">
        <v>1</v>
      </c>
      <c r="E62" s="2" t="s">
        <v>375</v>
      </c>
      <c r="F62" s="2">
        <v>1993</v>
      </c>
      <c r="G62" s="2">
        <v>1126</v>
      </c>
      <c r="H62" s="2">
        <v>1126</v>
      </c>
      <c r="I62" s="2"/>
      <c r="J62" s="2">
        <v>1</v>
      </c>
      <c r="K62" s="2">
        <v>1</v>
      </c>
      <c r="L62" s="2">
        <v>1</v>
      </c>
      <c r="M62" s="2">
        <v>5</v>
      </c>
      <c r="N62" s="5" t="s">
        <v>69</v>
      </c>
      <c r="O62" s="12">
        <v>399000</v>
      </c>
      <c r="P62" s="3">
        <f>(4356+1911+233)/12</f>
        <v>541.66666666666663</v>
      </c>
      <c r="R62" s="3">
        <v>1703</v>
      </c>
      <c r="S62" s="12">
        <f t="shared" si="0"/>
        <v>78.683333333333337</v>
      </c>
      <c r="T62" s="3">
        <f t="shared" si="1"/>
        <v>2323.35</v>
      </c>
      <c r="U62" s="2">
        <f t="shared" si="2"/>
        <v>817004.99999999988</v>
      </c>
    </row>
    <row r="63" spans="1:21" ht="13.8" x14ac:dyDescent="0.3">
      <c r="A63" s="6">
        <v>45444</v>
      </c>
      <c r="B63" s="2" t="s">
        <v>426</v>
      </c>
      <c r="C63" s="2" t="s">
        <v>4</v>
      </c>
      <c r="D63" s="2" t="s">
        <v>1</v>
      </c>
      <c r="E63" s="2" t="s">
        <v>375</v>
      </c>
      <c r="F63" s="2">
        <v>1984</v>
      </c>
      <c r="G63" s="2">
        <f>(2.5*2+4.7*3.1+3*2.81+3.83*4.2+3.22*2.97+2.42*1.5)*3.28^2</f>
        <v>616.23469695999995</v>
      </c>
      <c r="H63" s="2">
        <f>(2.5*2+4.7*3.1+3*2.81+3.83*4.2+3.22*2.97+2.42*1.5)*3.28^2</f>
        <v>616.23469695999995</v>
      </c>
      <c r="I63" s="2"/>
      <c r="J63" s="2">
        <v>1</v>
      </c>
      <c r="K63" s="2">
        <v>2</v>
      </c>
      <c r="L63" s="2">
        <v>1</v>
      </c>
      <c r="M63" s="2">
        <v>5</v>
      </c>
      <c r="N63" s="5" t="s">
        <v>70</v>
      </c>
      <c r="O63" s="12">
        <v>399900</v>
      </c>
      <c r="P63" s="3">
        <f>(4956+1941+237)/12</f>
        <v>594.5</v>
      </c>
      <c r="R63" s="3">
        <v>1708</v>
      </c>
      <c r="S63" s="12">
        <f t="shared" si="0"/>
        <v>48.947023989333331</v>
      </c>
      <c r="T63" s="3">
        <f t="shared" si="1"/>
        <v>2351.4470239893335</v>
      </c>
      <c r="U63" s="2">
        <f t="shared" si="2"/>
        <v>825434.10719680006</v>
      </c>
    </row>
    <row r="64" spans="1:21" ht="13.8" x14ac:dyDescent="0.3">
      <c r="A64" s="6">
        <v>45444</v>
      </c>
      <c r="B64" s="2" t="s">
        <v>427</v>
      </c>
      <c r="C64" s="2" t="s">
        <v>4</v>
      </c>
      <c r="D64" s="2" t="s">
        <v>1</v>
      </c>
      <c r="E64" s="2" t="s">
        <v>375</v>
      </c>
      <c r="F64" s="2">
        <v>2023</v>
      </c>
      <c r="G64" s="2">
        <v>570</v>
      </c>
      <c r="H64" s="2">
        <v>570</v>
      </c>
      <c r="I64" s="2"/>
      <c r="J64" s="2">
        <v>1</v>
      </c>
      <c r="K64" s="2">
        <v>1</v>
      </c>
      <c r="L64" s="2">
        <v>1</v>
      </c>
      <c r="M64" s="2">
        <v>5</v>
      </c>
      <c r="N64" s="5" t="s">
        <v>71</v>
      </c>
      <c r="O64" s="12">
        <v>405900</v>
      </c>
      <c r="P64" s="3">
        <f>(2904+90*12+160*12+20*12)/12</f>
        <v>512</v>
      </c>
      <c r="R64" s="3">
        <v>1745</v>
      </c>
      <c r="S64" s="12">
        <f t="shared" si="0"/>
        <v>46.250000000000007</v>
      </c>
      <c r="T64" s="3">
        <f t="shared" si="1"/>
        <v>2303.25</v>
      </c>
      <c r="U64" s="2">
        <f t="shared" si="2"/>
        <v>810975</v>
      </c>
    </row>
    <row r="65" spans="1:21" ht="13.8" x14ac:dyDescent="0.3">
      <c r="A65" s="6">
        <v>45444</v>
      </c>
      <c r="B65" s="2" t="s">
        <v>428</v>
      </c>
      <c r="C65" s="2" t="s">
        <v>4</v>
      </c>
      <c r="D65" s="2" t="s">
        <v>1</v>
      </c>
      <c r="E65" s="2" t="s">
        <v>375</v>
      </c>
      <c r="F65" s="2">
        <v>2023</v>
      </c>
      <c r="G65" s="2">
        <v>639</v>
      </c>
      <c r="H65" s="2">
        <v>639</v>
      </c>
      <c r="I65" s="2"/>
      <c r="J65" s="2">
        <v>1</v>
      </c>
      <c r="K65" s="2">
        <v>1</v>
      </c>
      <c r="L65" s="2">
        <v>1</v>
      </c>
      <c r="M65" s="2">
        <v>4</v>
      </c>
      <c r="N65" s="5" t="s">
        <v>72</v>
      </c>
      <c r="O65" s="12">
        <v>409000</v>
      </c>
      <c r="P65" s="3">
        <f>90+150+160+20</f>
        <v>420</v>
      </c>
      <c r="Q65" s="2" t="s">
        <v>25</v>
      </c>
      <c r="R65" s="3">
        <v>1764</v>
      </c>
      <c r="S65" s="12">
        <f t="shared" si="0"/>
        <v>50.275000000000006</v>
      </c>
      <c r="T65" s="3">
        <f t="shared" si="1"/>
        <v>2234.2750000000001</v>
      </c>
      <c r="U65" s="2">
        <f t="shared" si="2"/>
        <v>790282.50000000012</v>
      </c>
    </row>
    <row r="66" spans="1:21" ht="13.8" x14ac:dyDescent="0.3">
      <c r="A66" s="6">
        <v>45444</v>
      </c>
      <c r="B66" s="2" t="s">
        <v>429</v>
      </c>
      <c r="C66" s="2" t="s">
        <v>4</v>
      </c>
      <c r="D66" s="2" t="s">
        <v>1</v>
      </c>
      <c r="E66" s="2" t="s">
        <v>375</v>
      </c>
      <c r="F66" s="2">
        <v>2016</v>
      </c>
      <c r="G66" s="2">
        <v>789</v>
      </c>
      <c r="H66" s="2">
        <v>789</v>
      </c>
      <c r="I66" s="2"/>
      <c r="J66" s="2">
        <v>1</v>
      </c>
      <c r="K66" s="2">
        <v>2</v>
      </c>
      <c r="L66" s="2">
        <v>1</v>
      </c>
      <c r="M66" s="2">
        <v>8</v>
      </c>
      <c r="N66" s="5" t="s">
        <v>73</v>
      </c>
      <c r="O66" s="12">
        <v>409995</v>
      </c>
      <c r="P66" s="3">
        <f>(5352+2370+281)/12</f>
        <v>666.91666666666663</v>
      </c>
      <c r="R66" s="3">
        <v>1770</v>
      </c>
      <c r="S66" s="12">
        <f t="shared" ref="S66:S129" si="3">13+(G66*10*0.07)/12</f>
        <v>59.025000000000006</v>
      </c>
      <c r="T66" s="3">
        <f t="shared" ref="T66:T129" si="4">P66+R66+S66</f>
        <v>2495.9416666666666</v>
      </c>
      <c r="U66" s="2">
        <f t="shared" ref="U66:U129" si="5">120000+T66*12*25</f>
        <v>868782.5</v>
      </c>
    </row>
    <row r="67" spans="1:21" ht="13.8" x14ac:dyDescent="0.3">
      <c r="A67" s="6">
        <v>45444</v>
      </c>
      <c r="B67" s="2" t="s">
        <v>430</v>
      </c>
      <c r="C67" s="2" t="s">
        <v>4</v>
      </c>
      <c r="D67" s="2" t="s">
        <v>1</v>
      </c>
      <c r="E67" s="2" t="s">
        <v>375</v>
      </c>
      <c r="F67" s="2">
        <v>1987</v>
      </c>
      <c r="G67" s="2">
        <v>1025</v>
      </c>
      <c r="H67" s="2">
        <v>1025</v>
      </c>
      <c r="I67" s="2"/>
      <c r="J67" s="2">
        <v>1</v>
      </c>
      <c r="K67" s="2">
        <v>2</v>
      </c>
      <c r="L67" s="2">
        <v>1</v>
      </c>
      <c r="M67" s="2">
        <v>8</v>
      </c>
      <c r="N67" s="5" t="s">
        <v>74</v>
      </c>
      <c r="O67" s="12">
        <v>415000</v>
      </c>
      <c r="P67" s="3">
        <f>(2053+3456)/12</f>
        <v>459.08333333333331</v>
      </c>
      <c r="R67" s="3">
        <v>1801</v>
      </c>
      <c r="S67" s="12">
        <f t="shared" si="3"/>
        <v>72.791666666666686</v>
      </c>
      <c r="T67" s="3">
        <f t="shared" si="4"/>
        <v>2332.875</v>
      </c>
      <c r="U67" s="2">
        <f t="shared" si="5"/>
        <v>819862.5</v>
      </c>
    </row>
    <row r="68" spans="1:21" ht="13.8" x14ac:dyDescent="0.3">
      <c r="A68" s="6">
        <v>45444</v>
      </c>
      <c r="B68" s="2" t="s">
        <v>431</v>
      </c>
      <c r="C68" s="2" t="s">
        <v>4</v>
      </c>
      <c r="D68" s="2" t="s">
        <v>1</v>
      </c>
      <c r="E68" s="2" t="s">
        <v>375</v>
      </c>
      <c r="F68" s="2">
        <v>2016</v>
      </c>
      <c r="G68" s="2">
        <v>690</v>
      </c>
      <c r="H68" s="2">
        <v>690</v>
      </c>
      <c r="I68" s="2"/>
      <c r="J68" s="2">
        <v>1</v>
      </c>
      <c r="K68" s="2">
        <v>1</v>
      </c>
      <c r="L68" s="2">
        <v>1</v>
      </c>
      <c r="M68" s="2">
        <v>5</v>
      </c>
      <c r="N68" s="5" t="s">
        <v>75</v>
      </c>
      <c r="O68" s="12">
        <v>415000</v>
      </c>
      <c r="P68" s="3">
        <f>(2508+60*12+150*12)/12</f>
        <v>419</v>
      </c>
      <c r="R68" s="3">
        <v>1801</v>
      </c>
      <c r="S68" s="12">
        <f t="shared" si="3"/>
        <v>53.250000000000007</v>
      </c>
      <c r="T68" s="3">
        <f t="shared" si="4"/>
        <v>2273.25</v>
      </c>
      <c r="U68" s="2">
        <f t="shared" si="5"/>
        <v>801975</v>
      </c>
    </row>
    <row r="69" spans="1:21" ht="13.8" x14ac:dyDescent="0.3">
      <c r="A69" s="6">
        <v>45444</v>
      </c>
      <c r="B69" s="2" t="s">
        <v>432</v>
      </c>
      <c r="C69" s="2" t="s">
        <v>4</v>
      </c>
      <c r="D69" s="2" t="s">
        <v>1</v>
      </c>
      <c r="E69" s="2" t="s">
        <v>375</v>
      </c>
      <c r="F69" s="2">
        <v>2023</v>
      </c>
      <c r="G69" s="2">
        <v>610</v>
      </c>
      <c r="H69" s="2">
        <v>610</v>
      </c>
      <c r="I69" s="2"/>
      <c r="J69" s="2">
        <v>1</v>
      </c>
      <c r="K69" s="2">
        <v>1</v>
      </c>
      <c r="L69" s="2">
        <v>1</v>
      </c>
      <c r="M69" s="2">
        <v>4</v>
      </c>
      <c r="N69" s="5" t="s">
        <v>76</v>
      </c>
      <c r="O69" s="12">
        <v>424900</v>
      </c>
      <c r="P69" s="3">
        <f>90+150+160+20</f>
        <v>420</v>
      </c>
      <c r="Q69" s="2" t="s">
        <v>25</v>
      </c>
      <c r="R69" s="3">
        <v>1861</v>
      </c>
      <c r="S69" s="12">
        <f t="shared" si="3"/>
        <v>48.583333333333336</v>
      </c>
      <c r="T69" s="3">
        <f t="shared" si="4"/>
        <v>2329.5833333333335</v>
      </c>
      <c r="U69" s="2">
        <f t="shared" si="5"/>
        <v>818875</v>
      </c>
    </row>
    <row r="70" spans="1:21" ht="13.8" x14ac:dyDescent="0.3">
      <c r="A70" s="6">
        <v>45444</v>
      </c>
      <c r="B70" s="2" t="s">
        <v>433</v>
      </c>
      <c r="C70" s="2" t="s">
        <v>4</v>
      </c>
      <c r="D70" s="2" t="s">
        <v>1</v>
      </c>
      <c r="E70" s="2" t="s">
        <v>375</v>
      </c>
      <c r="F70" s="2">
        <v>2016</v>
      </c>
      <c r="G70" s="2">
        <v>803</v>
      </c>
      <c r="H70" s="2">
        <v>803</v>
      </c>
      <c r="I70" s="2"/>
      <c r="J70" s="2">
        <v>1</v>
      </c>
      <c r="K70" s="2">
        <v>2</v>
      </c>
      <c r="L70" s="2">
        <v>1</v>
      </c>
      <c r="M70" s="2">
        <v>5</v>
      </c>
      <c r="N70" s="5" t="s">
        <v>77</v>
      </c>
      <c r="O70" s="12">
        <v>425000</v>
      </c>
      <c r="P70" s="3">
        <f>(2698+424*12)/12</f>
        <v>648.83333333333337</v>
      </c>
      <c r="R70" s="3">
        <v>1862</v>
      </c>
      <c r="S70" s="12">
        <f t="shared" si="3"/>
        <v>59.841666666666669</v>
      </c>
      <c r="T70" s="3">
        <f t="shared" si="4"/>
        <v>2570.6750000000002</v>
      </c>
      <c r="U70" s="2">
        <f t="shared" si="5"/>
        <v>891202.5</v>
      </c>
    </row>
    <row r="71" spans="1:21" ht="13.8" x14ac:dyDescent="0.3">
      <c r="A71" s="6">
        <v>45444</v>
      </c>
      <c r="B71" s="2" t="s">
        <v>434</v>
      </c>
      <c r="C71" s="2" t="s">
        <v>4</v>
      </c>
      <c r="D71" s="2" t="s">
        <v>1</v>
      </c>
      <c r="E71" s="2" t="s">
        <v>375</v>
      </c>
      <c r="F71" s="2">
        <v>2013</v>
      </c>
      <c r="G71" s="2">
        <v>639</v>
      </c>
      <c r="H71" s="2">
        <v>639</v>
      </c>
      <c r="I71" s="2"/>
      <c r="J71" s="2">
        <v>1</v>
      </c>
      <c r="K71" s="2">
        <v>1</v>
      </c>
      <c r="L71" s="2">
        <v>1</v>
      </c>
      <c r="M71" s="2">
        <v>4</v>
      </c>
      <c r="N71" s="5" t="s">
        <v>78</v>
      </c>
      <c r="O71" s="12">
        <v>429000</v>
      </c>
      <c r="P71" s="3">
        <f>(2428+278*12)/12</f>
        <v>480.33333333333331</v>
      </c>
      <c r="R71" s="3">
        <v>1886</v>
      </c>
      <c r="S71" s="12">
        <f t="shared" si="3"/>
        <v>50.275000000000006</v>
      </c>
      <c r="T71" s="3">
        <f t="shared" si="4"/>
        <v>2416.6083333333336</v>
      </c>
      <c r="U71" s="2">
        <f t="shared" si="5"/>
        <v>844982.50000000012</v>
      </c>
    </row>
    <row r="72" spans="1:21" ht="13.8" x14ac:dyDescent="0.3">
      <c r="A72" s="6">
        <v>45444</v>
      </c>
      <c r="B72" s="2" t="s">
        <v>435</v>
      </c>
      <c r="C72" s="2" t="s">
        <v>4</v>
      </c>
      <c r="D72" s="2" t="s">
        <v>1</v>
      </c>
      <c r="E72" s="2" t="s">
        <v>375</v>
      </c>
      <c r="F72" s="2">
        <v>2024</v>
      </c>
      <c r="G72" s="2">
        <v>502</v>
      </c>
      <c r="H72" s="2">
        <v>502</v>
      </c>
      <c r="I72" s="2"/>
      <c r="J72" s="2">
        <v>1</v>
      </c>
      <c r="K72" s="2">
        <v>1</v>
      </c>
      <c r="L72" s="2">
        <v>1</v>
      </c>
      <c r="M72" s="2">
        <v>3</v>
      </c>
      <c r="N72" s="5" t="s">
        <v>79</v>
      </c>
      <c r="O72" s="12">
        <v>430000</v>
      </c>
      <c r="P72" s="3">
        <f>(2580+160*12+20*12)/12</f>
        <v>395</v>
      </c>
      <c r="Q72" s="2" t="s">
        <v>25</v>
      </c>
      <c r="R72" s="3">
        <v>1892</v>
      </c>
      <c r="S72" s="12">
        <f t="shared" si="3"/>
        <v>42.283333333333331</v>
      </c>
      <c r="T72" s="3">
        <f t="shared" si="4"/>
        <v>2329.2833333333333</v>
      </c>
      <c r="U72" s="2">
        <f t="shared" si="5"/>
        <v>818785</v>
      </c>
    </row>
    <row r="73" spans="1:21" ht="13.8" x14ac:dyDescent="0.3">
      <c r="A73" s="6">
        <v>45444</v>
      </c>
      <c r="B73" s="2" t="s">
        <v>436</v>
      </c>
      <c r="C73" s="2" t="s">
        <v>4</v>
      </c>
      <c r="D73" s="2" t="s">
        <v>1</v>
      </c>
      <c r="E73" s="2" t="s">
        <v>375</v>
      </c>
      <c r="F73" s="2">
        <v>2016</v>
      </c>
      <c r="G73" s="2">
        <v>815</v>
      </c>
      <c r="H73" s="2">
        <v>815</v>
      </c>
      <c r="I73" s="2"/>
      <c r="J73" s="2">
        <v>1</v>
      </c>
      <c r="K73" s="2">
        <v>1</v>
      </c>
      <c r="L73" s="2">
        <v>1</v>
      </c>
      <c r="M73" s="2">
        <v>5</v>
      </c>
      <c r="N73" s="5" t="s">
        <v>80</v>
      </c>
      <c r="O73" s="12">
        <v>439000</v>
      </c>
      <c r="P73" s="3">
        <f>(3744+302+2529)/12</f>
        <v>547.91666666666663</v>
      </c>
      <c r="R73" s="3">
        <v>1947</v>
      </c>
      <c r="S73" s="12">
        <f t="shared" si="3"/>
        <v>60.541666666666664</v>
      </c>
      <c r="T73" s="3">
        <f t="shared" si="4"/>
        <v>2555.458333333333</v>
      </c>
      <c r="U73" s="2">
        <f t="shared" si="5"/>
        <v>886637.49999999988</v>
      </c>
    </row>
    <row r="74" spans="1:21" ht="13.8" x14ac:dyDescent="0.3">
      <c r="A74" s="6">
        <v>45444</v>
      </c>
      <c r="B74" s="2" t="s">
        <v>437</v>
      </c>
      <c r="C74" s="2" t="s">
        <v>4</v>
      </c>
      <c r="D74" s="2" t="s">
        <v>1</v>
      </c>
      <c r="E74" s="2" t="s">
        <v>375</v>
      </c>
      <c r="F74" s="2">
        <v>2016</v>
      </c>
      <c r="G74" s="2">
        <v>822</v>
      </c>
      <c r="H74" s="2">
        <v>822</v>
      </c>
      <c r="I74" s="2"/>
      <c r="J74" s="2">
        <v>1</v>
      </c>
      <c r="K74" s="2">
        <v>2</v>
      </c>
      <c r="L74" s="2">
        <v>1</v>
      </c>
      <c r="M74" s="2">
        <v>7</v>
      </c>
      <c r="N74" s="5" t="s">
        <v>81</v>
      </c>
      <c r="O74" s="12">
        <v>449000</v>
      </c>
      <c r="P74" s="3">
        <f>(3088+4800)/12</f>
        <v>657.33333333333337</v>
      </c>
      <c r="R74" s="3">
        <v>2008</v>
      </c>
      <c r="S74" s="12">
        <f t="shared" si="3"/>
        <v>60.95000000000001</v>
      </c>
      <c r="T74" s="3">
        <f t="shared" si="4"/>
        <v>2726.2833333333333</v>
      </c>
      <c r="U74" s="2">
        <f t="shared" si="5"/>
        <v>937885</v>
      </c>
    </row>
    <row r="75" spans="1:21" ht="13.8" x14ac:dyDescent="0.3">
      <c r="A75" s="6">
        <v>45444</v>
      </c>
      <c r="B75" s="2" t="s">
        <v>438</v>
      </c>
      <c r="C75" s="2" t="s">
        <v>4</v>
      </c>
      <c r="D75" s="2" t="s">
        <v>1</v>
      </c>
      <c r="E75" s="2" t="s">
        <v>375</v>
      </c>
      <c r="F75" s="2">
        <v>2007</v>
      </c>
      <c r="G75" s="2">
        <v>1095</v>
      </c>
      <c r="H75" s="2">
        <v>1095</v>
      </c>
      <c r="I75" s="2"/>
      <c r="J75" s="2">
        <v>1</v>
      </c>
      <c r="K75" s="2">
        <v>2</v>
      </c>
      <c r="L75" s="2">
        <v>1</v>
      </c>
      <c r="M75" s="2">
        <v>6</v>
      </c>
      <c r="N75" s="5" t="s">
        <v>82</v>
      </c>
      <c r="O75" s="12">
        <v>465000</v>
      </c>
      <c r="P75" s="3">
        <f>(3117+5112)/12</f>
        <v>685.75</v>
      </c>
      <c r="R75" s="3">
        <v>2106</v>
      </c>
      <c r="S75" s="12">
        <f t="shared" si="3"/>
        <v>76.875</v>
      </c>
      <c r="T75" s="3">
        <f t="shared" si="4"/>
        <v>2868.625</v>
      </c>
      <c r="U75" s="2">
        <f t="shared" si="5"/>
        <v>980587.5</v>
      </c>
    </row>
    <row r="76" spans="1:21" ht="13.8" x14ac:dyDescent="0.3">
      <c r="A76" s="6">
        <v>45444</v>
      </c>
      <c r="B76" s="2" t="s">
        <v>439</v>
      </c>
      <c r="C76" s="2" t="s">
        <v>4</v>
      </c>
      <c r="D76" s="2" t="s">
        <v>1</v>
      </c>
      <c r="E76" s="2" t="s">
        <v>375</v>
      </c>
      <c r="F76" s="2">
        <v>2014</v>
      </c>
      <c r="G76" s="2">
        <v>830</v>
      </c>
      <c r="H76" s="2">
        <v>830</v>
      </c>
      <c r="I76" s="2"/>
      <c r="J76" s="2">
        <v>1</v>
      </c>
      <c r="K76" s="2">
        <v>2</v>
      </c>
      <c r="L76" s="2">
        <v>1</v>
      </c>
      <c r="M76" s="2">
        <v>5</v>
      </c>
      <c r="N76" s="5" t="s">
        <v>83</v>
      </c>
      <c r="O76" s="12">
        <v>468000</v>
      </c>
      <c r="P76" s="3">
        <f>(3049+3360+620)/12</f>
        <v>585.75</v>
      </c>
      <c r="R76" s="3">
        <v>2124</v>
      </c>
      <c r="S76" s="12">
        <f t="shared" si="3"/>
        <v>61.416666666666664</v>
      </c>
      <c r="T76" s="3">
        <f t="shared" si="4"/>
        <v>2771.1666666666665</v>
      </c>
      <c r="U76" s="2">
        <f t="shared" si="5"/>
        <v>951350</v>
      </c>
    </row>
    <row r="77" spans="1:21" ht="13.8" x14ac:dyDescent="0.3">
      <c r="A77" s="6">
        <v>45444</v>
      </c>
      <c r="B77" s="2" t="s">
        <v>440</v>
      </c>
      <c r="C77" s="2" t="s">
        <v>4</v>
      </c>
      <c r="D77" s="2" t="s">
        <v>1</v>
      </c>
      <c r="E77" s="2" t="s">
        <v>375</v>
      </c>
      <c r="F77" s="2">
        <v>2016</v>
      </c>
      <c r="G77" s="2">
        <v>816</v>
      </c>
      <c r="H77" s="2">
        <v>816</v>
      </c>
      <c r="I77" s="2"/>
      <c r="J77" s="2">
        <v>1</v>
      </c>
      <c r="K77" s="2">
        <v>2</v>
      </c>
      <c r="L77" s="2">
        <v>1</v>
      </c>
      <c r="M77" s="2">
        <v>6</v>
      </c>
      <c r="N77" s="5" t="s">
        <v>84</v>
      </c>
      <c r="O77" s="12">
        <v>468000</v>
      </c>
      <c r="P77" s="3">
        <f>(3711+399*12)/12</f>
        <v>708.25</v>
      </c>
      <c r="R77" s="3">
        <v>2124</v>
      </c>
      <c r="S77" s="12">
        <f t="shared" si="3"/>
        <v>60.6</v>
      </c>
      <c r="T77" s="3">
        <f t="shared" si="4"/>
        <v>2892.85</v>
      </c>
      <c r="U77" s="2">
        <f t="shared" si="5"/>
        <v>987854.99999999988</v>
      </c>
    </row>
    <row r="78" spans="1:21" ht="13.8" x14ac:dyDescent="0.3">
      <c r="A78" s="6">
        <v>45444</v>
      </c>
      <c r="B78" s="2" t="s">
        <v>441</v>
      </c>
      <c r="C78" s="2" t="s">
        <v>4</v>
      </c>
      <c r="D78" s="2" t="s">
        <v>1</v>
      </c>
      <c r="E78" s="2" t="s">
        <v>375</v>
      </c>
      <c r="F78" s="2">
        <v>1995</v>
      </c>
      <c r="G78" s="2">
        <v>1054</v>
      </c>
      <c r="H78" s="2">
        <v>1054</v>
      </c>
      <c r="I78" s="2"/>
      <c r="J78" s="2">
        <v>1</v>
      </c>
      <c r="K78" s="2">
        <v>2</v>
      </c>
      <c r="L78" s="2">
        <v>1</v>
      </c>
      <c r="M78" s="2">
        <v>6</v>
      </c>
      <c r="N78" s="5" t="s">
        <v>85</v>
      </c>
      <c r="O78" s="12">
        <v>468000</v>
      </c>
      <c r="P78" s="3">
        <f>(5088+2496+295)/12</f>
        <v>656.58333333333337</v>
      </c>
      <c r="R78" s="3">
        <v>2124</v>
      </c>
      <c r="S78" s="12">
        <f t="shared" si="3"/>
        <v>74.483333333333348</v>
      </c>
      <c r="T78" s="3">
        <f t="shared" si="4"/>
        <v>2855.0666666666666</v>
      </c>
      <c r="U78" s="2">
        <f t="shared" si="5"/>
        <v>976520.00000000012</v>
      </c>
    </row>
    <row r="79" spans="1:21" ht="13.8" x14ac:dyDescent="0.3">
      <c r="A79" s="6">
        <v>45444</v>
      </c>
      <c r="B79" s="2" t="s">
        <v>442</v>
      </c>
      <c r="C79" s="2" t="s">
        <v>4</v>
      </c>
      <c r="D79" s="2" t="s">
        <v>1</v>
      </c>
      <c r="E79" s="2" t="s">
        <v>375</v>
      </c>
      <c r="F79" s="2">
        <v>1998</v>
      </c>
      <c r="G79" s="2">
        <v>1162</v>
      </c>
      <c r="H79" s="2">
        <v>1162</v>
      </c>
      <c r="I79" s="2"/>
      <c r="J79" s="2">
        <v>1</v>
      </c>
      <c r="K79" s="2">
        <v>2</v>
      </c>
      <c r="L79" s="2">
        <v>1</v>
      </c>
      <c r="M79" s="2">
        <v>6</v>
      </c>
      <c r="N79" s="5" t="s">
        <v>86</v>
      </c>
      <c r="O79" s="12">
        <v>474900</v>
      </c>
      <c r="P79" s="3">
        <f>(1560+110*12+180*12+30*12)/12</f>
        <v>450</v>
      </c>
      <c r="Q79" s="2" t="s">
        <v>25</v>
      </c>
      <c r="R79" s="3">
        <v>2166</v>
      </c>
      <c r="S79" s="12">
        <f t="shared" si="3"/>
        <v>80.783333333333346</v>
      </c>
      <c r="T79" s="3">
        <f t="shared" si="4"/>
        <v>2696.7833333333333</v>
      </c>
      <c r="U79" s="2">
        <f t="shared" si="5"/>
        <v>929035</v>
      </c>
    </row>
    <row r="80" spans="1:21" ht="13.8" x14ac:dyDescent="0.3">
      <c r="A80" s="6">
        <v>45444</v>
      </c>
      <c r="B80" s="2" t="s">
        <v>443</v>
      </c>
      <c r="C80" s="2" t="s">
        <v>4</v>
      </c>
      <c r="D80" s="2" t="s">
        <v>1</v>
      </c>
      <c r="E80" s="2" t="s">
        <v>375</v>
      </c>
      <c r="F80" s="2">
        <v>1994</v>
      </c>
      <c r="G80" s="2">
        <v>1252</v>
      </c>
      <c r="H80" s="2">
        <v>1252</v>
      </c>
      <c r="I80" s="2"/>
      <c r="J80" s="2">
        <v>1</v>
      </c>
      <c r="K80" s="2">
        <v>2</v>
      </c>
      <c r="L80" s="2">
        <v>1</v>
      </c>
      <c r="M80" s="2">
        <v>5</v>
      </c>
      <c r="N80" s="5" t="s">
        <v>87</v>
      </c>
      <c r="O80" s="12">
        <v>479000</v>
      </c>
      <c r="P80" s="3">
        <f>(2220+942+320+2701)/12</f>
        <v>515.25</v>
      </c>
      <c r="R80" s="3">
        <v>2191</v>
      </c>
      <c r="S80" s="12">
        <f t="shared" si="3"/>
        <v>86.033333333333346</v>
      </c>
      <c r="T80" s="3">
        <f t="shared" si="4"/>
        <v>2792.2833333333333</v>
      </c>
      <c r="U80" s="2">
        <f t="shared" si="5"/>
        <v>957685</v>
      </c>
    </row>
    <row r="81" spans="1:21" ht="13.8" x14ac:dyDescent="0.3">
      <c r="A81" s="6">
        <v>45444</v>
      </c>
      <c r="B81" s="2" t="s">
        <v>444</v>
      </c>
      <c r="C81" s="2" t="s">
        <v>4</v>
      </c>
      <c r="D81" s="2" t="s">
        <v>1</v>
      </c>
      <c r="E81" s="2" t="s">
        <v>375</v>
      </c>
      <c r="F81" s="2">
        <v>2014</v>
      </c>
      <c r="G81" s="2">
        <v>837</v>
      </c>
      <c r="H81" s="2">
        <v>837</v>
      </c>
      <c r="I81" s="2"/>
      <c r="J81" s="2">
        <v>1</v>
      </c>
      <c r="K81" s="2">
        <v>2</v>
      </c>
      <c r="L81" s="2">
        <v>1</v>
      </c>
      <c r="M81" s="2">
        <v>7</v>
      </c>
      <c r="N81" s="5" t="s">
        <v>88</v>
      </c>
      <c r="O81" s="12">
        <v>489000</v>
      </c>
      <c r="P81" s="3">
        <f>(3376+2813+169)/12</f>
        <v>529.83333333333337</v>
      </c>
      <c r="R81" s="3">
        <v>2252</v>
      </c>
      <c r="S81" s="12">
        <f t="shared" si="3"/>
        <v>61.82500000000001</v>
      </c>
      <c r="T81" s="3">
        <f t="shared" si="4"/>
        <v>2843.6583333333333</v>
      </c>
      <c r="U81" s="2">
        <f t="shared" si="5"/>
        <v>973097.5</v>
      </c>
    </row>
    <row r="82" spans="1:21" ht="13.8" x14ac:dyDescent="0.3">
      <c r="A82" s="6">
        <v>45444</v>
      </c>
      <c r="B82" s="2" t="s">
        <v>897</v>
      </c>
      <c r="C82" s="2" t="s">
        <v>4</v>
      </c>
      <c r="D82" s="2" t="s">
        <v>1</v>
      </c>
      <c r="E82" s="2" t="s">
        <v>375</v>
      </c>
      <c r="F82" s="2">
        <v>2012</v>
      </c>
      <c r="G82" s="2">
        <v>870</v>
      </c>
      <c r="H82" s="2">
        <v>870</v>
      </c>
      <c r="I82" s="2"/>
      <c r="J82" s="2">
        <v>1</v>
      </c>
      <c r="K82" s="2">
        <v>2</v>
      </c>
      <c r="L82" s="2">
        <v>1</v>
      </c>
      <c r="M82" s="2">
        <v>5</v>
      </c>
      <c r="N82" s="5" t="s">
        <v>89</v>
      </c>
      <c r="O82" s="12">
        <v>489000</v>
      </c>
      <c r="P82" s="3">
        <f>(3126+393+3519)/12</f>
        <v>586.5</v>
      </c>
      <c r="R82" s="3">
        <v>2252</v>
      </c>
      <c r="S82" s="12">
        <f t="shared" si="3"/>
        <v>63.750000000000007</v>
      </c>
      <c r="T82" s="3">
        <f t="shared" si="4"/>
        <v>2902.25</v>
      </c>
      <c r="U82" s="2">
        <f t="shared" si="5"/>
        <v>990675</v>
      </c>
    </row>
    <row r="83" spans="1:21" ht="13.8" x14ac:dyDescent="0.3">
      <c r="A83" s="6">
        <v>45444</v>
      </c>
      <c r="B83" s="2" t="s">
        <v>445</v>
      </c>
      <c r="C83" s="2" t="s">
        <v>4</v>
      </c>
      <c r="D83" s="2" t="s">
        <v>1</v>
      </c>
      <c r="E83" s="2" t="s">
        <v>375</v>
      </c>
      <c r="F83" s="2">
        <v>2012</v>
      </c>
      <c r="G83" s="2">
        <v>880</v>
      </c>
      <c r="H83" s="2">
        <v>880</v>
      </c>
      <c r="I83" s="2"/>
      <c r="J83" s="2">
        <v>1</v>
      </c>
      <c r="K83" s="2">
        <v>2</v>
      </c>
      <c r="L83" s="2">
        <v>2</v>
      </c>
      <c r="M83" s="2">
        <v>5</v>
      </c>
      <c r="N83" s="5" t="s">
        <v>90</v>
      </c>
      <c r="O83" s="12">
        <v>495500</v>
      </c>
      <c r="P83" s="3">
        <f>(677+3936+3127+380)/12</f>
        <v>676.66666666666663</v>
      </c>
      <c r="R83" s="3">
        <v>2292</v>
      </c>
      <c r="S83" s="12">
        <f t="shared" si="3"/>
        <v>64.333333333333343</v>
      </c>
      <c r="T83" s="3">
        <f t="shared" si="4"/>
        <v>3033</v>
      </c>
      <c r="U83" s="2">
        <f t="shared" si="5"/>
        <v>1029900</v>
      </c>
    </row>
    <row r="84" spans="1:21" ht="13.8" x14ac:dyDescent="0.3">
      <c r="A84" s="6">
        <v>45444</v>
      </c>
      <c r="B84" s="2" t="s">
        <v>446</v>
      </c>
      <c r="C84" s="2" t="s">
        <v>4</v>
      </c>
      <c r="D84" s="2" t="s">
        <v>1</v>
      </c>
      <c r="E84" s="2" t="s">
        <v>375</v>
      </c>
      <c r="F84" s="2">
        <v>2016</v>
      </c>
      <c r="G84" s="2">
        <v>919</v>
      </c>
      <c r="H84" s="2">
        <v>919</v>
      </c>
      <c r="I84" s="2"/>
      <c r="J84" s="2">
        <v>1</v>
      </c>
      <c r="K84" s="2">
        <v>2</v>
      </c>
      <c r="L84" s="2">
        <v>2</v>
      </c>
      <c r="M84" s="2">
        <v>8</v>
      </c>
      <c r="N84" s="5" t="s">
        <v>91</v>
      </c>
      <c r="O84" s="12">
        <v>505000</v>
      </c>
      <c r="P84" s="3">
        <f>(3005+363+490)/12</f>
        <v>321.5</v>
      </c>
      <c r="R84" s="3">
        <v>2350</v>
      </c>
      <c r="S84" s="12">
        <f t="shared" si="3"/>
        <v>66.608333333333348</v>
      </c>
      <c r="T84" s="3">
        <f t="shared" si="4"/>
        <v>2738.1083333333336</v>
      </c>
      <c r="U84" s="2">
        <f t="shared" si="5"/>
        <v>941432.50000000012</v>
      </c>
    </row>
    <row r="85" spans="1:21" ht="13.8" x14ac:dyDescent="0.3">
      <c r="A85" s="6">
        <v>45444</v>
      </c>
      <c r="B85" s="2" t="s">
        <v>447</v>
      </c>
      <c r="C85" s="2" t="s">
        <v>4</v>
      </c>
      <c r="D85" s="2" t="s">
        <v>1</v>
      </c>
      <c r="E85" s="2" t="s">
        <v>375</v>
      </c>
      <c r="F85" s="2">
        <v>2024</v>
      </c>
      <c r="G85" s="2">
        <v>428</v>
      </c>
      <c r="H85" s="2">
        <v>428</v>
      </c>
      <c r="I85" s="2"/>
      <c r="J85" s="2">
        <v>1</v>
      </c>
      <c r="K85" s="2">
        <v>1</v>
      </c>
      <c r="L85" s="2">
        <v>1</v>
      </c>
      <c r="M85" s="2">
        <v>4</v>
      </c>
      <c r="N85" s="5" t="s">
        <v>92</v>
      </c>
      <c r="O85" s="12">
        <v>505000</v>
      </c>
      <c r="P85" s="3">
        <f>180+30+210</f>
        <v>420</v>
      </c>
      <c r="R85" s="3">
        <v>2350</v>
      </c>
      <c r="S85" s="12">
        <f t="shared" si="3"/>
        <v>37.966666666666669</v>
      </c>
      <c r="T85" s="3">
        <f t="shared" si="4"/>
        <v>2807.9666666666667</v>
      </c>
      <c r="U85" s="2">
        <f t="shared" si="5"/>
        <v>962390</v>
      </c>
    </row>
    <row r="86" spans="1:21" ht="13.8" x14ac:dyDescent="0.3">
      <c r="A86" s="6">
        <v>45444</v>
      </c>
      <c r="B86" s="2" t="s">
        <v>448</v>
      </c>
      <c r="C86" s="2" t="s">
        <v>4</v>
      </c>
      <c r="D86" s="2" t="s">
        <v>1</v>
      </c>
      <c r="E86" s="2" t="s">
        <v>375</v>
      </c>
      <c r="F86" s="2">
        <v>2000</v>
      </c>
      <c r="G86" s="2">
        <v>1212</v>
      </c>
      <c r="H86" s="2">
        <v>1212</v>
      </c>
      <c r="I86" s="2"/>
      <c r="J86" s="2">
        <v>1</v>
      </c>
      <c r="K86" s="2">
        <v>2</v>
      </c>
      <c r="L86" s="2">
        <v>1</v>
      </c>
      <c r="M86" s="2">
        <v>7</v>
      </c>
      <c r="N86" s="5" t="s">
        <v>93</v>
      </c>
      <c r="O86" s="12">
        <v>509000</v>
      </c>
      <c r="P86" s="3">
        <f>(3756+294+2502)/12</f>
        <v>546</v>
      </c>
      <c r="R86" s="3">
        <v>2374</v>
      </c>
      <c r="S86" s="12">
        <f t="shared" si="3"/>
        <v>83.7</v>
      </c>
      <c r="T86" s="3">
        <f t="shared" si="4"/>
        <v>3003.7</v>
      </c>
      <c r="U86" s="2">
        <f t="shared" si="5"/>
        <v>1021109.9999999999</v>
      </c>
    </row>
    <row r="87" spans="1:21" ht="13.8" x14ac:dyDescent="0.3">
      <c r="A87" s="6">
        <v>45444</v>
      </c>
      <c r="B87" s="2" t="s">
        <v>449</v>
      </c>
      <c r="C87" s="2" t="s">
        <v>4</v>
      </c>
      <c r="D87" s="2" t="s">
        <v>1</v>
      </c>
      <c r="E87" s="2" t="s">
        <v>375</v>
      </c>
      <c r="F87" s="2">
        <v>1998</v>
      </c>
      <c r="G87" s="2">
        <v>1276</v>
      </c>
      <c r="H87" s="2">
        <v>1276</v>
      </c>
      <c r="I87" s="2"/>
      <c r="J87" s="2">
        <v>1</v>
      </c>
      <c r="K87" s="2">
        <v>2</v>
      </c>
      <c r="L87" s="2">
        <v>1</v>
      </c>
      <c r="M87" s="2">
        <v>6</v>
      </c>
      <c r="N87" s="5" t="s">
        <v>94</v>
      </c>
      <c r="O87" s="12">
        <v>510000</v>
      </c>
      <c r="P87" s="3">
        <f>(2674+311)/12</f>
        <v>248.75</v>
      </c>
      <c r="R87" s="3">
        <v>2381</v>
      </c>
      <c r="S87" s="12">
        <f t="shared" si="3"/>
        <v>87.433333333333337</v>
      </c>
      <c r="T87" s="3">
        <f t="shared" si="4"/>
        <v>2717.1833333333334</v>
      </c>
      <c r="U87" s="2">
        <f t="shared" si="5"/>
        <v>935155</v>
      </c>
    </row>
    <row r="88" spans="1:21" ht="13.8" x14ac:dyDescent="0.3">
      <c r="A88" s="6">
        <v>45444</v>
      </c>
      <c r="B88" s="2" t="s">
        <v>898</v>
      </c>
      <c r="C88" s="2" t="s">
        <v>4</v>
      </c>
      <c r="D88" s="2" t="s">
        <v>1</v>
      </c>
      <c r="E88" s="2" t="s">
        <v>375</v>
      </c>
      <c r="F88" s="2">
        <v>2005</v>
      </c>
      <c r="G88" s="2">
        <v>953</v>
      </c>
      <c r="H88" s="2">
        <v>953</v>
      </c>
      <c r="I88" s="2"/>
      <c r="J88" s="2">
        <v>1</v>
      </c>
      <c r="K88" s="2">
        <v>2</v>
      </c>
      <c r="L88" s="2">
        <v>1</v>
      </c>
      <c r="M88" s="2">
        <v>7</v>
      </c>
      <c r="N88" s="5" t="s">
        <v>95</v>
      </c>
      <c r="O88" s="12">
        <v>517000</v>
      </c>
      <c r="P88" s="3">
        <f>(3428+4728)/12</f>
        <v>679.66666666666663</v>
      </c>
      <c r="R88" s="3">
        <v>2423</v>
      </c>
      <c r="S88" s="12">
        <f t="shared" si="3"/>
        <v>68.591666666666669</v>
      </c>
      <c r="T88" s="3">
        <f t="shared" si="4"/>
        <v>3171.2583333333332</v>
      </c>
      <c r="U88" s="2">
        <f t="shared" si="5"/>
        <v>1071377.5</v>
      </c>
    </row>
    <row r="89" spans="1:21" ht="13.8" x14ac:dyDescent="0.3">
      <c r="A89" s="6">
        <v>45444</v>
      </c>
      <c r="B89" s="2" t="s">
        <v>450</v>
      </c>
      <c r="C89" s="2" t="s">
        <v>4</v>
      </c>
      <c r="D89" s="2" t="s">
        <v>1</v>
      </c>
      <c r="E89" s="2" t="s">
        <v>375</v>
      </c>
      <c r="F89" s="2">
        <v>2023</v>
      </c>
      <c r="G89" s="2">
        <v>847</v>
      </c>
      <c r="H89" s="2">
        <v>847</v>
      </c>
      <c r="I89" s="2"/>
      <c r="J89" s="2">
        <v>1</v>
      </c>
      <c r="K89" s="2">
        <v>2</v>
      </c>
      <c r="L89" s="2">
        <v>1</v>
      </c>
      <c r="M89" s="2">
        <v>5</v>
      </c>
      <c r="N89" s="5" t="s">
        <v>96</v>
      </c>
      <c r="O89" s="12">
        <v>518000</v>
      </c>
      <c r="P89" s="3">
        <f>200+200+30</f>
        <v>430</v>
      </c>
      <c r="Q89" s="2" t="s">
        <v>25</v>
      </c>
      <c r="R89" s="3">
        <v>2429</v>
      </c>
      <c r="S89" s="12">
        <f t="shared" si="3"/>
        <v>62.408333333333339</v>
      </c>
      <c r="T89" s="3">
        <f t="shared" si="4"/>
        <v>2921.4083333333333</v>
      </c>
      <c r="U89" s="2">
        <f t="shared" si="5"/>
        <v>996422.5</v>
      </c>
    </row>
    <row r="90" spans="1:21" ht="13.8" x14ac:dyDescent="0.3">
      <c r="A90" s="6">
        <v>45444</v>
      </c>
      <c r="B90" s="2" t="s">
        <v>451</v>
      </c>
      <c r="C90" s="2" t="s">
        <v>4</v>
      </c>
      <c r="D90" s="2" t="s">
        <v>1</v>
      </c>
      <c r="E90" s="2" t="s">
        <v>375</v>
      </c>
      <c r="F90" s="2">
        <v>2021</v>
      </c>
      <c r="G90" s="2">
        <v>723</v>
      </c>
      <c r="H90" s="2">
        <v>723</v>
      </c>
      <c r="I90" s="2"/>
      <c r="J90" s="2">
        <v>1</v>
      </c>
      <c r="K90" s="2">
        <v>2</v>
      </c>
      <c r="L90" s="2">
        <v>1</v>
      </c>
      <c r="M90" s="2">
        <v>5</v>
      </c>
      <c r="N90" s="5" t="s">
        <v>97</v>
      </c>
      <c r="O90" s="12">
        <v>529000</v>
      </c>
      <c r="P90" s="3">
        <f>(3288+2699+339)/12</f>
        <v>527.16666666666663</v>
      </c>
      <c r="R90" s="3">
        <v>2497</v>
      </c>
      <c r="S90" s="12">
        <f t="shared" si="3"/>
        <v>55.175000000000004</v>
      </c>
      <c r="T90" s="3">
        <f t="shared" si="4"/>
        <v>3079.3416666666667</v>
      </c>
      <c r="U90" s="2">
        <f t="shared" si="5"/>
        <v>1043802.5</v>
      </c>
    </row>
    <row r="91" spans="1:21" ht="13.8" x14ac:dyDescent="0.3">
      <c r="A91" s="6">
        <v>45444</v>
      </c>
      <c r="B91" s="2" t="s">
        <v>452</v>
      </c>
      <c r="C91" s="2" t="s">
        <v>4</v>
      </c>
      <c r="D91" s="2" t="s">
        <v>1</v>
      </c>
      <c r="E91" s="2" t="s">
        <v>375</v>
      </c>
      <c r="F91" s="2">
        <v>2021</v>
      </c>
      <c r="G91" s="2">
        <v>846</v>
      </c>
      <c r="H91" s="2">
        <v>846</v>
      </c>
      <c r="I91" s="2"/>
      <c r="J91" s="2">
        <v>1</v>
      </c>
      <c r="K91" s="2">
        <v>2</v>
      </c>
      <c r="L91" s="2">
        <v>1</v>
      </c>
      <c r="M91" s="2">
        <v>5</v>
      </c>
      <c r="N91" s="5" t="s">
        <v>98</v>
      </c>
      <c r="O91" s="12">
        <v>529000</v>
      </c>
      <c r="P91" s="3">
        <f>(3271+3504)/12</f>
        <v>564.58333333333337</v>
      </c>
      <c r="R91" s="3">
        <v>2497</v>
      </c>
      <c r="S91" s="12">
        <f t="shared" si="3"/>
        <v>62.35</v>
      </c>
      <c r="T91" s="3">
        <f t="shared" si="4"/>
        <v>3123.9333333333334</v>
      </c>
      <c r="U91" s="2">
        <f t="shared" si="5"/>
        <v>1057180</v>
      </c>
    </row>
    <row r="92" spans="1:21" ht="13.8" x14ac:dyDescent="0.3">
      <c r="A92" s="6">
        <v>45444</v>
      </c>
      <c r="B92" s="2" t="s">
        <v>453</v>
      </c>
      <c r="C92" s="2" t="s">
        <v>4</v>
      </c>
      <c r="D92" s="2" t="s">
        <v>1</v>
      </c>
      <c r="E92" s="2" t="s">
        <v>375</v>
      </c>
      <c r="F92" s="2">
        <v>2023</v>
      </c>
      <c r="G92" s="2">
        <v>851</v>
      </c>
      <c r="H92" s="2">
        <v>851</v>
      </c>
      <c r="I92" s="2"/>
      <c r="J92" s="2">
        <v>1</v>
      </c>
      <c r="K92" s="2">
        <v>2</v>
      </c>
      <c r="L92" s="2">
        <v>1</v>
      </c>
      <c r="M92" s="2">
        <v>4</v>
      </c>
      <c r="N92" s="5" t="s">
        <v>99</v>
      </c>
      <c r="O92" s="12">
        <v>535000</v>
      </c>
      <c r="P92" s="3">
        <f>(200*12+30*12+4608)/12</f>
        <v>614</v>
      </c>
      <c r="Q92" s="2" t="s">
        <v>25</v>
      </c>
      <c r="R92" s="3">
        <v>2533</v>
      </c>
      <c r="S92" s="12">
        <f t="shared" si="3"/>
        <v>62.641666666666673</v>
      </c>
      <c r="T92" s="3">
        <f t="shared" si="4"/>
        <v>3209.6416666666669</v>
      </c>
      <c r="U92" s="2">
        <f t="shared" si="5"/>
        <v>1082892.5</v>
      </c>
    </row>
    <row r="93" spans="1:21" ht="13.8" x14ac:dyDescent="0.3">
      <c r="A93" s="6">
        <v>45444</v>
      </c>
      <c r="B93" s="2" t="s">
        <v>454</v>
      </c>
      <c r="C93" s="2" t="s">
        <v>4</v>
      </c>
      <c r="D93" s="2" t="s">
        <v>1</v>
      </c>
      <c r="E93" s="2" t="s">
        <v>375</v>
      </c>
      <c r="F93" s="2">
        <v>2023</v>
      </c>
      <c r="G93" s="2">
        <v>800</v>
      </c>
      <c r="H93" s="2">
        <v>800</v>
      </c>
      <c r="I93" s="2"/>
      <c r="J93" s="2">
        <v>1</v>
      </c>
      <c r="K93" s="2">
        <v>2</v>
      </c>
      <c r="L93" s="2">
        <v>1</v>
      </c>
      <c r="M93" s="2">
        <v>6</v>
      </c>
      <c r="N93" s="5" t="s">
        <v>100</v>
      </c>
      <c r="O93" s="12">
        <v>539000</v>
      </c>
      <c r="P93" s="3">
        <f>(4104+200*12+30*12)/12</f>
        <v>572</v>
      </c>
      <c r="R93" s="3">
        <v>2558</v>
      </c>
      <c r="S93" s="12">
        <f t="shared" si="3"/>
        <v>59.666666666666664</v>
      </c>
      <c r="T93" s="3">
        <f t="shared" si="4"/>
        <v>3189.6666666666665</v>
      </c>
      <c r="U93" s="2">
        <f t="shared" si="5"/>
        <v>1076900</v>
      </c>
    </row>
    <row r="94" spans="1:21" ht="13.8" x14ac:dyDescent="0.3">
      <c r="A94" s="6">
        <v>45444</v>
      </c>
      <c r="B94" s="2" t="s">
        <v>455</v>
      </c>
      <c r="C94" s="2" t="s">
        <v>4</v>
      </c>
      <c r="D94" s="2" t="s">
        <v>1</v>
      </c>
      <c r="E94" s="2" t="s">
        <v>375</v>
      </c>
      <c r="F94" s="2">
        <v>2016</v>
      </c>
      <c r="G94" s="2">
        <v>800</v>
      </c>
      <c r="H94" s="2">
        <v>800</v>
      </c>
      <c r="I94" s="2"/>
      <c r="J94" s="2">
        <v>1</v>
      </c>
      <c r="K94" s="2">
        <v>2</v>
      </c>
      <c r="L94" s="2">
        <v>2</v>
      </c>
      <c r="M94" s="2">
        <v>5</v>
      </c>
      <c r="N94" s="5" t="s">
        <v>101</v>
      </c>
      <c r="O94" s="12">
        <v>549000</v>
      </c>
      <c r="P94" s="3">
        <f>(4104+200*12+30*12)/12</f>
        <v>572</v>
      </c>
      <c r="Q94" s="2" t="s">
        <v>25</v>
      </c>
      <c r="R94" s="3">
        <v>2618.58</v>
      </c>
      <c r="S94" s="12">
        <f t="shared" si="3"/>
        <v>59.666666666666664</v>
      </c>
      <c r="T94" s="3">
        <f t="shared" si="4"/>
        <v>3250.2466666666664</v>
      </c>
      <c r="U94" s="2">
        <f t="shared" si="5"/>
        <v>1095074</v>
      </c>
    </row>
    <row r="95" spans="1:21" ht="13.8" x14ac:dyDescent="0.3">
      <c r="A95" s="6">
        <v>45444</v>
      </c>
      <c r="B95" s="2" t="s">
        <v>456</v>
      </c>
      <c r="C95" s="2" t="s">
        <v>4</v>
      </c>
      <c r="D95" s="2" t="s">
        <v>1</v>
      </c>
      <c r="E95" s="2" t="s">
        <v>375</v>
      </c>
      <c r="F95" s="2">
        <v>1997</v>
      </c>
      <c r="G95" s="2">
        <v>1246</v>
      </c>
      <c r="H95" s="2">
        <v>1246</v>
      </c>
      <c r="I95" s="2"/>
      <c r="J95" s="2">
        <v>1</v>
      </c>
      <c r="K95" s="2">
        <v>2</v>
      </c>
      <c r="L95" s="2">
        <v>2</v>
      </c>
      <c r="M95" s="2">
        <v>5</v>
      </c>
      <c r="N95" s="5" t="s">
        <v>102</v>
      </c>
      <c r="O95" s="12">
        <v>549000</v>
      </c>
      <c r="P95" s="3">
        <f>(3312+3043+386)/12</f>
        <v>561.75</v>
      </c>
      <c r="R95" s="3">
        <v>2619</v>
      </c>
      <c r="S95" s="12">
        <f t="shared" si="3"/>
        <v>85.683333333333337</v>
      </c>
      <c r="T95" s="3">
        <f t="shared" si="4"/>
        <v>3266.4333333333334</v>
      </c>
      <c r="U95" s="2">
        <f t="shared" si="5"/>
        <v>1099930</v>
      </c>
    </row>
    <row r="96" spans="1:21" ht="13.8" x14ac:dyDescent="0.3">
      <c r="A96" s="6">
        <v>45444</v>
      </c>
      <c r="B96" s="2" t="s">
        <v>457</v>
      </c>
      <c r="C96" s="2" t="s">
        <v>4</v>
      </c>
      <c r="D96" s="2" t="s">
        <v>1</v>
      </c>
      <c r="E96" s="2" t="s">
        <v>375</v>
      </c>
      <c r="F96" s="2">
        <v>1950</v>
      </c>
      <c r="G96" s="2">
        <v>4331</v>
      </c>
      <c r="H96" s="2">
        <v>4331</v>
      </c>
      <c r="I96" s="2"/>
      <c r="J96" s="2">
        <v>1</v>
      </c>
      <c r="K96" s="2">
        <v>5</v>
      </c>
      <c r="L96" s="2">
        <v>1</v>
      </c>
      <c r="M96" s="2">
        <v>8</v>
      </c>
      <c r="N96" s="5" t="s">
        <v>103</v>
      </c>
      <c r="O96" s="12">
        <v>549900</v>
      </c>
      <c r="P96" s="3">
        <f>(2878+344)/12</f>
        <v>268.5</v>
      </c>
      <c r="R96" s="3">
        <v>2624</v>
      </c>
      <c r="S96" s="12">
        <f t="shared" si="3"/>
        <v>265.64166666666665</v>
      </c>
      <c r="T96" s="3">
        <f t="shared" si="4"/>
        <v>3158.1416666666664</v>
      </c>
      <c r="U96" s="2">
        <f t="shared" si="5"/>
        <v>1067442.5</v>
      </c>
    </row>
    <row r="97" spans="1:21" ht="13.8" x14ac:dyDescent="0.3">
      <c r="A97" s="6">
        <v>45444</v>
      </c>
      <c r="B97" s="2" t="s">
        <v>458</v>
      </c>
      <c r="C97" s="2" t="s">
        <v>4</v>
      </c>
      <c r="D97" s="2" t="s">
        <v>1</v>
      </c>
      <c r="E97" s="2" t="s">
        <v>375</v>
      </c>
      <c r="F97" s="2">
        <v>1993</v>
      </c>
      <c r="G97" s="2">
        <v>1093</v>
      </c>
      <c r="H97" s="2">
        <v>1093</v>
      </c>
      <c r="I97" s="2"/>
      <c r="J97" s="2">
        <v>1</v>
      </c>
      <c r="K97" s="2">
        <v>2</v>
      </c>
      <c r="L97" s="2">
        <v>2</v>
      </c>
      <c r="M97" s="2">
        <v>7</v>
      </c>
      <c r="N97" s="5" t="s">
        <v>104</v>
      </c>
      <c r="O97" s="12">
        <v>554000</v>
      </c>
      <c r="P97" s="3">
        <f>(3676+5544)/12</f>
        <v>768.33333333333337</v>
      </c>
      <c r="R97" s="3">
        <v>2649</v>
      </c>
      <c r="S97" s="12">
        <f t="shared" si="3"/>
        <v>76.758333333333326</v>
      </c>
      <c r="T97" s="3">
        <f t="shared" si="4"/>
        <v>3494.0916666666667</v>
      </c>
      <c r="U97" s="2">
        <f t="shared" si="5"/>
        <v>1168227.5</v>
      </c>
    </row>
    <row r="98" spans="1:21" ht="13.8" x14ac:dyDescent="0.3">
      <c r="A98" s="6">
        <v>45444</v>
      </c>
      <c r="B98" s="2" t="s">
        <v>459</v>
      </c>
      <c r="C98" s="2" t="s">
        <v>4</v>
      </c>
      <c r="D98" s="2" t="s">
        <v>1</v>
      </c>
      <c r="E98" s="2" t="s">
        <v>1734</v>
      </c>
      <c r="F98" s="2">
        <v>1999</v>
      </c>
      <c r="G98" s="7">
        <f>(6*5.6+10.7*12+11.4*9.4+10.1*9.9+9.7*11.6+10.9*10+7.9*12+10.9*13.1+11.7*8.2+13.9*10.9+12*8.9+8*8.6)*1.3</f>
        <v>1626.703</v>
      </c>
      <c r="H98" s="2">
        <v>1544</v>
      </c>
      <c r="I98" s="2"/>
      <c r="J98" s="2">
        <v>1</v>
      </c>
      <c r="K98" s="2">
        <v>4</v>
      </c>
      <c r="L98" s="2">
        <v>1</v>
      </c>
      <c r="M98" s="2">
        <v>12</v>
      </c>
      <c r="N98" s="5" t="s">
        <v>105</v>
      </c>
      <c r="O98" s="12">
        <v>559000</v>
      </c>
      <c r="P98" s="3">
        <f>(3346+427)/12</f>
        <v>314.41666666666669</v>
      </c>
      <c r="R98" s="3">
        <v>2680</v>
      </c>
      <c r="S98" s="12">
        <f t="shared" si="3"/>
        <v>107.89100833333333</v>
      </c>
      <c r="T98" s="3">
        <f t="shared" si="4"/>
        <v>3102.307675</v>
      </c>
      <c r="U98" s="2">
        <f t="shared" si="5"/>
        <v>1050692.3025</v>
      </c>
    </row>
    <row r="99" spans="1:21" ht="13.8" x14ac:dyDescent="0.3">
      <c r="A99" s="6">
        <v>45444</v>
      </c>
      <c r="B99" s="2" t="s">
        <v>460</v>
      </c>
      <c r="C99" s="2" t="s">
        <v>4</v>
      </c>
      <c r="D99" s="2" t="s">
        <v>1</v>
      </c>
      <c r="E99" s="2" t="s">
        <v>375</v>
      </c>
      <c r="F99" s="2">
        <v>2019</v>
      </c>
      <c r="G99" s="2">
        <v>842</v>
      </c>
      <c r="H99" s="2">
        <v>842</v>
      </c>
      <c r="I99" s="2"/>
      <c r="J99" s="2">
        <v>1</v>
      </c>
      <c r="K99" s="2">
        <v>3</v>
      </c>
      <c r="L99" s="2">
        <v>2</v>
      </c>
      <c r="M99" s="2">
        <v>8</v>
      </c>
      <c r="N99" s="5" t="s">
        <v>106</v>
      </c>
      <c r="O99" s="12">
        <v>577000</v>
      </c>
      <c r="P99" s="3">
        <f>(3336+2670+320)/12</f>
        <v>527.16666666666663</v>
      </c>
      <c r="R99" s="3">
        <v>2789</v>
      </c>
      <c r="S99" s="12">
        <f t="shared" si="3"/>
        <v>62.116666666666674</v>
      </c>
      <c r="T99" s="3">
        <f t="shared" si="4"/>
        <v>3378.2833333333333</v>
      </c>
      <c r="U99" s="2">
        <f t="shared" si="5"/>
        <v>1133485</v>
      </c>
    </row>
    <row r="100" spans="1:21" ht="13.8" x14ac:dyDescent="0.3">
      <c r="A100" s="6">
        <v>45444</v>
      </c>
      <c r="B100" s="2" t="s">
        <v>461</v>
      </c>
      <c r="C100" s="2" t="s">
        <v>4</v>
      </c>
      <c r="D100" s="2" t="s">
        <v>1</v>
      </c>
      <c r="E100" s="2" t="s">
        <v>375</v>
      </c>
      <c r="F100" s="2">
        <v>2009</v>
      </c>
      <c r="G100" s="2">
        <v>1063</v>
      </c>
      <c r="H100" s="2">
        <v>1063</v>
      </c>
      <c r="I100" s="2"/>
      <c r="J100" s="2">
        <v>1</v>
      </c>
      <c r="K100" s="2">
        <v>2</v>
      </c>
      <c r="L100" s="2">
        <v>2</v>
      </c>
      <c r="M100" s="2">
        <v>7</v>
      </c>
      <c r="N100" s="5" t="s">
        <v>1715</v>
      </c>
      <c r="O100" s="12">
        <v>579000</v>
      </c>
      <c r="P100" s="3">
        <f>(6624+3025+370)/12</f>
        <v>834.91666666666663</v>
      </c>
      <c r="R100" s="3">
        <v>2802</v>
      </c>
      <c r="S100" s="12">
        <f t="shared" si="3"/>
        <v>75.008333333333326</v>
      </c>
      <c r="T100" s="3">
        <f t="shared" si="4"/>
        <v>3711.9249999999997</v>
      </c>
      <c r="U100" s="2">
        <f t="shared" si="5"/>
        <v>1233577.5</v>
      </c>
    </row>
    <row r="101" spans="1:21" ht="13.8" x14ac:dyDescent="0.3">
      <c r="A101" s="6">
        <v>45444</v>
      </c>
      <c r="B101" s="2" t="s">
        <v>462</v>
      </c>
      <c r="C101" s="2" t="s">
        <v>4</v>
      </c>
      <c r="D101" s="2" t="s">
        <v>1</v>
      </c>
      <c r="E101" s="2" t="s">
        <v>1734</v>
      </c>
      <c r="F101" s="2">
        <v>1993</v>
      </c>
      <c r="G101" s="7">
        <f>(10.2*3.5+23.3*11.3+14.7*7.6+8.2*7.4+7.1*3.4+12.9*3.7+15*10.2+7.3*3.8+11.3*10.5+8.8*7.3+17.5*11.1+11*8.4+8.8*6.7+11.8*6.3+11.6*3.1)*1.3</f>
        <v>1771.64</v>
      </c>
      <c r="H101" s="2">
        <v>2400</v>
      </c>
      <c r="I101" s="2"/>
      <c r="J101" s="2">
        <v>2</v>
      </c>
      <c r="K101" s="2">
        <v>3</v>
      </c>
      <c r="L101" s="2">
        <v>2</v>
      </c>
      <c r="M101" s="2">
        <v>15</v>
      </c>
      <c r="N101" s="5" t="s">
        <v>107</v>
      </c>
      <c r="O101" s="12">
        <v>585000</v>
      </c>
      <c r="P101" s="3">
        <f>(2854+335+1737)/12</f>
        <v>410.5</v>
      </c>
      <c r="R101" s="3">
        <v>2838</v>
      </c>
      <c r="S101" s="12">
        <f t="shared" si="3"/>
        <v>116.34566666666667</v>
      </c>
      <c r="T101" s="3">
        <f t="shared" si="4"/>
        <v>3364.8456666666666</v>
      </c>
      <c r="U101" s="2">
        <f t="shared" si="5"/>
        <v>1129453.7000000002</v>
      </c>
    </row>
    <row r="102" spans="1:21" ht="13.8" x14ac:dyDescent="0.3">
      <c r="A102" s="6">
        <v>45444</v>
      </c>
      <c r="B102" s="2" t="s">
        <v>463</v>
      </c>
      <c r="C102" s="2" t="s">
        <v>4</v>
      </c>
      <c r="D102" s="2" t="s">
        <v>1</v>
      </c>
      <c r="E102" s="2" t="s">
        <v>1734</v>
      </c>
      <c r="F102" s="2">
        <v>1956</v>
      </c>
      <c r="G102" s="2">
        <f>(15.6*12+13*8+7.4*5+12.8*11.6+12.8*7.9+9.4*9.4+14.2*12.8+12.8*12+20.2*11.4)*1.3</f>
        <v>1601.34</v>
      </c>
      <c r="H102" s="1">
        <v>4159</v>
      </c>
      <c r="J102" s="2">
        <v>1</v>
      </c>
      <c r="K102" s="2">
        <v>4</v>
      </c>
      <c r="L102" s="2">
        <v>2</v>
      </c>
      <c r="M102" s="2">
        <v>10</v>
      </c>
      <c r="N102" s="5" t="s">
        <v>108</v>
      </c>
      <c r="O102" s="12">
        <v>599000</v>
      </c>
      <c r="P102" s="3">
        <f>4139/12</f>
        <v>344.91666666666669</v>
      </c>
      <c r="R102" s="3">
        <v>2924</v>
      </c>
      <c r="S102" s="12">
        <f t="shared" si="3"/>
        <v>106.4115</v>
      </c>
      <c r="T102" s="3">
        <f t="shared" si="4"/>
        <v>3375.3281666666667</v>
      </c>
      <c r="U102" s="2">
        <f t="shared" si="5"/>
        <v>1132598.4500000002</v>
      </c>
    </row>
    <row r="103" spans="1:21" ht="13.8" x14ac:dyDescent="0.3">
      <c r="A103" s="6">
        <v>45444</v>
      </c>
      <c r="B103" s="2" t="s">
        <v>464</v>
      </c>
      <c r="C103" s="2" t="s">
        <v>4</v>
      </c>
      <c r="D103" s="2" t="s">
        <v>1</v>
      </c>
      <c r="E103" s="2" t="s">
        <v>375</v>
      </c>
      <c r="F103" s="2">
        <v>1987</v>
      </c>
      <c r="G103" s="2">
        <v>1531</v>
      </c>
      <c r="H103" s="2">
        <v>1531</v>
      </c>
      <c r="J103" s="2">
        <v>1</v>
      </c>
      <c r="K103" s="2">
        <v>2</v>
      </c>
      <c r="L103" s="2">
        <v>1</v>
      </c>
      <c r="M103" s="2">
        <v>7</v>
      </c>
      <c r="N103" s="5" t="s">
        <v>109</v>
      </c>
      <c r="O103" s="12">
        <v>599000</v>
      </c>
      <c r="P103" s="3">
        <f>(3002+4248)/12</f>
        <v>604.16666666666663</v>
      </c>
      <c r="R103" s="3">
        <v>2924</v>
      </c>
      <c r="S103" s="12">
        <f t="shared" si="3"/>
        <v>102.30833333333334</v>
      </c>
      <c r="T103" s="3">
        <f t="shared" si="4"/>
        <v>3630.4749999999999</v>
      </c>
      <c r="U103" s="2">
        <f t="shared" si="5"/>
        <v>1209142.5</v>
      </c>
    </row>
    <row r="104" spans="1:21" ht="13.8" x14ac:dyDescent="0.3">
      <c r="A104" s="6">
        <v>45444</v>
      </c>
      <c r="B104" s="2" t="s">
        <v>465</v>
      </c>
      <c r="C104" s="2" t="s">
        <v>4</v>
      </c>
      <c r="D104" s="2" t="s">
        <v>2</v>
      </c>
      <c r="E104" s="2" t="s">
        <v>375</v>
      </c>
      <c r="F104" s="2">
        <v>2014</v>
      </c>
      <c r="G104" s="2">
        <v>614</v>
      </c>
      <c r="H104" s="2">
        <v>614</v>
      </c>
      <c r="J104" s="2">
        <v>1</v>
      </c>
      <c r="K104" s="2">
        <v>1</v>
      </c>
      <c r="L104" s="2">
        <v>1</v>
      </c>
      <c r="M104" s="2">
        <v>6</v>
      </c>
      <c r="N104" s="5" t="s">
        <v>110</v>
      </c>
      <c r="O104" s="12">
        <v>257900</v>
      </c>
      <c r="P104" s="3">
        <f>(1352+175)/12</f>
        <v>127.25</v>
      </c>
      <c r="R104" s="3">
        <v>842</v>
      </c>
      <c r="S104" s="12">
        <f t="shared" si="3"/>
        <v>48.81666666666667</v>
      </c>
      <c r="T104" s="3">
        <f t="shared" si="4"/>
        <v>1018.0666666666667</v>
      </c>
      <c r="U104" s="2">
        <f t="shared" si="5"/>
        <v>425420</v>
      </c>
    </row>
    <row r="105" spans="1:21" ht="13.8" x14ac:dyDescent="0.3">
      <c r="A105" s="6">
        <v>45444</v>
      </c>
      <c r="B105" s="2" t="s">
        <v>466</v>
      </c>
      <c r="C105" s="2" t="s">
        <v>4</v>
      </c>
      <c r="D105" s="2" t="s">
        <v>2</v>
      </c>
      <c r="E105" s="2" t="s">
        <v>375</v>
      </c>
      <c r="F105" s="2">
        <v>2014</v>
      </c>
      <c r="G105" s="2">
        <v>620</v>
      </c>
      <c r="H105" s="2">
        <v>620</v>
      </c>
      <c r="J105" s="2">
        <v>1</v>
      </c>
      <c r="K105" s="2">
        <v>1</v>
      </c>
      <c r="L105" s="2">
        <v>1</v>
      </c>
      <c r="M105" s="2">
        <v>6</v>
      </c>
      <c r="N105" s="5" t="s">
        <v>111</v>
      </c>
      <c r="O105" s="12">
        <v>257995</v>
      </c>
      <c r="P105" s="3">
        <f>(1405+175)/12</f>
        <v>131.66666666666666</v>
      </c>
      <c r="R105" s="3">
        <v>842</v>
      </c>
      <c r="S105" s="12">
        <f t="shared" si="3"/>
        <v>49.166666666666671</v>
      </c>
      <c r="T105" s="3">
        <f t="shared" si="4"/>
        <v>1022.8333333333333</v>
      </c>
      <c r="U105" s="2">
        <f t="shared" si="5"/>
        <v>426850</v>
      </c>
    </row>
    <row r="106" spans="1:21" ht="13.8" x14ac:dyDescent="0.3">
      <c r="A106" s="6">
        <v>45444</v>
      </c>
      <c r="B106" s="2" t="s">
        <v>467</v>
      </c>
      <c r="C106" s="2" t="s">
        <v>4</v>
      </c>
      <c r="D106" s="2" t="s">
        <v>2</v>
      </c>
      <c r="E106" s="2" t="s">
        <v>375</v>
      </c>
      <c r="F106" s="2">
        <v>1947</v>
      </c>
      <c r="G106" s="2">
        <v>606</v>
      </c>
      <c r="H106" s="2">
        <v>606</v>
      </c>
      <c r="J106" s="2">
        <v>1</v>
      </c>
      <c r="K106" s="2">
        <v>1</v>
      </c>
      <c r="L106" s="2">
        <v>1</v>
      </c>
      <c r="M106" s="2">
        <v>5</v>
      </c>
      <c r="N106" s="5" t="s">
        <v>112</v>
      </c>
      <c r="O106" s="12">
        <v>279000</v>
      </c>
      <c r="P106" s="3">
        <f>(1430+3120)/12</f>
        <v>379.16666666666669</v>
      </c>
      <c r="R106" s="3">
        <v>971</v>
      </c>
      <c r="S106" s="12">
        <f t="shared" si="3"/>
        <v>48.35</v>
      </c>
      <c r="T106" s="3">
        <f t="shared" si="4"/>
        <v>1398.5166666666667</v>
      </c>
      <c r="U106" s="2">
        <f t="shared" si="5"/>
        <v>539555</v>
      </c>
    </row>
    <row r="107" spans="1:21" ht="13.8" x14ac:dyDescent="0.3">
      <c r="A107" s="6">
        <v>45444</v>
      </c>
      <c r="B107" s="2" t="s">
        <v>468</v>
      </c>
      <c r="C107" s="2" t="s">
        <v>4</v>
      </c>
      <c r="D107" s="2" t="s">
        <v>2</v>
      </c>
      <c r="E107" s="2" t="s">
        <v>1734</v>
      </c>
      <c r="F107" s="2">
        <v>1910</v>
      </c>
      <c r="G107" s="7">
        <f>(11*18+15.2*15.2+7*9.6+9.2*10.1+8.4*15.7+14.9*12.6+14.9*12.6+16.9*17.8)*1.3</f>
        <v>1816.5419999999999</v>
      </c>
      <c r="H107" s="2">
        <v>4114</v>
      </c>
      <c r="J107" s="2">
        <v>2</v>
      </c>
      <c r="K107" s="2">
        <v>2</v>
      </c>
      <c r="L107" s="2">
        <v>1</v>
      </c>
      <c r="M107" s="2">
        <v>9</v>
      </c>
      <c r="N107" s="5" t="s">
        <v>113</v>
      </c>
      <c r="O107" s="12">
        <v>299000</v>
      </c>
      <c r="P107" s="3">
        <f>(2252+263)/12</f>
        <v>209.58333333333334</v>
      </c>
      <c r="R107" s="3">
        <v>1093</v>
      </c>
      <c r="S107" s="12">
        <f t="shared" si="3"/>
        <v>118.96495</v>
      </c>
      <c r="T107" s="3">
        <f t="shared" si="4"/>
        <v>1421.5482833333333</v>
      </c>
      <c r="U107" s="2">
        <f t="shared" si="5"/>
        <v>546464.48499999999</v>
      </c>
    </row>
    <row r="108" spans="1:21" ht="13.8" x14ac:dyDescent="0.3">
      <c r="A108" s="6">
        <v>45444</v>
      </c>
      <c r="B108" s="2" t="s">
        <v>469</v>
      </c>
      <c r="C108" s="2" t="s">
        <v>4</v>
      </c>
      <c r="D108" s="2" t="s">
        <v>2</v>
      </c>
      <c r="E108" s="2" t="s">
        <v>1734</v>
      </c>
      <c r="F108" s="2">
        <v>1919</v>
      </c>
      <c r="G108" s="2">
        <f>(10.5*11.5+10.6*23.5+10.5*8.5+16.3*7.4+11.2*10.4+10.2*8.4+11*4.4)*1.3</f>
        <v>1079.364</v>
      </c>
      <c r="H108" s="2">
        <v>4401</v>
      </c>
      <c r="J108" s="2">
        <v>2</v>
      </c>
      <c r="K108" s="2">
        <v>3</v>
      </c>
      <c r="L108" s="2">
        <v>1</v>
      </c>
      <c r="M108" s="2">
        <v>7</v>
      </c>
      <c r="N108" s="2" t="s">
        <v>114</v>
      </c>
      <c r="O108" s="12">
        <v>299000</v>
      </c>
      <c r="P108" s="3">
        <f>117+11</f>
        <v>128</v>
      </c>
      <c r="Q108" s="2" t="s">
        <v>25</v>
      </c>
      <c r="R108" s="3">
        <v>1093</v>
      </c>
      <c r="S108" s="12">
        <f t="shared" si="3"/>
        <v>75.962899999999991</v>
      </c>
      <c r="T108" s="3">
        <f t="shared" si="4"/>
        <v>1296.9629</v>
      </c>
      <c r="U108" s="2">
        <f t="shared" si="5"/>
        <v>509088.87</v>
      </c>
    </row>
    <row r="109" spans="1:21" ht="13.8" x14ac:dyDescent="0.3">
      <c r="A109" s="6">
        <v>45444</v>
      </c>
      <c r="B109" s="2" t="s">
        <v>470</v>
      </c>
      <c r="C109" s="2" t="s">
        <v>4</v>
      </c>
      <c r="D109" s="2" t="s">
        <v>2</v>
      </c>
      <c r="E109" s="2" t="s">
        <v>375</v>
      </c>
      <c r="F109" s="2">
        <v>2013</v>
      </c>
      <c r="G109" s="2">
        <v>606</v>
      </c>
      <c r="H109" s="2">
        <v>606</v>
      </c>
      <c r="J109" s="2">
        <v>1</v>
      </c>
      <c r="K109" s="2">
        <v>1</v>
      </c>
      <c r="L109" s="2">
        <v>1</v>
      </c>
      <c r="M109" s="2">
        <v>4</v>
      </c>
      <c r="N109" s="5" t="s">
        <v>115</v>
      </c>
      <c r="O109" s="12">
        <v>299000</v>
      </c>
      <c r="P109" s="3">
        <f>(136+1210+2100)/12</f>
        <v>287.16666666666669</v>
      </c>
      <c r="R109" s="3">
        <v>1093</v>
      </c>
      <c r="S109" s="12">
        <f t="shared" si="3"/>
        <v>48.35</v>
      </c>
      <c r="T109" s="3">
        <f t="shared" si="4"/>
        <v>1428.5166666666667</v>
      </c>
      <c r="U109" s="2">
        <f t="shared" si="5"/>
        <v>548555</v>
      </c>
    </row>
    <row r="110" spans="1:21" ht="13.8" x14ac:dyDescent="0.3">
      <c r="A110" s="6">
        <v>45444</v>
      </c>
      <c r="B110" s="2" t="s">
        <v>471</v>
      </c>
      <c r="C110" s="2" t="s">
        <v>4</v>
      </c>
      <c r="D110" s="2" t="s">
        <v>2</v>
      </c>
      <c r="E110" s="2" t="s">
        <v>375</v>
      </c>
      <c r="F110" s="2">
        <v>2012</v>
      </c>
      <c r="G110" s="2">
        <v>686</v>
      </c>
      <c r="H110" s="2">
        <v>686</v>
      </c>
      <c r="J110" s="2">
        <v>1</v>
      </c>
      <c r="K110" s="2">
        <v>2</v>
      </c>
      <c r="L110" s="2">
        <v>1</v>
      </c>
      <c r="M110" s="2">
        <v>6</v>
      </c>
      <c r="N110" s="5" t="s">
        <v>116</v>
      </c>
      <c r="O110" s="12">
        <v>300000</v>
      </c>
      <c r="P110" s="3">
        <f>(1785+3288)/12</f>
        <v>422.75</v>
      </c>
      <c r="R110" s="3">
        <v>1099</v>
      </c>
      <c r="S110" s="12">
        <f t="shared" si="3"/>
        <v>53.016666666666673</v>
      </c>
      <c r="T110" s="3">
        <f t="shared" si="4"/>
        <v>1574.7666666666667</v>
      </c>
      <c r="U110" s="2">
        <f t="shared" si="5"/>
        <v>592430</v>
      </c>
    </row>
    <row r="111" spans="1:21" ht="13.8" x14ac:dyDescent="0.3">
      <c r="A111" s="6">
        <v>45444</v>
      </c>
      <c r="B111" s="2" t="s">
        <v>472</v>
      </c>
      <c r="C111" s="2" t="s">
        <v>4</v>
      </c>
      <c r="D111" s="2" t="s">
        <v>2</v>
      </c>
      <c r="E111" s="2" t="s">
        <v>375</v>
      </c>
      <c r="F111" s="2">
        <v>1947</v>
      </c>
      <c r="G111" s="2">
        <v>667</v>
      </c>
      <c r="H111" s="2">
        <v>667</v>
      </c>
      <c r="J111" s="2">
        <v>1</v>
      </c>
      <c r="K111" s="2">
        <v>1</v>
      </c>
      <c r="L111" s="2">
        <v>1</v>
      </c>
      <c r="M111" s="2">
        <v>8</v>
      </c>
      <c r="N111" s="5" t="s">
        <v>117</v>
      </c>
      <c r="O111" s="12">
        <v>309000</v>
      </c>
      <c r="P111" s="3">
        <f>(3012+142+1335)/12</f>
        <v>374.08333333333331</v>
      </c>
      <c r="R111" s="3">
        <v>1154</v>
      </c>
      <c r="S111" s="12">
        <f t="shared" si="3"/>
        <v>51.908333333333339</v>
      </c>
      <c r="T111" s="3">
        <f t="shared" si="4"/>
        <v>1579.9916666666666</v>
      </c>
      <c r="U111" s="2">
        <f t="shared" si="5"/>
        <v>593997.5</v>
      </c>
    </row>
    <row r="112" spans="1:21" ht="13.8" x14ac:dyDescent="0.3">
      <c r="A112" s="6">
        <v>45444</v>
      </c>
      <c r="B112" s="2" t="s">
        <v>473</v>
      </c>
      <c r="C112" s="2" t="s">
        <v>4</v>
      </c>
      <c r="D112" s="2" t="s">
        <v>2</v>
      </c>
      <c r="E112" s="2" t="s">
        <v>375</v>
      </c>
      <c r="F112" s="2">
        <v>1947</v>
      </c>
      <c r="G112" s="2">
        <v>891</v>
      </c>
      <c r="H112" s="2">
        <v>891</v>
      </c>
      <c r="J112" s="2">
        <v>1</v>
      </c>
      <c r="K112" s="2">
        <v>2</v>
      </c>
      <c r="L112" s="2">
        <v>1</v>
      </c>
      <c r="M112" s="2">
        <v>8</v>
      </c>
      <c r="N112" s="5" t="s">
        <v>118</v>
      </c>
      <c r="O112" s="12">
        <v>310000</v>
      </c>
      <c r="P112" s="3">
        <f>(5052+1895+277)/12</f>
        <v>602</v>
      </c>
      <c r="R112" s="3">
        <v>1160</v>
      </c>
      <c r="S112" s="12">
        <f t="shared" si="3"/>
        <v>64.974999999999994</v>
      </c>
      <c r="T112" s="3">
        <f t="shared" si="4"/>
        <v>1826.9749999999999</v>
      </c>
      <c r="U112" s="2">
        <f t="shared" si="5"/>
        <v>668092.49999999988</v>
      </c>
    </row>
    <row r="113" spans="1:21" ht="13.8" x14ac:dyDescent="0.3">
      <c r="A113" s="6">
        <v>45444</v>
      </c>
      <c r="B113" s="2" t="s">
        <v>474</v>
      </c>
      <c r="C113" s="2" t="s">
        <v>4</v>
      </c>
      <c r="D113" s="2" t="s">
        <v>2</v>
      </c>
      <c r="E113" s="2" t="s">
        <v>375</v>
      </c>
      <c r="F113" s="2">
        <v>2012</v>
      </c>
      <c r="G113" s="2">
        <v>678</v>
      </c>
      <c r="H113" s="2">
        <v>678</v>
      </c>
      <c r="J113" s="2">
        <v>1</v>
      </c>
      <c r="K113" s="2">
        <v>2</v>
      </c>
      <c r="L113" s="2">
        <v>1</v>
      </c>
      <c r="M113" s="2">
        <v>4</v>
      </c>
      <c r="N113" s="5" t="s">
        <v>119</v>
      </c>
      <c r="O113" s="12">
        <v>315000</v>
      </c>
      <c r="P113" s="3">
        <f>(3564+1601+178)/12</f>
        <v>445.25</v>
      </c>
      <c r="R113" s="3">
        <v>1190</v>
      </c>
      <c r="S113" s="12">
        <f t="shared" si="3"/>
        <v>52.550000000000004</v>
      </c>
      <c r="T113" s="3">
        <f t="shared" si="4"/>
        <v>1687.8</v>
      </c>
      <c r="U113" s="2">
        <f t="shared" si="5"/>
        <v>626340</v>
      </c>
    </row>
    <row r="114" spans="1:21" ht="13.8" x14ac:dyDescent="0.3">
      <c r="A114" s="6">
        <v>45444</v>
      </c>
      <c r="B114" s="2" t="s">
        <v>475</v>
      </c>
      <c r="C114" s="2" t="s">
        <v>4</v>
      </c>
      <c r="D114" s="2" t="s">
        <v>2</v>
      </c>
      <c r="E114" s="2" t="s">
        <v>375</v>
      </c>
      <c r="F114" s="2">
        <v>2014</v>
      </c>
      <c r="G114" s="2">
        <v>543</v>
      </c>
      <c r="H114" s="2">
        <v>543</v>
      </c>
      <c r="J114" s="2">
        <v>1</v>
      </c>
      <c r="K114" s="2">
        <v>1</v>
      </c>
      <c r="L114" s="2">
        <v>1</v>
      </c>
      <c r="M114" s="2">
        <v>7</v>
      </c>
      <c r="N114" s="5" t="s">
        <v>120</v>
      </c>
      <c r="O114" s="12">
        <v>319000</v>
      </c>
      <c r="P114" s="3">
        <f>(3048+1790+197)/12</f>
        <v>419.58333333333331</v>
      </c>
      <c r="R114" s="3">
        <v>1215</v>
      </c>
      <c r="S114" s="12">
        <f t="shared" si="3"/>
        <v>44.674999999999997</v>
      </c>
      <c r="T114" s="3">
        <f t="shared" si="4"/>
        <v>1679.2583333333332</v>
      </c>
      <c r="U114" s="2">
        <f t="shared" si="5"/>
        <v>623777.5</v>
      </c>
    </row>
    <row r="115" spans="1:21" ht="13.8" x14ac:dyDescent="0.3">
      <c r="A115" s="6">
        <v>45444</v>
      </c>
      <c r="B115" s="2" t="s">
        <v>476</v>
      </c>
      <c r="C115" s="2" t="s">
        <v>4</v>
      </c>
      <c r="D115" s="2" t="s">
        <v>2</v>
      </c>
      <c r="E115" s="2" t="s">
        <v>375</v>
      </c>
      <c r="F115" s="2">
        <v>2008</v>
      </c>
      <c r="G115" s="2">
        <v>897</v>
      </c>
      <c r="H115" s="2">
        <v>897</v>
      </c>
      <c r="J115" s="2">
        <v>1</v>
      </c>
      <c r="K115" s="2">
        <v>1</v>
      </c>
      <c r="L115" s="2">
        <v>1</v>
      </c>
      <c r="M115" s="2">
        <v>4</v>
      </c>
      <c r="N115" s="5" t="s">
        <v>121</v>
      </c>
      <c r="O115" s="12">
        <v>339000</v>
      </c>
      <c r="P115" s="3">
        <f>(2433+300*12)/12</f>
        <v>502.75</v>
      </c>
      <c r="R115" s="3">
        <v>1337</v>
      </c>
      <c r="S115" s="12">
        <f t="shared" si="3"/>
        <v>65.325000000000017</v>
      </c>
      <c r="T115" s="3">
        <f t="shared" si="4"/>
        <v>1905.075</v>
      </c>
      <c r="U115" s="2">
        <f t="shared" si="5"/>
        <v>691522.5</v>
      </c>
    </row>
    <row r="116" spans="1:21" ht="13.8" x14ac:dyDescent="0.3">
      <c r="A116" s="6">
        <v>45444</v>
      </c>
      <c r="B116" s="2" t="s">
        <v>477</v>
      </c>
      <c r="C116" s="2" t="s">
        <v>4</v>
      </c>
      <c r="D116" s="2" t="s">
        <v>2</v>
      </c>
      <c r="E116" s="2" t="s">
        <v>1734</v>
      </c>
      <c r="F116" s="2">
        <v>1915</v>
      </c>
      <c r="G116" s="7">
        <f>(13.9*12.6+12.4*11.6+10.4*5.7+2.9*5.4+8.8*11.9)*1.3</f>
        <v>648.23200000000008</v>
      </c>
      <c r="H116" s="2">
        <v>1875</v>
      </c>
      <c r="J116" s="2">
        <v>1</v>
      </c>
      <c r="K116" s="2">
        <v>1</v>
      </c>
      <c r="L116" s="2">
        <v>1</v>
      </c>
      <c r="M116" s="2">
        <v>5</v>
      </c>
      <c r="N116" s="5" t="s">
        <v>122</v>
      </c>
      <c r="O116" s="12">
        <v>349900</v>
      </c>
      <c r="P116" s="3">
        <f>(1358)/12</f>
        <v>113.16666666666667</v>
      </c>
      <c r="R116" s="3">
        <v>1403</v>
      </c>
      <c r="S116" s="12">
        <f t="shared" si="3"/>
        <v>50.813533333333339</v>
      </c>
      <c r="T116" s="3">
        <f t="shared" si="4"/>
        <v>1566.9802</v>
      </c>
      <c r="U116" s="2">
        <f t="shared" si="5"/>
        <v>590094.06000000006</v>
      </c>
    </row>
    <row r="117" spans="1:21" ht="13.8" x14ac:dyDescent="0.3">
      <c r="A117" s="6">
        <v>45444</v>
      </c>
      <c r="B117" s="2" t="s">
        <v>478</v>
      </c>
      <c r="C117" s="2" t="s">
        <v>4</v>
      </c>
      <c r="D117" s="2" t="s">
        <v>2</v>
      </c>
      <c r="E117" s="2" t="s">
        <v>375</v>
      </c>
      <c r="F117" s="2">
        <v>2014</v>
      </c>
      <c r="G117" s="2">
        <v>673</v>
      </c>
      <c r="H117" s="2">
        <v>673</v>
      </c>
      <c r="J117" s="2">
        <v>1</v>
      </c>
      <c r="K117" s="2">
        <v>1</v>
      </c>
      <c r="L117" s="2">
        <v>1</v>
      </c>
      <c r="M117" s="2">
        <v>5</v>
      </c>
      <c r="N117" s="5" t="s">
        <v>123</v>
      </c>
      <c r="O117" s="12">
        <v>349900</v>
      </c>
      <c r="P117" s="3">
        <f>(4512+1851+210)/12</f>
        <v>547.75</v>
      </c>
      <c r="R117" s="3">
        <v>1403</v>
      </c>
      <c r="S117" s="12">
        <f t="shared" si="3"/>
        <v>52.258333333333333</v>
      </c>
      <c r="T117" s="3">
        <f t="shared" si="4"/>
        <v>2003.0083333333334</v>
      </c>
      <c r="U117" s="2">
        <f t="shared" si="5"/>
        <v>720902.5</v>
      </c>
    </row>
    <row r="118" spans="1:21" ht="13.8" x14ac:dyDescent="0.3">
      <c r="A118" s="6">
        <v>45444</v>
      </c>
      <c r="B118" s="2" t="s">
        <v>479</v>
      </c>
      <c r="C118" s="2" t="s">
        <v>4</v>
      </c>
      <c r="D118" s="2" t="s">
        <v>2</v>
      </c>
      <c r="E118" s="2" t="s">
        <v>375</v>
      </c>
      <c r="F118" s="2">
        <v>2017</v>
      </c>
      <c r="G118" s="2">
        <v>876</v>
      </c>
      <c r="H118" s="2">
        <v>876</v>
      </c>
      <c r="J118" s="2">
        <v>1</v>
      </c>
      <c r="K118" s="2">
        <v>2</v>
      </c>
      <c r="L118" s="2">
        <v>1</v>
      </c>
      <c r="M118" s="2">
        <v>6</v>
      </c>
      <c r="N118" s="5" t="s">
        <v>124</v>
      </c>
      <c r="O118" s="12">
        <v>350000</v>
      </c>
      <c r="P118" s="3">
        <f>(1868+1320)/12</f>
        <v>265.66666666666669</v>
      </c>
      <c r="R118" s="3">
        <v>1404</v>
      </c>
      <c r="S118" s="12">
        <f t="shared" si="3"/>
        <v>64.099999999999994</v>
      </c>
      <c r="T118" s="3">
        <f t="shared" si="4"/>
        <v>1733.7666666666667</v>
      </c>
      <c r="U118" s="2">
        <f t="shared" si="5"/>
        <v>640130</v>
      </c>
    </row>
    <row r="119" spans="1:21" ht="13.8" x14ac:dyDescent="0.3">
      <c r="A119" s="6">
        <v>45444</v>
      </c>
      <c r="B119" s="2" t="s">
        <v>480</v>
      </c>
      <c r="C119" s="2" t="s">
        <v>4</v>
      </c>
      <c r="D119" s="2" t="s">
        <v>2</v>
      </c>
      <c r="E119" s="2" t="s">
        <v>375</v>
      </c>
      <c r="F119" s="2">
        <v>2015</v>
      </c>
      <c r="G119" s="2">
        <v>692</v>
      </c>
      <c r="H119" s="2">
        <v>692</v>
      </c>
      <c r="J119" s="2">
        <v>1</v>
      </c>
      <c r="K119" s="2">
        <v>1</v>
      </c>
      <c r="L119" s="2">
        <v>1</v>
      </c>
      <c r="M119" s="2">
        <v>5</v>
      </c>
      <c r="N119" s="5" t="s">
        <v>125</v>
      </c>
      <c r="O119" s="12">
        <v>359000</v>
      </c>
      <c r="P119" s="3">
        <f>(3828+2009+228)/12</f>
        <v>505.41666666666669</v>
      </c>
      <c r="R119" s="3">
        <v>1459</v>
      </c>
      <c r="S119" s="12">
        <f t="shared" si="3"/>
        <v>53.366666666666667</v>
      </c>
      <c r="T119" s="3">
        <f t="shared" si="4"/>
        <v>2017.7833333333333</v>
      </c>
      <c r="U119" s="2">
        <f t="shared" si="5"/>
        <v>725335</v>
      </c>
    </row>
    <row r="120" spans="1:21" ht="13.8" x14ac:dyDescent="0.3">
      <c r="A120" s="6">
        <v>45444</v>
      </c>
      <c r="B120" s="2" t="s">
        <v>481</v>
      </c>
      <c r="C120" s="2" t="s">
        <v>4</v>
      </c>
      <c r="D120" s="2" t="s">
        <v>2</v>
      </c>
      <c r="E120" s="2" t="s">
        <v>1734</v>
      </c>
      <c r="F120" s="2">
        <v>1954</v>
      </c>
      <c r="G120" s="2">
        <f>(8*10+7*8+7*9+4*4+8*8+5*8)*1.3</f>
        <v>414.7</v>
      </c>
      <c r="H120" s="2">
        <v>2037</v>
      </c>
      <c r="J120" s="2">
        <v>1</v>
      </c>
      <c r="K120" s="2">
        <v>3</v>
      </c>
      <c r="L120" s="2">
        <v>1</v>
      </c>
      <c r="M120" s="2">
        <v>6</v>
      </c>
      <c r="N120" s="5" t="s">
        <v>126</v>
      </c>
      <c r="O120" s="12">
        <v>359997</v>
      </c>
      <c r="P120" s="3">
        <f>(1917+219)/12</f>
        <v>178</v>
      </c>
      <c r="R120" s="3">
        <v>1465</v>
      </c>
      <c r="S120" s="12">
        <f t="shared" si="3"/>
        <v>37.19083333333333</v>
      </c>
      <c r="T120" s="3">
        <f t="shared" si="4"/>
        <v>1680.1908333333333</v>
      </c>
      <c r="U120" s="2">
        <f t="shared" si="5"/>
        <v>624057.25</v>
      </c>
    </row>
    <row r="121" spans="1:21" ht="13.8" x14ac:dyDescent="0.3">
      <c r="A121" s="6">
        <v>45444</v>
      </c>
      <c r="B121" s="2" t="s">
        <v>482</v>
      </c>
      <c r="C121" s="2" t="s">
        <v>4</v>
      </c>
      <c r="D121" s="2" t="s">
        <v>2</v>
      </c>
      <c r="E121" s="2" t="s">
        <v>375</v>
      </c>
      <c r="F121" s="2">
        <v>2021</v>
      </c>
      <c r="G121" s="2">
        <v>621</v>
      </c>
      <c r="H121" s="2">
        <v>621</v>
      </c>
      <c r="J121" s="2">
        <v>1</v>
      </c>
      <c r="K121" s="2">
        <v>1</v>
      </c>
      <c r="L121" s="2">
        <v>1</v>
      </c>
      <c r="M121" s="2">
        <v>4</v>
      </c>
      <c r="N121" s="5" t="s">
        <v>127</v>
      </c>
      <c r="O121" s="12">
        <v>365000</v>
      </c>
      <c r="P121" s="3">
        <f>(3612+1691+188)/12</f>
        <v>457.58333333333331</v>
      </c>
      <c r="R121" s="3">
        <v>1495</v>
      </c>
      <c r="S121" s="12">
        <f t="shared" si="3"/>
        <v>49.225000000000001</v>
      </c>
      <c r="T121" s="3">
        <f t="shared" si="4"/>
        <v>2001.8083333333332</v>
      </c>
      <c r="U121" s="2">
        <f t="shared" si="5"/>
        <v>720542.49999999988</v>
      </c>
    </row>
    <row r="122" spans="1:21" ht="13.8" x14ac:dyDescent="0.3">
      <c r="A122" s="6">
        <v>45444</v>
      </c>
      <c r="B122" s="2" t="s">
        <v>483</v>
      </c>
      <c r="C122" s="2" t="s">
        <v>4</v>
      </c>
      <c r="D122" s="2" t="s">
        <v>2</v>
      </c>
      <c r="E122" s="2" t="s">
        <v>375</v>
      </c>
      <c r="F122" s="2">
        <v>1990</v>
      </c>
      <c r="G122" s="2">
        <v>842</v>
      </c>
      <c r="H122" s="2">
        <v>842</v>
      </c>
      <c r="J122" s="2">
        <v>1</v>
      </c>
      <c r="K122" s="2">
        <v>2</v>
      </c>
      <c r="L122" s="2">
        <v>1</v>
      </c>
      <c r="M122" s="2">
        <v>5</v>
      </c>
      <c r="N122" s="5" t="s">
        <v>128</v>
      </c>
      <c r="O122" s="12">
        <v>370000</v>
      </c>
      <c r="P122" s="3">
        <f>(2064+3840)/12</f>
        <v>492</v>
      </c>
      <c r="R122" s="3">
        <v>1526</v>
      </c>
      <c r="S122" s="12">
        <f t="shared" si="3"/>
        <v>62.116666666666674</v>
      </c>
      <c r="T122" s="3">
        <f t="shared" si="4"/>
        <v>2080.1166666666668</v>
      </c>
      <c r="U122" s="2">
        <f t="shared" si="5"/>
        <v>744035</v>
      </c>
    </row>
    <row r="123" spans="1:21" ht="13.8" x14ac:dyDescent="0.3">
      <c r="A123" s="6">
        <v>45444</v>
      </c>
      <c r="B123" s="2" t="s">
        <v>484</v>
      </c>
      <c r="C123" s="2" t="s">
        <v>4</v>
      </c>
      <c r="D123" s="2" t="s">
        <v>2</v>
      </c>
      <c r="E123" s="2" t="s">
        <v>375</v>
      </c>
      <c r="F123" s="2">
        <v>2010</v>
      </c>
      <c r="G123" s="2">
        <v>863</v>
      </c>
      <c r="H123" s="2">
        <v>863</v>
      </c>
      <c r="J123" s="2">
        <v>1</v>
      </c>
      <c r="K123" s="2">
        <v>2</v>
      </c>
      <c r="L123" s="2">
        <v>1</v>
      </c>
      <c r="M123" s="2">
        <v>6</v>
      </c>
      <c r="N123" s="5" t="s">
        <v>129</v>
      </c>
      <c r="O123" s="12">
        <v>379000</v>
      </c>
      <c r="P123" s="3">
        <f>(404*12+2110+242)/12</f>
        <v>600</v>
      </c>
      <c r="R123" s="3">
        <v>1581</v>
      </c>
      <c r="S123" s="12">
        <f t="shared" si="3"/>
        <v>63.341666666666669</v>
      </c>
      <c r="T123" s="3">
        <f t="shared" si="4"/>
        <v>2244.3416666666667</v>
      </c>
      <c r="U123" s="2">
        <f t="shared" si="5"/>
        <v>793302.5</v>
      </c>
    </row>
    <row r="124" spans="1:21" ht="13.8" x14ac:dyDescent="0.3">
      <c r="A124" s="6">
        <v>45444</v>
      </c>
      <c r="B124" s="2" t="s">
        <v>485</v>
      </c>
      <c r="C124" s="2" t="s">
        <v>4</v>
      </c>
      <c r="D124" s="2" t="s">
        <v>2</v>
      </c>
      <c r="E124" s="2" t="s">
        <v>375</v>
      </c>
      <c r="F124" s="2">
        <v>2021</v>
      </c>
      <c r="G124" s="2">
        <v>650</v>
      </c>
      <c r="H124" s="2">
        <v>650</v>
      </c>
      <c r="J124" s="2">
        <v>1</v>
      </c>
      <c r="K124" s="2">
        <v>1</v>
      </c>
      <c r="L124" s="2">
        <v>1</v>
      </c>
      <c r="M124" s="2">
        <v>4</v>
      </c>
      <c r="N124" s="5" t="s">
        <v>130</v>
      </c>
      <c r="O124" s="12">
        <v>379900</v>
      </c>
      <c r="P124" s="3">
        <f>(1763+199+3768)/12</f>
        <v>477.5</v>
      </c>
      <c r="R124" s="3">
        <v>1586</v>
      </c>
      <c r="S124" s="12">
        <f t="shared" si="3"/>
        <v>50.916666666666671</v>
      </c>
      <c r="T124" s="3">
        <f t="shared" si="4"/>
        <v>2114.4166666666665</v>
      </c>
      <c r="U124" s="2">
        <f t="shared" si="5"/>
        <v>754325</v>
      </c>
    </row>
    <row r="125" spans="1:21" ht="13.8" x14ac:dyDescent="0.3">
      <c r="A125" s="6">
        <v>45444</v>
      </c>
      <c r="B125" s="2" t="s">
        <v>486</v>
      </c>
      <c r="C125" s="2" t="s">
        <v>4</v>
      </c>
      <c r="D125" s="2" t="s">
        <v>2</v>
      </c>
      <c r="E125" s="2" t="s">
        <v>375</v>
      </c>
      <c r="F125" s="2">
        <v>2010</v>
      </c>
      <c r="G125" s="2">
        <v>797</v>
      </c>
      <c r="H125" s="2">
        <v>797</v>
      </c>
      <c r="J125" s="2">
        <v>1</v>
      </c>
      <c r="K125" s="2">
        <v>2</v>
      </c>
      <c r="L125" s="2">
        <v>1</v>
      </c>
      <c r="M125" s="2">
        <v>5</v>
      </c>
      <c r="N125" s="5" t="s">
        <v>131</v>
      </c>
      <c r="O125" s="12">
        <v>395000</v>
      </c>
      <c r="P125" s="3">
        <f>(2033+2868)/12</f>
        <v>408.41666666666669</v>
      </c>
      <c r="R125" s="3">
        <v>1679</v>
      </c>
      <c r="S125" s="12">
        <f t="shared" si="3"/>
        <v>59.491666666666674</v>
      </c>
      <c r="T125" s="3">
        <f t="shared" si="4"/>
        <v>2146.9083333333333</v>
      </c>
      <c r="U125" s="2">
        <f t="shared" si="5"/>
        <v>764072.5</v>
      </c>
    </row>
    <row r="126" spans="1:21" ht="13.8" x14ac:dyDescent="0.3">
      <c r="A126" s="6">
        <v>45444</v>
      </c>
      <c r="B126" s="2" t="s">
        <v>487</v>
      </c>
      <c r="C126" s="2" t="s">
        <v>4</v>
      </c>
      <c r="D126" s="2" t="s">
        <v>2</v>
      </c>
      <c r="E126" s="2" t="s">
        <v>375</v>
      </c>
      <c r="F126" s="2">
        <v>2019</v>
      </c>
      <c r="G126" s="2">
        <v>873</v>
      </c>
      <c r="H126" s="2">
        <v>873</v>
      </c>
      <c r="J126" s="2">
        <v>1</v>
      </c>
      <c r="K126" s="2">
        <v>2</v>
      </c>
      <c r="L126" s="2">
        <v>1</v>
      </c>
      <c r="M126" s="2">
        <v>6</v>
      </c>
      <c r="N126" s="5" t="s">
        <v>132</v>
      </c>
      <c r="O126" s="12">
        <v>420000</v>
      </c>
      <c r="P126" s="3">
        <f>(2178+265)/12</f>
        <v>203.58333333333334</v>
      </c>
      <c r="R126" s="3">
        <v>1831</v>
      </c>
      <c r="S126" s="12">
        <f t="shared" si="3"/>
        <v>63.925000000000004</v>
      </c>
      <c r="T126" s="3">
        <f t="shared" si="4"/>
        <v>2098.5083333333332</v>
      </c>
      <c r="U126" s="2">
        <f t="shared" si="5"/>
        <v>749552.5</v>
      </c>
    </row>
    <row r="127" spans="1:21" ht="13.8" x14ac:dyDescent="0.3">
      <c r="A127" s="6">
        <v>45444</v>
      </c>
      <c r="B127" s="2" t="s">
        <v>488</v>
      </c>
      <c r="C127" s="2" t="s">
        <v>4</v>
      </c>
      <c r="D127" s="2" t="s">
        <v>2</v>
      </c>
      <c r="E127" s="2" t="s">
        <v>375</v>
      </c>
      <c r="F127" s="2">
        <v>2012</v>
      </c>
      <c r="G127" s="2">
        <v>834</v>
      </c>
      <c r="H127" s="2">
        <v>834</v>
      </c>
      <c r="J127" s="2">
        <v>1</v>
      </c>
      <c r="K127" s="2">
        <v>2</v>
      </c>
      <c r="L127" s="2">
        <v>1</v>
      </c>
      <c r="M127" s="2">
        <v>6</v>
      </c>
      <c r="N127" s="5" t="s">
        <v>133</v>
      </c>
      <c r="O127" s="12">
        <v>425000</v>
      </c>
      <c r="P127" s="3">
        <f>(2444+4296)/12</f>
        <v>561.66666666666663</v>
      </c>
      <c r="R127" s="3">
        <v>1862</v>
      </c>
      <c r="S127" s="12">
        <f t="shared" si="3"/>
        <v>61.650000000000006</v>
      </c>
      <c r="T127" s="3">
        <f t="shared" si="4"/>
        <v>2485.3166666666666</v>
      </c>
      <c r="U127" s="2">
        <f t="shared" si="5"/>
        <v>865595</v>
      </c>
    </row>
    <row r="128" spans="1:21" ht="13.8" x14ac:dyDescent="0.3">
      <c r="A128" s="6">
        <v>45444</v>
      </c>
      <c r="B128" s="2" t="s">
        <v>489</v>
      </c>
      <c r="C128" s="2" t="s">
        <v>4</v>
      </c>
      <c r="D128" s="2" t="s">
        <v>2</v>
      </c>
      <c r="E128" s="2" t="s">
        <v>375</v>
      </c>
      <c r="F128" s="2">
        <v>2012</v>
      </c>
      <c r="G128" s="2">
        <v>836</v>
      </c>
      <c r="H128" s="2">
        <v>836</v>
      </c>
      <c r="J128" s="2">
        <v>1</v>
      </c>
      <c r="K128" s="2">
        <v>2</v>
      </c>
      <c r="L128" s="2">
        <v>1</v>
      </c>
      <c r="M128" s="2">
        <v>7</v>
      </c>
      <c r="N128" s="5" t="s">
        <v>134</v>
      </c>
      <c r="O128" s="12">
        <v>425000</v>
      </c>
      <c r="P128" s="3">
        <f>(386*12+2317+270)/12</f>
        <v>601.58333333333337</v>
      </c>
      <c r="R128" s="3">
        <v>1862</v>
      </c>
      <c r="S128" s="12">
        <f t="shared" si="3"/>
        <v>61.766666666666673</v>
      </c>
      <c r="T128" s="3">
        <f t="shared" si="4"/>
        <v>2525.3500000000004</v>
      </c>
      <c r="U128" s="2">
        <f t="shared" si="5"/>
        <v>877605.00000000012</v>
      </c>
    </row>
    <row r="129" spans="1:21" ht="13.8" x14ac:dyDescent="0.3">
      <c r="A129" s="6">
        <v>45444</v>
      </c>
      <c r="B129" s="2" t="s">
        <v>490</v>
      </c>
      <c r="C129" s="2" t="s">
        <v>4</v>
      </c>
      <c r="D129" s="2" t="s">
        <v>2</v>
      </c>
      <c r="E129" s="2" t="s">
        <v>375</v>
      </c>
      <c r="F129" s="2">
        <v>2021</v>
      </c>
      <c r="G129" s="2">
        <v>846</v>
      </c>
      <c r="H129" s="2">
        <v>846</v>
      </c>
      <c r="J129" s="2">
        <v>1</v>
      </c>
      <c r="K129" s="2">
        <v>2</v>
      </c>
      <c r="L129" s="2">
        <v>1</v>
      </c>
      <c r="M129" s="2">
        <v>5</v>
      </c>
      <c r="N129" s="5" t="s">
        <v>135</v>
      </c>
      <c r="O129" s="12">
        <v>429000</v>
      </c>
      <c r="P129" s="3">
        <f>(2352+2329+278)/12</f>
        <v>413.25</v>
      </c>
      <c r="R129" s="3">
        <v>1886</v>
      </c>
      <c r="S129" s="12">
        <f t="shared" si="3"/>
        <v>62.35</v>
      </c>
      <c r="T129" s="3">
        <f t="shared" si="4"/>
        <v>2361.6</v>
      </c>
      <c r="U129" s="2">
        <f t="shared" si="5"/>
        <v>828479.99999999988</v>
      </c>
    </row>
    <row r="130" spans="1:21" ht="13.8" x14ac:dyDescent="0.3">
      <c r="A130" s="6">
        <v>45444</v>
      </c>
      <c r="B130" s="2" t="s">
        <v>491</v>
      </c>
      <c r="C130" s="2" t="s">
        <v>4</v>
      </c>
      <c r="D130" s="2" t="s">
        <v>2</v>
      </c>
      <c r="E130" s="2" t="s">
        <v>375</v>
      </c>
      <c r="F130" s="2">
        <v>2018</v>
      </c>
      <c r="G130" s="2">
        <v>752</v>
      </c>
      <c r="H130" s="2">
        <v>752</v>
      </c>
      <c r="J130" s="2">
        <v>1</v>
      </c>
      <c r="K130" s="2">
        <v>2</v>
      </c>
      <c r="L130" s="2">
        <v>1</v>
      </c>
      <c r="M130" s="2">
        <v>5</v>
      </c>
      <c r="N130" s="5" t="s">
        <v>136</v>
      </c>
      <c r="O130" s="12">
        <v>439000</v>
      </c>
      <c r="P130" s="3">
        <f>(2130+246+306*12)/12</f>
        <v>504</v>
      </c>
      <c r="R130" s="3">
        <v>1947</v>
      </c>
      <c r="S130" s="12">
        <f t="shared" ref="S130:S193" si="6">13+(G130*10*0.07)/12</f>
        <v>56.866666666666674</v>
      </c>
      <c r="T130" s="3">
        <f t="shared" ref="T130:T193" si="7">P130+R130+S130</f>
        <v>2507.8666666666668</v>
      </c>
      <c r="U130" s="2">
        <f t="shared" ref="U130:U193" si="8">120000+T130*12*25</f>
        <v>872360</v>
      </c>
    </row>
    <row r="131" spans="1:21" ht="13.8" x14ac:dyDescent="0.3">
      <c r="A131" s="6">
        <v>45444</v>
      </c>
      <c r="B131" s="2" t="s">
        <v>492</v>
      </c>
      <c r="C131" s="2" t="s">
        <v>4</v>
      </c>
      <c r="D131" s="2" t="s">
        <v>2</v>
      </c>
      <c r="E131" s="2" t="s">
        <v>375</v>
      </c>
      <c r="F131" s="2">
        <v>2011</v>
      </c>
      <c r="G131" s="2">
        <v>879</v>
      </c>
      <c r="H131" s="2">
        <v>879</v>
      </c>
      <c r="J131" s="2">
        <v>1</v>
      </c>
      <c r="K131" s="2">
        <v>2</v>
      </c>
      <c r="L131" s="2">
        <v>1</v>
      </c>
      <c r="M131" s="2">
        <v>7</v>
      </c>
      <c r="N131" s="5" t="s">
        <v>137</v>
      </c>
      <c r="O131" s="12">
        <v>439000</v>
      </c>
      <c r="P131" s="3">
        <f>(3120+2446+277)/12</f>
        <v>486.91666666666669</v>
      </c>
      <c r="R131" s="3">
        <v>1947</v>
      </c>
      <c r="S131" s="12">
        <f t="shared" si="6"/>
        <v>64.275000000000006</v>
      </c>
      <c r="T131" s="3">
        <f t="shared" si="7"/>
        <v>2498.1916666666666</v>
      </c>
      <c r="U131" s="2">
        <f t="shared" si="8"/>
        <v>869457.5</v>
      </c>
    </row>
    <row r="132" spans="1:21" ht="13.8" x14ac:dyDescent="0.3">
      <c r="A132" s="6">
        <v>45444</v>
      </c>
      <c r="B132" s="2" t="s">
        <v>493</v>
      </c>
      <c r="C132" s="2" t="s">
        <v>4</v>
      </c>
      <c r="D132" s="2" t="s">
        <v>2</v>
      </c>
      <c r="E132" s="2" t="s">
        <v>375</v>
      </c>
      <c r="F132" s="2">
        <v>1998</v>
      </c>
      <c r="G132" s="2">
        <v>914</v>
      </c>
      <c r="H132" s="2">
        <v>914</v>
      </c>
      <c r="J132" s="2">
        <v>1</v>
      </c>
      <c r="K132" s="2">
        <v>2</v>
      </c>
      <c r="L132" s="2">
        <v>1</v>
      </c>
      <c r="M132" s="2">
        <v>7</v>
      </c>
      <c r="N132" s="5" t="s">
        <v>138</v>
      </c>
      <c r="O132" s="12">
        <v>445000</v>
      </c>
      <c r="P132" s="3">
        <f>(2132+3564)/12</f>
        <v>474.66666666666669</v>
      </c>
      <c r="R132" s="3">
        <v>1984</v>
      </c>
      <c r="S132" s="12">
        <f t="shared" si="6"/>
        <v>66.316666666666663</v>
      </c>
      <c r="T132" s="3">
        <f t="shared" si="7"/>
        <v>2524.9833333333331</v>
      </c>
      <c r="U132" s="2">
        <f t="shared" si="8"/>
        <v>877494.99999999988</v>
      </c>
    </row>
    <row r="133" spans="1:21" ht="13.8" x14ac:dyDescent="0.3">
      <c r="A133" s="6">
        <v>45444</v>
      </c>
      <c r="B133" s="2" t="s">
        <v>494</v>
      </c>
      <c r="C133" s="2" t="s">
        <v>4</v>
      </c>
      <c r="D133" s="2" t="s">
        <v>2</v>
      </c>
      <c r="E133" s="2" t="s">
        <v>375</v>
      </c>
      <c r="F133" s="2">
        <v>2018</v>
      </c>
      <c r="G133" s="2">
        <v>832</v>
      </c>
      <c r="H133" s="2">
        <v>832</v>
      </c>
      <c r="J133" s="2">
        <v>1</v>
      </c>
      <c r="K133" s="2">
        <v>2</v>
      </c>
      <c r="L133" s="2">
        <v>1</v>
      </c>
      <c r="M133" s="2">
        <v>7</v>
      </c>
      <c r="N133" s="5" t="s">
        <v>139</v>
      </c>
      <c r="O133" s="12">
        <v>449000</v>
      </c>
      <c r="P133" s="3">
        <f>(2940+4092)/12</f>
        <v>586</v>
      </c>
      <c r="R133" s="3">
        <v>2008</v>
      </c>
      <c r="S133" s="12">
        <f t="shared" si="6"/>
        <v>61.533333333333339</v>
      </c>
      <c r="T133" s="3">
        <f t="shared" si="7"/>
        <v>2655.5333333333333</v>
      </c>
      <c r="U133" s="2">
        <f t="shared" si="8"/>
        <v>916660</v>
      </c>
    </row>
    <row r="134" spans="1:21" ht="13.8" x14ac:dyDescent="0.3">
      <c r="A134" s="6">
        <v>45444</v>
      </c>
      <c r="B134" s="2" t="s">
        <v>495</v>
      </c>
      <c r="C134" s="2" t="s">
        <v>4</v>
      </c>
      <c r="D134" s="2" t="s">
        <v>2</v>
      </c>
      <c r="E134" s="2" t="s">
        <v>375</v>
      </c>
      <c r="F134" s="2">
        <v>2022</v>
      </c>
      <c r="G134" s="2">
        <v>835</v>
      </c>
      <c r="H134" s="2">
        <v>835</v>
      </c>
      <c r="J134" s="2">
        <v>1</v>
      </c>
      <c r="K134" s="2">
        <v>2</v>
      </c>
      <c r="L134" s="2">
        <v>2</v>
      </c>
      <c r="M134" s="2">
        <v>7</v>
      </c>
      <c r="N134" s="5" t="s">
        <v>140</v>
      </c>
      <c r="O134" s="12">
        <v>449900</v>
      </c>
      <c r="P134" s="3">
        <f>(402*12+437*12)/12</f>
        <v>839</v>
      </c>
      <c r="R134" s="3">
        <v>2014</v>
      </c>
      <c r="S134" s="12">
        <f t="shared" si="6"/>
        <v>61.708333333333336</v>
      </c>
      <c r="T134" s="3">
        <f t="shared" si="7"/>
        <v>2914.7083333333335</v>
      </c>
      <c r="U134" s="2">
        <f t="shared" si="8"/>
        <v>994412.5</v>
      </c>
    </row>
    <row r="135" spans="1:21" ht="13.8" x14ac:dyDescent="0.3">
      <c r="A135" s="6">
        <v>45444</v>
      </c>
      <c r="B135" s="2" t="s">
        <v>496</v>
      </c>
      <c r="C135" s="2" t="s">
        <v>4</v>
      </c>
      <c r="D135" s="2" t="s">
        <v>2</v>
      </c>
      <c r="E135" s="2" t="s">
        <v>375</v>
      </c>
      <c r="F135" s="2">
        <v>2015</v>
      </c>
      <c r="G135" s="2">
        <v>847</v>
      </c>
      <c r="H135" s="2">
        <v>847</v>
      </c>
      <c r="J135" s="2">
        <v>1</v>
      </c>
      <c r="K135" s="2">
        <v>3</v>
      </c>
      <c r="L135" s="2">
        <v>2</v>
      </c>
      <c r="M135" s="2">
        <v>8</v>
      </c>
      <c r="N135" s="5" t="s">
        <v>141</v>
      </c>
      <c r="O135" s="12">
        <v>454900</v>
      </c>
      <c r="P135" s="3">
        <f>200+200+30</f>
        <v>430</v>
      </c>
      <c r="Q135" s="2" t="s">
        <v>25</v>
      </c>
      <c r="R135" s="3">
        <v>2044</v>
      </c>
      <c r="S135" s="12">
        <f t="shared" si="6"/>
        <v>62.408333333333339</v>
      </c>
      <c r="T135" s="3">
        <f t="shared" si="7"/>
        <v>2536.4083333333333</v>
      </c>
      <c r="U135" s="2">
        <f t="shared" si="8"/>
        <v>880922.5</v>
      </c>
    </row>
    <row r="136" spans="1:21" ht="13.8" x14ac:dyDescent="0.3">
      <c r="A136" s="6">
        <v>45444</v>
      </c>
      <c r="B136" s="2" t="s">
        <v>497</v>
      </c>
      <c r="C136" s="2" t="s">
        <v>4</v>
      </c>
      <c r="D136" s="2" t="s">
        <v>2</v>
      </c>
      <c r="E136" s="2" t="s">
        <v>375</v>
      </c>
      <c r="F136" s="2">
        <v>2012</v>
      </c>
      <c r="G136" s="2">
        <v>885</v>
      </c>
      <c r="H136" s="2">
        <v>885</v>
      </c>
      <c r="J136" s="2">
        <v>1</v>
      </c>
      <c r="K136" s="2">
        <v>2</v>
      </c>
      <c r="L136" s="2">
        <v>1</v>
      </c>
      <c r="M136" s="2">
        <v>9</v>
      </c>
      <c r="N136" s="5" t="s">
        <v>142</v>
      </c>
      <c r="O136" s="12">
        <v>459900</v>
      </c>
      <c r="P136" s="3">
        <f>(416*12+2580+304)/12</f>
        <v>656.33333333333337</v>
      </c>
      <c r="R136" s="3">
        <v>2075</v>
      </c>
      <c r="S136" s="12">
        <f t="shared" si="6"/>
        <v>64.625</v>
      </c>
      <c r="T136" s="3">
        <f t="shared" si="7"/>
        <v>2795.9583333333335</v>
      </c>
      <c r="U136" s="2">
        <f t="shared" si="8"/>
        <v>958787.5</v>
      </c>
    </row>
    <row r="137" spans="1:21" ht="13.8" x14ac:dyDescent="0.3">
      <c r="A137" s="6">
        <v>45444</v>
      </c>
      <c r="B137" s="2" t="s">
        <v>498</v>
      </c>
      <c r="C137" s="2" t="s">
        <v>4</v>
      </c>
      <c r="D137" s="2" t="s">
        <v>2</v>
      </c>
      <c r="E137" s="2" t="s">
        <v>375</v>
      </c>
      <c r="F137" s="2">
        <v>2024</v>
      </c>
      <c r="G137" s="2">
        <v>978</v>
      </c>
      <c r="H137" s="2">
        <v>978</v>
      </c>
      <c r="J137" s="2">
        <v>1</v>
      </c>
      <c r="K137" s="2">
        <v>2</v>
      </c>
      <c r="L137" s="2">
        <v>1</v>
      </c>
      <c r="M137" s="2">
        <v>7</v>
      </c>
      <c r="N137" s="5" t="s">
        <v>143</v>
      </c>
      <c r="O137" s="12">
        <v>459903</v>
      </c>
      <c r="P137" s="3">
        <f>200+200+30</f>
        <v>430</v>
      </c>
      <c r="Q137" s="2" t="s">
        <v>25</v>
      </c>
      <c r="R137" s="3">
        <v>2075</v>
      </c>
      <c r="S137" s="12">
        <f t="shared" si="6"/>
        <v>70.050000000000011</v>
      </c>
      <c r="T137" s="3">
        <f t="shared" si="7"/>
        <v>2575.0500000000002</v>
      </c>
      <c r="U137" s="2">
        <f t="shared" si="8"/>
        <v>892515</v>
      </c>
    </row>
    <row r="138" spans="1:21" ht="13.8" x14ac:dyDescent="0.3">
      <c r="A138" s="6">
        <v>45444</v>
      </c>
      <c r="B138" s="2" t="s">
        <v>499</v>
      </c>
      <c r="C138" s="2" t="s">
        <v>4</v>
      </c>
      <c r="D138" s="2" t="s">
        <v>2</v>
      </c>
      <c r="E138" s="2" t="s">
        <v>375</v>
      </c>
      <c r="F138" s="2">
        <v>2012</v>
      </c>
      <c r="G138" s="2">
        <v>841</v>
      </c>
      <c r="H138" s="2">
        <v>841</v>
      </c>
      <c r="J138" s="2">
        <v>1</v>
      </c>
      <c r="K138" s="2">
        <v>2</v>
      </c>
      <c r="L138" s="2">
        <v>2</v>
      </c>
      <c r="M138" s="2">
        <v>10</v>
      </c>
      <c r="N138" s="5" t="s">
        <v>144</v>
      </c>
      <c r="O138" s="12">
        <v>469000</v>
      </c>
      <c r="P138" s="3">
        <f>(4440+2561+299+744)/12</f>
        <v>670.33333333333337</v>
      </c>
      <c r="R138" s="3">
        <v>2130</v>
      </c>
      <c r="S138" s="12">
        <f t="shared" si="6"/>
        <v>62.058333333333337</v>
      </c>
      <c r="T138" s="3">
        <f t="shared" si="7"/>
        <v>2862.3916666666669</v>
      </c>
      <c r="U138" s="2">
        <f t="shared" si="8"/>
        <v>978717.50000000012</v>
      </c>
    </row>
    <row r="139" spans="1:21" ht="13.8" x14ac:dyDescent="0.3">
      <c r="A139" s="6">
        <v>45444</v>
      </c>
      <c r="B139" s="2" t="s">
        <v>500</v>
      </c>
      <c r="C139" s="2" t="s">
        <v>4</v>
      </c>
      <c r="D139" s="2" t="s">
        <v>2</v>
      </c>
      <c r="E139" s="2" t="s">
        <v>1734</v>
      </c>
      <c r="F139" s="2">
        <v>1850</v>
      </c>
      <c r="G139" s="2">
        <f>(16*13+11.8*5.9+11*12.2+12*6+11.5*12+12.6*8.3+12.4*7.3+17*7.6+8.5*9.5)*1.3</f>
        <v>1334.9309999999998</v>
      </c>
      <c r="H139" s="2">
        <v>2560</v>
      </c>
      <c r="J139" s="2">
        <v>2</v>
      </c>
      <c r="K139" s="2">
        <v>4</v>
      </c>
      <c r="L139" s="2">
        <v>2</v>
      </c>
      <c r="M139" s="2">
        <v>7</v>
      </c>
      <c r="N139" s="5" t="s">
        <v>145</v>
      </c>
      <c r="O139" s="12">
        <v>469000</v>
      </c>
      <c r="P139" s="3">
        <f>1431/12</f>
        <v>119.25</v>
      </c>
      <c r="R139" s="3">
        <v>2130</v>
      </c>
      <c r="S139" s="12">
        <f t="shared" si="6"/>
        <v>90.870975000000001</v>
      </c>
      <c r="T139" s="3">
        <f t="shared" si="7"/>
        <v>2340.1209749999998</v>
      </c>
      <c r="U139" s="2">
        <f t="shared" si="8"/>
        <v>822036.29249999998</v>
      </c>
    </row>
    <row r="140" spans="1:21" ht="13.8" x14ac:dyDescent="0.3">
      <c r="A140" s="6">
        <v>45444</v>
      </c>
      <c r="B140" s="2" t="s">
        <v>501</v>
      </c>
      <c r="C140" s="2" t="s">
        <v>4</v>
      </c>
      <c r="D140" s="2" t="s">
        <v>2</v>
      </c>
      <c r="E140" s="2" t="s">
        <v>375</v>
      </c>
      <c r="F140" s="2">
        <v>2024</v>
      </c>
      <c r="G140" s="2">
        <v>1022</v>
      </c>
      <c r="H140" s="2">
        <v>1022</v>
      </c>
      <c r="J140" s="2">
        <v>1</v>
      </c>
      <c r="K140" s="2">
        <v>2</v>
      </c>
      <c r="L140" s="2">
        <v>1</v>
      </c>
      <c r="M140" s="2">
        <v>7</v>
      </c>
      <c r="N140" s="5" t="s">
        <v>146</v>
      </c>
      <c r="O140" s="12">
        <v>479792</v>
      </c>
      <c r="P140" s="3">
        <f>200+200+30</f>
        <v>430</v>
      </c>
      <c r="Q140" s="2" t="s">
        <v>25</v>
      </c>
      <c r="R140" s="3">
        <v>2196</v>
      </c>
      <c r="S140" s="12">
        <f t="shared" si="6"/>
        <v>72.616666666666674</v>
      </c>
      <c r="T140" s="3">
        <f t="shared" si="7"/>
        <v>2698.6166666666668</v>
      </c>
      <c r="U140" s="2">
        <f t="shared" si="8"/>
        <v>929585</v>
      </c>
    </row>
    <row r="141" spans="1:21" ht="13.8" x14ac:dyDescent="0.3">
      <c r="A141" s="6">
        <v>45444</v>
      </c>
      <c r="B141" s="2" t="s">
        <v>502</v>
      </c>
      <c r="C141" s="2" t="s">
        <v>4</v>
      </c>
      <c r="D141" s="2" t="s">
        <v>2</v>
      </c>
      <c r="E141" s="2" t="s">
        <v>375</v>
      </c>
      <c r="F141" s="2">
        <v>2014</v>
      </c>
      <c r="G141" s="2">
        <v>833</v>
      </c>
      <c r="H141" s="2">
        <v>833</v>
      </c>
      <c r="J141" s="2">
        <v>1</v>
      </c>
      <c r="K141" s="2">
        <v>2</v>
      </c>
      <c r="L141" s="2">
        <v>1</v>
      </c>
      <c r="M141" s="2">
        <v>5</v>
      </c>
      <c r="N141" s="5" t="s">
        <v>147</v>
      </c>
      <c r="O141" s="12">
        <v>489000</v>
      </c>
      <c r="P141" s="3">
        <f>(2612+5436)/12</f>
        <v>670.66666666666663</v>
      </c>
      <c r="R141" s="3">
        <v>2252</v>
      </c>
      <c r="S141" s="12">
        <f t="shared" si="6"/>
        <v>61.591666666666669</v>
      </c>
      <c r="T141" s="3">
        <f t="shared" si="7"/>
        <v>2984.2583333333332</v>
      </c>
      <c r="U141" s="2">
        <f t="shared" si="8"/>
        <v>1015277.5</v>
      </c>
    </row>
    <row r="142" spans="1:21" ht="13.8" x14ac:dyDescent="0.3">
      <c r="A142" s="6">
        <v>45444</v>
      </c>
      <c r="B142" s="2" t="s">
        <v>503</v>
      </c>
      <c r="C142" s="2" t="s">
        <v>4</v>
      </c>
      <c r="D142" s="2" t="s">
        <v>2</v>
      </c>
      <c r="E142" s="2" t="s">
        <v>375</v>
      </c>
      <c r="F142" s="2">
        <v>2009</v>
      </c>
      <c r="G142" s="2">
        <v>801</v>
      </c>
      <c r="H142" s="2">
        <v>801</v>
      </c>
      <c r="J142" s="2">
        <v>1</v>
      </c>
      <c r="K142" s="2">
        <v>2</v>
      </c>
      <c r="L142" s="2">
        <v>1</v>
      </c>
      <c r="M142" s="2">
        <v>8</v>
      </c>
      <c r="N142" s="5" t="s">
        <v>148</v>
      </c>
      <c r="O142" s="12">
        <v>495000</v>
      </c>
      <c r="P142" s="3">
        <f>(248+2182+2976)/12</f>
        <v>450.5</v>
      </c>
      <c r="R142" s="3">
        <v>2289</v>
      </c>
      <c r="S142" s="12">
        <f t="shared" si="6"/>
        <v>59.725000000000001</v>
      </c>
      <c r="T142" s="3">
        <f t="shared" si="7"/>
        <v>2799.2249999999999</v>
      </c>
      <c r="U142" s="2">
        <f t="shared" si="8"/>
        <v>959767.49999999988</v>
      </c>
    </row>
    <row r="143" spans="1:21" ht="13.8" x14ac:dyDescent="0.3">
      <c r="A143" s="6">
        <v>45444</v>
      </c>
      <c r="B143" s="2" t="s">
        <v>504</v>
      </c>
      <c r="C143" s="2" t="s">
        <v>4</v>
      </c>
      <c r="D143" s="2" t="s">
        <v>2</v>
      </c>
      <c r="E143" s="2" t="s">
        <v>1734</v>
      </c>
      <c r="F143" s="2">
        <v>1930</v>
      </c>
      <c r="G143" s="7">
        <f>(9.7*4.7+11.3*8.3+17.9*10.3+11.4*8.8+8.2*7.4+11.8*9.9+10.8*11.3+11.1*5.4+18.7*12.9+9.5*6.4+28.9*8.9)*1.3</f>
        <v>1745.6270000000004</v>
      </c>
      <c r="H143" s="2">
        <v>3189</v>
      </c>
      <c r="J143" s="2">
        <v>1</v>
      </c>
      <c r="K143" s="2">
        <v>4</v>
      </c>
      <c r="L143" s="2">
        <v>2</v>
      </c>
      <c r="M143" s="2">
        <v>6</v>
      </c>
      <c r="N143" s="5" t="s">
        <v>149</v>
      </c>
      <c r="O143" s="12">
        <v>499000</v>
      </c>
      <c r="P143" s="3">
        <f>200+200+30</f>
        <v>430</v>
      </c>
      <c r="Q143" s="2" t="s">
        <v>25</v>
      </c>
      <c r="R143" s="3">
        <v>2313</v>
      </c>
      <c r="S143" s="12">
        <f t="shared" si="6"/>
        <v>114.8282416666667</v>
      </c>
      <c r="T143" s="3">
        <f t="shared" si="7"/>
        <v>2857.8282416666666</v>
      </c>
      <c r="U143" s="2">
        <f t="shared" si="8"/>
        <v>977348.47250000003</v>
      </c>
    </row>
    <row r="144" spans="1:21" ht="13.8" x14ac:dyDescent="0.3">
      <c r="A144" s="6">
        <v>45444</v>
      </c>
      <c r="B144" s="2" t="s">
        <v>505</v>
      </c>
      <c r="C144" s="2" t="s">
        <v>4</v>
      </c>
      <c r="D144" s="2" t="s">
        <v>2</v>
      </c>
      <c r="E144" s="2" t="s">
        <v>375</v>
      </c>
      <c r="F144" s="2">
        <v>1990</v>
      </c>
      <c r="G144" s="2">
        <v>1072</v>
      </c>
      <c r="H144" s="2">
        <v>1072</v>
      </c>
      <c r="J144" s="2">
        <v>1</v>
      </c>
      <c r="K144" s="2">
        <v>2</v>
      </c>
      <c r="L144" s="2">
        <v>1</v>
      </c>
      <c r="M144" s="2">
        <v>10</v>
      </c>
      <c r="N144" s="5" t="s">
        <v>150</v>
      </c>
      <c r="O144" s="12">
        <v>515000</v>
      </c>
      <c r="P144" s="3">
        <f>(391*12+303+2595)/12</f>
        <v>632.5</v>
      </c>
      <c r="R144" s="3">
        <v>2411</v>
      </c>
      <c r="S144" s="12">
        <f t="shared" si="6"/>
        <v>75.533333333333331</v>
      </c>
      <c r="T144" s="3">
        <f t="shared" si="7"/>
        <v>3119.0333333333333</v>
      </c>
      <c r="U144" s="2">
        <f t="shared" si="8"/>
        <v>1055710</v>
      </c>
    </row>
    <row r="145" spans="1:21" ht="13.8" x14ac:dyDescent="0.3">
      <c r="A145" s="6">
        <v>45444</v>
      </c>
      <c r="B145" s="2" t="s">
        <v>506</v>
      </c>
      <c r="C145" s="2" t="s">
        <v>4</v>
      </c>
      <c r="D145" s="2" t="s">
        <v>2</v>
      </c>
      <c r="E145" s="2" t="s">
        <v>1734</v>
      </c>
      <c r="F145" s="2">
        <v>1932</v>
      </c>
      <c r="G145" s="2">
        <f>721*1.3</f>
        <v>937.30000000000007</v>
      </c>
      <c r="H145" s="2">
        <v>3750</v>
      </c>
      <c r="J145" s="2">
        <v>1</v>
      </c>
      <c r="K145" s="2">
        <v>2</v>
      </c>
      <c r="L145" s="2">
        <v>1</v>
      </c>
      <c r="M145" s="2">
        <v>7</v>
      </c>
      <c r="N145" s="5" t="s">
        <v>151</v>
      </c>
      <c r="O145" s="12">
        <v>516000</v>
      </c>
      <c r="P145" s="3">
        <f>(2661+280)/12</f>
        <v>245.08333333333334</v>
      </c>
      <c r="R145" s="3">
        <v>2417</v>
      </c>
      <c r="S145" s="12">
        <f t="shared" si="6"/>
        <v>67.675833333333344</v>
      </c>
      <c r="T145" s="3">
        <f t="shared" si="7"/>
        <v>2729.7591666666667</v>
      </c>
      <c r="U145" s="2">
        <f t="shared" si="8"/>
        <v>938927.75</v>
      </c>
    </row>
    <row r="146" spans="1:21" ht="13.8" x14ac:dyDescent="0.3">
      <c r="A146" s="6">
        <v>45444</v>
      </c>
      <c r="B146" s="2" t="s">
        <v>507</v>
      </c>
      <c r="C146" s="2" t="s">
        <v>4</v>
      </c>
      <c r="D146" s="2" t="s">
        <v>2</v>
      </c>
      <c r="E146" s="2" t="s">
        <v>375</v>
      </c>
      <c r="F146" s="2">
        <v>2022</v>
      </c>
      <c r="G146" s="2">
        <v>869</v>
      </c>
      <c r="H146" s="2">
        <v>869</v>
      </c>
      <c r="J146" s="2">
        <v>1</v>
      </c>
      <c r="K146" s="2">
        <v>2</v>
      </c>
      <c r="L146" s="2">
        <v>2</v>
      </c>
      <c r="M146" s="2">
        <v>9</v>
      </c>
      <c r="N146" s="5" t="s">
        <v>152</v>
      </c>
      <c r="O146" s="12">
        <v>519000</v>
      </c>
      <c r="P146" s="3">
        <v>430</v>
      </c>
      <c r="Q146" s="2" t="s">
        <v>25</v>
      </c>
      <c r="R146" s="3">
        <v>2435</v>
      </c>
      <c r="S146" s="12">
        <f t="shared" si="6"/>
        <v>63.69166666666667</v>
      </c>
      <c r="T146" s="3">
        <f t="shared" si="7"/>
        <v>2928.6916666666666</v>
      </c>
      <c r="U146" s="2">
        <f t="shared" si="8"/>
        <v>998607.50000000012</v>
      </c>
    </row>
    <row r="147" spans="1:21" ht="13.8" x14ac:dyDescent="0.3">
      <c r="A147" s="6">
        <v>45444</v>
      </c>
      <c r="B147" s="2" t="s">
        <v>508</v>
      </c>
      <c r="C147" s="2" t="s">
        <v>4</v>
      </c>
      <c r="D147" s="2" t="s">
        <v>2</v>
      </c>
      <c r="E147" s="2" t="s">
        <v>375</v>
      </c>
      <c r="F147" s="2">
        <v>2019</v>
      </c>
      <c r="G147" s="2">
        <v>1183</v>
      </c>
      <c r="H147" s="2">
        <v>1183</v>
      </c>
      <c r="J147" s="2">
        <v>1</v>
      </c>
      <c r="K147" s="2">
        <v>3</v>
      </c>
      <c r="L147" s="2">
        <v>1</v>
      </c>
      <c r="M147" s="2">
        <v>11</v>
      </c>
      <c r="N147" s="5" t="s">
        <v>153</v>
      </c>
      <c r="O147" s="12">
        <v>519000</v>
      </c>
      <c r="P147" s="3">
        <f>(2638+336+200*12)/12</f>
        <v>447.83333333333331</v>
      </c>
      <c r="Q147" s="2" t="s">
        <v>25</v>
      </c>
      <c r="R147" s="3">
        <v>2435</v>
      </c>
      <c r="S147" s="12">
        <f t="shared" si="6"/>
        <v>82.00833333333334</v>
      </c>
      <c r="T147" s="3">
        <f t="shared" si="7"/>
        <v>2964.8416666666667</v>
      </c>
      <c r="U147" s="2">
        <f t="shared" si="8"/>
        <v>1009452.5</v>
      </c>
    </row>
    <row r="148" spans="1:21" ht="13.8" x14ac:dyDescent="0.3">
      <c r="A148" s="6">
        <v>45444</v>
      </c>
      <c r="B148" s="2" t="s">
        <v>509</v>
      </c>
      <c r="C148" s="2" t="s">
        <v>4</v>
      </c>
      <c r="D148" s="2" t="s">
        <v>2</v>
      </c>
      <c r="E148" s="2" t="s">
        <v>375</v>
      </c>
      <c r="F148" s="2">
        <v>1993</v>
      </c>
      <c r="G148" s="2">
        <v>826</v>
      </c>
      <c r="H148" s="2">
        <v>826</v>
      </c>
      <c r="J148" s="2">
        <v>1</v>
      </c>
      <c r="K148" s="2">
        <v>1</v>
      </c>
      <c r="L148" s="2">
        <v>1</v>
      </c>
      <c r="M148" s="2">
        <v>4</v>
      </c>
      <c r="N148" s="5" t="s">
        <v>154</v>
      </c>
      <c r="O148" s="12">
        <v>524000</v>
      </c>
      <c r="P148" s="3">
        <f>(2171+249+256*12)/12</f>
        <v>457.66666666666669</v>
      </c>
      <c r="R148" s="3">
        <v>2466</v>
      </c>
      <c r="S148" s="12">
        <f t="shared" si="6"/>
        <v>61.183333333333337</v>
      </c>
      <c r="T148" s="3">
        <f t="shared" si="7"/>
        <v>2984.85</v>
      </c>
      <c r="U148" s="2">
        <f t="shared" si="8"/>
        <v>1015454.9999999999</v>
      </c>
    </row>
    <row r="149" spans="1:21" ht="13.8" x14ac:dyDescent="0.3">
      <c r="A149" s="6">
        <v>45444</v>
      </c>
      <c r="B149" s="2" t="s">
        <v>510</v>
      </c>
      <c r="C149" s="2" t="s">
        <v>4</v>
      </c>
      <c r="D149" s="2" t="s">
        <v>2</v>
      </c>
      <c r="E149" s="2" t="s">
        <v>1734</v>
      </c>
      <c r="F149" s="2">
        <v>1915</v>
      </c>
      <c r="G149" s="2">
        <f>(14.2*17.3+10.9*12.9+8.3*9.8+10*9.6+10.1*12.3+9.3*12.3+8*10.9+8*9.4)*1.3*2</f>
        <v>2508.0380000000005</v>
      </c>
      <c r="H149" s="2">
        <v>2450</v>
      </c>
      <c r="J149" s="2">
        <v>2</v>
      </c>
      <c r="K149" s="2">
        <v>1</v>
      </c>
      <c r="L149" s="2">
        <v>1</v>
      </c>
      <c r="M149" s="2">
        <v>9</v>
      </c>
      <c r="N149" s="5" t="s">
        <v>155</v>
      </c>
      <c r="O149" s="12">
        <v>524900</v>
      </c>
      <c r="P149" s="3">
        <f>3442/12</f>
        <v>286.83333333333331</v>
      </c>
      <c r="R149" s="3">
        <v>2466</v>
      </c>
      <c r="S149" s="12">
        <f t="shared" si="6"/>
        <v>159.30221666666671</v>
      </c>
      <c r="T149" s="3">
        <f t="shared" si="7"/>
        <v>2912.13555</v>
      </c>
      <c r="U149" s="2">
        <f t="shared" si="8"/>
        <v>993640.66500000004</v>
      </c>
    </row>
    <row r="150" spans="1:21" ht="13.8" x14ac:dyDescent="0.3">
      <c r="A150" s="6">
        <v>45444</v>
      </c>
      <c r="B150" s="2" t="s">
        <v>511</v>
      </c>
      <c r="C150" s="2" t="s">
        <v>4</v>
      </c>
      <c r="D150" s="2" t="s">
        <v>2</v>
      </c>
      <c r="E150" s="2" t="s">
        <v>375</v>
      </c>
      <c r="F150" s="2">
        <v>1993</v>
      </c>
      <c r="G150" s="2">
        <v>1300</v>
      </c>
      <c r="H150" s="2">
        <v>1300</v>
      </c>
      <c r="J150" s="2">
        <v>2</v>
      </c>
      <c r="K150" s="2">
        <v>3</v>
      </c>
      <c r="L150" s="2">
        <v>1</v>
      </c>
      <c r="M150" s="2">
        <v>9</v>
      </c>
      <c r="N150" s="5" t="s">
        <v>156</v>
      </c>
      <c r="O150" s="12">
        <v>539000</v>
      </c>
      <c r="P150" s="3">
        <f>(2075+244+250*12)/12</f>
        <v>443.25</v>
      </c>
      <c r="R150" s="3">
        <v>2558</v>
      </c>
      <c r="S150" s="12">
        <f t="shared" si="6"/>
        <v>88.833333333333343</v>
      </c>
      <c r="T150" s="3">
        <f t="shared" si="7"/>
        <v>3090.0833333333335</v>
      </c>
      <c r="U150" s="2">
        <f t="shared" si="8"/>
        <v>1047025</v>
      </c>
    </row>
    <row r="151" spans="1:21" ht="13.8" x14ac:dyDescent="0.3">
      <c r="A151" s="6">
        <v>45444</v>
      </c>
      <c r="B151" s="2" t="s">
        <v>512</v>
      </c>
      <c r="C151" s="2" t="s">
        <v>4</v>
      </c>
      <c r="D151" s="2" t="s">
        <v>2</v>
      </c>
      <c r="E151" s="2" t="s">
        <v>375</v>
      </c>
      <c r="F151" s="2">
        <v>1993</v>
      </c>
      <c r="G151" s="2">
        <v>1195</v>
      </c>
      <c r="H151" s="2">
        <v>1195</v>
      </c>
      <c r="J151" s="2">
        <v>1</v>
      </c>
      <c r="K151" s="2">
        <v>3</v>
      </c>
      <c r="L151" s="2">
        <v>2</v>
      </c>
      <c r="M151" s="2">
        <v>8</v>
      </c>
      <c r="N151" s="5" t="s">
        <v>157</v>
      </c>
      <c r="O151" s="12">
        <v>549000</v>
      </c>
      <c r="P151" s="3">
        <f>(5376+2272+270)/12</f>
        <v>659.83333333333337</v>
      </c>
      <c r="R151" s="3">
        <v>2619</v>
      </c>
      <c r="S151" s="12">
        <f t="shared" si="6"/>
        <v>82.708333333333343</v>
      </c>
      <c r="T151" s="3">
        <f t="shared" si="7"/>
        <v>3361.541666666667</v>
      </c>
      <c r="U151" s="2">
        <f t="shared" si="8"/>
        <v>1128462.5</v>
      </c>
    </row>
    <row r="152" spans="1:21" ht="13.8" x14ac:dyDescent="0.3">
      <c r="A152" s="6">
        <v>45444</v>
      </c>
      <c r="B152" s="2" t="s">
        <v>513</v>
      </c>
      <c r="C152" s="2" t="s">
        <v>4</v>
      </c>
      <c r="D152" s="2" t="s">
        <v>2</v>
      </c>
      <c r="E152" s="2" t="s">
        <v>1734</v>
      </c>
      <c r="F152" s="2">
        <v>1993</v>
      </c>
      <c r="G152" s="2">
        <f>(14.9*13.7+10.8*6.9+16.5*7.6+14.6*11.5+7*8+7*5+18*12)*1.3</f>
        <v>1142.635</v>
      </c>
      <c r="H152" s="2">
        <v>1523</v>
      </c>
      <c r="J152" s="2">
        <v>2</v>
      </c>
      <c r="K152" s="2">
        <v>2</v>
      </c>
      <c r="L152" s="2">
        <v>2</v>
      </c>
      <c r="M152" s="2">
        <v>7</v>
      </c>
      <c r="N152" s="5" t="s">
        <v>158</v>
      </c>
      <c r="O152" s="12">
        <v>549900</v>
      </c>
      <c r="P152" s="3">
        <f>(2560+5700)/12</f>
        <v>688.33333333333337</v>
      </c>
      <c r="R152" s="3">
        <v>2624</v>
      </c>
      <c r="S152" s="12">
        <f t="shared" si="6"/>
        <v>79.653708333333341</v>
      </c>
      <c r="T152" s="3">
        <f t="shared" si="7"/>
        <v>3391.9870416666668</v>
      </c>
      <c r="U152" s="2">
        <f t="shared" si="8"/>
        <v>1137596.1124999998</v>
      </c>
    </row>
    <row r="153" spans="1:21" ht="13.8" x14ac:dyDescent="0.3">
      <c r="A153" s="6">
        <v>45444</v>
      </c>
      <c r="B153" s="2" t="s">
        <v>514</v>
      </c>
      <c r="C153" s="2" t="s">
        <v>4</v>
      </c>
      <c r="D153" s="2" t="s">
        <v>2</v>
      </c>
      <c r="E153" s="2" t="s">
        <v>375</v>
      </c>
      <c r="F153" s="2">
        <v>2022</v>
      </c>
      <c r="G153" s="2">
        <v>863</v>
      </c>
      <c r="H153" s="2">
        <v>863</v>
      </c>
      <c r="J153" s="2">
        <v>1</v>
      </c>
      <c r="K153" s="2">
        <v>2</v>
      </c>
      <c r="L153" s="2">
        <v>2</v>
      </c>
      <c r="M153" s="2">
        <v>7</v>
      </c>
      <c r="N153" s="5" t="s">
        <v>159</v>
      </c>
      <c r="O153" s="12">
        <v>549999</v>
      </c>
      <c r="P153" s="3">
        <f>(5424+3279+432)/12</f>
        <v>761.25</v>
      </c>
      <c r="R153" s="3">
        <v>2625</v>
      </c>
      <c r="S153" s="12">
        <f t="shared" si="6"/>
        <v>63.341666666666669</v>
      </c>
      <c r="T153" s="3">
        <f t="shared" si="7"/>
        <v>3449.5916666666667</v>
      </c>
      <c r="U153" s="2">
        <f t="shared" si="8"/>
        <v>1154877.5</v>
      </c>
    </row>
    <row r="154" spans="1:21" ht="13.8" x14ac:dyDescent="0.3">
      <c r="A154" s="6">
        <v>45444</v>
      </c>
      <c r="B154" s="2" t="s">
        <v>515</v>
      </c>
      <c r="C154" s="2" t="s">
        <v>4</v>
      </c>
      <c r="D154" s="2" t="s">
        <v>2</v>
      </c>
      <c r="E154" s="2" t="s">
        <v>375</v>
      </c>
      <c r="F154" s="2">
        <v>1993</v>
      </c>
      <c r="G154" s="2">
        <f>94.9*3.28^2</f>
        <v>1020.9721599999999</v>
      </c>
      <c r="H154" s="2">
        <f>94.9*3.28^2</f>
        <v>1020.9721599999999</v>
      </c>
      <c r="J154" s="2">
        <v>1</v>
      </c>
      <c r="K154" s="2">
        <v>2</v>
      </c>
      <c r="L154" s="2">
        <v>1</v>
      </c>
      <c r="M154" s="2">
        <v>6</v>
      </c>
      <c r="N154" s="5" t="s">
        <v>160</v>
      </c>
      <c r="O154" s="12">
        <v>589000</v>
      </c>
      <c r="P154" s="3">
        <f>(2824+336+300*12)/12</f>
        <v>563.33333333333337</v>
      </c>
      <c r="Q154" s="2" t="s">
        <v>25</v>
      </c>
      <c r="R154" s="3">
        <v>2863</v>
      </c>
      <c r="S154" s="12">
        <f t="shared" si="6"/>
        <v>72.556709333333345</v>
      </c>
      <c r="T154" s="3">
        <f t="shared" si="7"/>
        <v>3498.8900426666669</v>
      </c>
      <c r="U154" s="2">
        <f t="shared" si="8"/>
        <v>1169667.0128000001</v>
      </c>
    </row>
    <row r="155" spans="1:21" ht="13.8" x14ac:dyDescent="0.3">
      <c r="A155" s="6">
        <v>45444</v>
      </c>
      <c r="B155" s="2" t="s">
        <v>516</v>
      </c>
      <c r="C155" s="2" t="s">
        <v>4</v>
      </c>
      <c r="D155" s="2" t="s">
        <v>2</v>
      </c>
      <c r="E155" s="2" t="s">
        <v>1734</v>
      </c>
      <c r="F155" s="2">
        <v>1924</v>
      </c>
      <c r="G155" s="2">
        <f>(5.9*4.4+14.4*11.1+12.8*14.2+6.2*7.4+10.9*11+10.4*12+10.9*11.9)*2*1.3</f>
        <v>2048.4100000000003</v>
      </c>
      <c r="H155" s="2">
        <v>2280</v>
      </c>
      <c r="I155" s="2" t="s">
        <v>25</v>
      </c>
      <c r="J155" s="2">
        <v>2</v>
      </c>
      <c r="K155" s="2">
        <v>3</v>
      </c>
      <c r="L155" s="2">
        <v>1</v>
      </c>
      <c r="M155" s="2">
        <v>12</v>
      </c>
      <c r="N155" s="5" t="s">
        <v>161</v>
      </c>
      <c r="O155" s="12">
        <v>599000</v>
      </c>
      <c r="P155" s="3">
        <f>(3049+377)/12</f>
        <v>285.5</v>
      </c>
      <c r="R155" s="3">
        <v>2923.78</v>
      </c>
      <c r="S155" s="12">
        <f t="shared" si="6"/>
        <v>132.49058333333335</v>
      </c>
      <c r="T155" s="3">
        <f t="shared" si="7"/>
        <v>3341.7705833333334</v>
      </c>
      <c r="U155" s="2">
        <f t="shared" si="8"/>
        <v>1122531.175</v>
      </c>
    </row>
    <row r="156" spans="1:21" ht="13.8" x14ac:dyDescent="0.3">
      <c r="A156" s="6">
        <v>45444</v>
      </c>
      <c r="B156" s="2" t="s">
        <v>517</v>
      </c>
      <c r="C156" s="2" t="s">
        <v>4</v>
      </c>
      <c r="D156" s="2" t="s">
        <v>162</v>
      </c>
      <c r="E156" s="2" t="s">
        <v>375</v>
      </c>
      <c r="F156" s="2">
        <v>1988</v>
      </c>
      <c r="G156" s="2">
        <v>386</v>
      </c>
      <c r="H156" s="2">
        <v>386</v>
      </c>
      <c r="J156" s="2">
        <v>1</v>
      </c>
      <c r="K156" s="2">
        <v>1</v>
      </c>
      <c r="L156" s="2">
        <v>1</v>
      </c>
      <c r="M156" s="2">
        <v>3</v>
      </c>
      <c r="N156" s="5" t="s">
        <v>163</v>
      </c>
      <c r="O156" s="12">
        <v>199000</v>
      </c>
      <c r="P156" s="3">
        <f>100+100+10</f>
        <v>210</v>
      </c>
      <c r="Q156" s="2" t="s">
        <v>25</v>
      </c>
      <c r="R156" s="3">
        <v>482.21</v>
      </c>
      <c r="S156" s="12">
        <f t="shared" si="6"/>
        <v>35.516666666666666</v>
      </c>
      <c r="T156" s="3">
        <f t="shared" si="7"/>
        <v>727.72666666666669</v>
      </c>
      <c r="U156" s="2">
        <f t="shared" si="8"/>
        <v>338318</v>
      </c>
    </row>
    <row r="157" spans="1:21" ht="13.8" x14ac:dyDescent="0.3">
      <c r="A157" s="6">
        <v>45444</v>
      </c>
      <c r="B157" s="2" t="s">
        <v>518</v>
      </c>
      <c r="C157" s="2" t="s">
        <v>4</v>
      </c>
      <c r="D157" s="2" t="s">
        <v>162</v>
      </c>
      <c r="E157" s="2" t="s">
        <v>375</v>
      </c>
      <c r="F157" s="2">
        <v>1975</v>
      </c>
      <c r="G157" s="2">
        <v>593</v>
      </c>
      <c r="H157" s="2">
        <v>593</v>
      </c>
      <c r="J157" s="2">
        <v>1</v>
      </c>
      <c r="K157" s="2">
        <v>1</v>
      </c>
      <c r="L157" s="2">
        <v>1</v>
      </c>
      <c r="M157" s="2">
        <v>4</v>
      </c>
      <c r="N157" s="5" t="s">
        <v>164</v>
      </c>
      <c r="O157" s="12">
        <v>238000</v>
      </c>
      <c r="P157" s="3">
        <f>(1447+4524)/12</f>
        <v>497.58333333333331</v>
      </c>
      <c r="R157" s="3">
        <v>720.26</v>
      </c>
      <c r="S157" s="12">
        <f t="shared" si="6"/>
        <v>47.591666666666669</v>
      </c>
      <c r="T157" s="3">
        <f t="shared" si="7"/>
        <v>1265.4349999999999</v>
      </c>
      <c r="U157" s="2">
        <f t="shared" si="8"/>
        <v>499630.5</v>
      </c>
    </row>
    <row r="158" spans="1:21" ht="13.8" x14ac:dyDescent="0.3">
      <c r="A158" s="6">
        <v>45444</v>
      </c>
      <c r="B158" s="2" t="s">
        <v>519</v>
      </c>
      <c r="C158" s="2" t="s">
        <v>4</v>
      </c>
      <c r="D158" s="2" t="s">
        <v>162</v>
      </c>
      <c r="E158" s="2" t="s">
        <v>375</v>
      </c>
      <c r="F158" s="2">
        <v>2010</v>
      </c>
      <c r="G158" s="2">
        <v>733</v>
      </c>
      <c r="H158" s="2">
        <v>733</v>
      </c>
      <c r="J158" s="2">
        <v>1</v>
      </c>
      <c r="K158" s="2">
        <v>1</v>
      </c>
      <c r="L158" s="2">
        <v>1</v>
      </c>
      <c r="M158" s="2">
        <v>8</v>
      </c>
      <c r="N158" s="5" t="s">
        <v>165</v>
      </c>
      <c r="O158" s="12">
        <v>250000</v>
      </c>
      <c r="P158" s="3">
        <f>(2464+8868)/12</f>
        <v>944.33333333333337</v>
      </c>
      <c r="R158" s="3">
        <v>793.51</v>
      </c>
      <c r="S158" s="12">
        <f t="shared" si="6"/>
        <v>55.758333333333333</v>
      </c>
      <c r="T158" s="3">
        <f t="shared" si="7"/>
        <v>1793.6016666666667</v>
      </c>
      <c r="U158" s="2">
        <f t="shared" si="8"/>
        <v>658080.5</v>
      </c>
    </row>
    <row r="159" spans="1:21" ht="13.8" x14ac:dyDescent="0.3">
      <c r="A159" s="6">
        <v>45444</v>
      </c>
      <c r="B159" s="2" t="s">
        <v>520</v>
      </c>
      <c r="C159" s="2" t="s">
        <v>4</v>
      </c>
      <c r="D159" s="2" t="s">
        <v>162</v>
      </c>
      <c r="E159" s="2" t="s">
        <v>375</v>
      </c>
      <c r="F159" s="2">
        <v>1977</v>
      </c>
      <c r="G159" s="2">
        <v>593</v>
      </c>
      <c r="H159" s="2">
        <v>593</v>
      </c>
      <c r="J159" s="2">
        <v>1</v>
      </c>
      <c r="K159" s="2">
        <v>1</v>
      </c>
      <c r="L159" s="2">
        <v>1</v>
      </c>
      <c r="M159" s="2">
        <v>5</v>
      </c>
      <c r="N159" s="5" t="s">
        <v>166</v>
      </c>
      <c r="O159" s="12">
        <v>269000</v>
      </c>
      <c r="P159" s="3">
        <v>593</v>
      </c>
      <c r="R159" s="3">
        <v>909.48</v>
      </c>
      <c r="S159" s="12">
        <f t="shared" si="6"/>
        <v>47.591666666666669</v>
      </c>
      <c r="T159" s="3">
        <f t="shared" si="7"/>
        <v>1550.0716666666667</v>
      </c>
      <c r="U159" s="2">
        <f t="shared" si="8"/>
        <v>585021.5</v>
      </c>
    </row>
    <row r="160" spans="1:21" ht="13.8" x14ac:dyDescent="0.3">
      <c r="A160" s="6">
        <v>45444</v>
      </c>
      <c r="B160" s="2" t="s">
        <v>521</v>
      </c>
      <c r="C160" s="2" t="s">
        <v>4</v>
      </c>
      <c r="D160" s="2" t="s">
        <v>162</v>
      </c>
      <c r="E160" s="2" t="s">
        <v>375</v>
      </c>
      <c r="F160" s="2">
        <v>2010</v>
      </c>
      <c r="G160" s="2">
        <v>732</v>
      </c>
      <c r="H160" s="2">
        <v>732</v>
      </c>
      <c r="J160" s="2">
        <v>1</v>
      </c>
      <c r="K160" s="2">
        <v>1</v>
      </c>
      <c r="L160" s="2">
        <v>1</v>
      </c>
      <c r="M160" s="2">
        <v>5</v>
      </c>
      <c r="N160" s="5" t="s">
        <v>167</v>
      </c>
      <c r="O160" s="12">
        <v>269500</v>
      </c>
      <c r="P160" s="3">
        <f>200+150+20</f>
        <v>370</v>
      </c>
      <c r="Q160" s="2" t="s">
        <v>25</v>
      </c>
      <c r="R160" s="3">
        <v>913</v>
      </c>
      <c r="S160" s="12">
        <f t="shared" si="6"/>
        <v>55.70000000000001</v>
      </c>
      <c r="T160" s="3">
        <f t="shared" si="7"/>
        <v>1338.7</v>
      </c>
      <c r="U160" s="2">
        <f t="shared" si="8"/>
        <v>521610.00000000006</v>
      </c>
    </row>
    <row r="161" spans="1:21" ht="13.8" x14ac:dyDescent="0.3">
      <c r="A161" s="6">
        <v>45444</v>
      </c>
      <c r="B161" s="2" t="s">
        <v>522</v>
      </c>
      <c r="C161" s="2" t="s">
        <v>4</v>
      </c>
      <c r="D161" s="2" t="s">
        <v>162</v>
      </c>
      <c r="E161" s="2" t="s">
        <v>375</v>
      </c>
      <c r="F161" s="2">
        <v>1978</v>
      </c>
      <c r="G161" s="2">
        <v>778</v>
      </c>
      <c r="H161" s="2">
        <v>778</v>
      </c>
      <c r="J161" s="2">
        <v>1</v>
      </c>
      <c r="K161" s="2">
        <v>2</v>
      </c>
      <c r="L161" s="2">
        <v>1</v>
      </c>
      <c r="M161" s="2">
        <v>6</v>
      </c>
      <c r="N161" s="5" t="s">
        <v>168</v>
      </c>
      <c r="O161" s="12">
        <v>299000</v>
      </c>
      <c r="P161" s="3">
        <f>(1936+3372)/12</f>
        <v>442.33333333333331</v>
      </c>
      <c r="R161" s="3">
        <v>1092.5999999999999</v>
      </c>
      <c r="S161" s="12">
        <f t="shared" si="6"/>
        <v>58.383333333333333</v>
      </c>
      <c r="T161" s="3">
        <f t="shared" si="7"/>
        <v>1593.3166666666666</v>
      </c>
      <c r="U161" s="2">
        <f t="shared" si="8"/>
        <v>597995</v>
      </c>
    </row>
    <row r="162" spans="1:21" ht="13.8" x14ac:dyDescent="0.3">
      <c r="A162" s="6">
        <v>45444</v>
      </c>
      <c r="B162" s="2" t="s">
        <v>523</v>
      </c>
      <c r="C162" s="2" t="s">
        <v>4</v>
      </c>
      <c r="D162" s="2" t="s">
        <v>162</v>
      </c>
      <c r="E162" s="2" t="s">
        <v>375</v>
      </c>
      <c r="F162" s="2">
        <v>2010</v>
      </c>
      <c r="G162" s="2">
        <v>623</v>
      </c>
      <c r="H162" s="2">
        <v>623</v>
      </c>
      <c r="J162" s="2">
        <v>1</v>
      </c>
      <c r="K162" s="2">
        <v>1</v>
      </c>
      <c r="L162" s="2">
        <v>1</v>
      </c>
      <c r="M162" s="2">
        <v>5</v>
      </c>
      <c r="N162" s="5" t="s">
        <v>169</v>
      </c>
      <c r="O162" s="12">
        <v>299000</v>
      </c>
      <c r="P162" s="3">
        <f>(2448+8820)/12</f>
        <v>939</v>
      </c>
      <c r="R162" s="3">
        <v>1093</v>
      </c>
      <c r="S162" s="12">
        <f t="shared" si="6"/>
        <v>49.341666666666669</v>
      </c>
      <c r="T162" s="3">
        <f t="shared" si="7"/>
        <v>2081.3416666666667</v>
      </c>
      <c r="U162" s="2">
        <f t="shared" si="8"/>
        <v>744402.5</v>
      </c>
    </row>
    <row r="163" spans="1:21" ht="13.8" x14ac:dyDescent="0.3">
      <c r="A163" s="6">
        <v>45444</v>
      </c>
      <c r="B163" s="2" t="s">
        <v>524</v>
      </c>
      <c r="C163" s="2" t="s">
        <v>4</v>
      </c>
      <c r="D163" s="2" t="s">
        <v>162</v>
      </c>
      <c r="E163" s="2" t="s">
        <v>375</v>
      </c>
      <c r="F163" s="2">
        <v>1989</v>
      </c>
      <c r="G163" s="2">
        <v>953</v>
      </c>
      <c r="H163" s="2">
        <v>953</v>
      </c>
      <c r="J163" s="2">
        <v>1</v>
      </c>
      <c r="K163" s="2">
        <v>2</v>
      </c>
      <c r="L163" s="2">
        <v>1</v>
      </c>
      <c r="M163" s="2">
        <v>4</v>
      </c>
      <c r="N163" s="5" t="s">
        <v>170</v>
      </c>
      <c r="O163" s="12">
        <v>299500</v>
      </c>
      <c r="P163" s="3">
        <f>(3096+1508+187)/12</f>
        <v>399.25</v>
      </c>
      <c r="R163" s="3">
        <v>1096</v>
      </c>
      <c r="S163" s="12">
        <f t="shared" si="6"/>
        <v>68.591666666666669</v>
      </c>
      <c r="T163" s="3">
        <f t="shared" si="7"/>
        <v>1563.8416666666667</v>
      </c>
      <c r="U163" s="2">
        <f t="shared" si="8"/>
        <v>589152.5</v>
      </c>
    </row>
    <row r="164" spans="1:21" ht="13.8" x14ac:dyDescent="0.3">
      <c r="A164" s="6">
        <v>45444</v>
      </c>
      <c r="B164" s="2" t="s">
        <v>525</v>
      </c>
      <c r="C164" s="2" t="s">
        <v>4</v>
      </c>
      <c r="D164" s="2" t="s">
        <v>162</v>
      </c>
      <c r="E164" s="2" t="s">
        <v>375</v>
      </c>
      <c r="F164" s="2">
        <v>1988</v>
      </c>
      <c r="G164" s="2">
        <v>930</v>
      </c>
      <c r="H164" s="2">
        <v>930</v>
      </c>
      <c r="J164" s="2">
        <v>1</v>
      </c>
      <c r="K164" s="2">
        <v>2</v>
      </c>
      <c r="L164" s="2">
        <v>1</v>
      </c>
      <c r="M164" s="2">
        <v>7</v>
      </c>
      <c r="N164" s="5" t="s">
        <v>171</v>
      </c>
      <c r="O164" s="12">
        <v>299999</v>
      </c>
      <c r="P164" s="3">
        <f>(2006+1836)/12</f>
        <v>320.16666666666669</v>
      </c>
      <c r="R164" s="3">
        <v>1099</v>
      </c>
      <c r="S164" s="12">
        <f t="shared" si="6"/>
        <v>67.25</v>
      </c>
      <c r="T164" s="3">
        <f t="shared" si="7"/>
        <v>1486.4166666666667</v>
      </c>
      <c r="U164" s="2">
        <f t="shared" si="8"/>
        <v>565925</v>
      </c>
    </row>
    <row r="165" spans="1:21" ht="13.8" x14ac:dyDescent="0.3">
      <c r="A165" s="6">
        <v>45444</v>
      </c>
      <c r="B165" s="2" t="s">
        <v>526</v>
      </c>
      <c r="C165" s="2" t="s">
        <v>4</v>
      </c>
      <c r="D165" s="2" t="s">
        <v>162</v>
      </c>
      <c r="E165" s="2" t="s">
        <v>375</v>
      </c>
      <c r="F165" s="2">
        <v>2018</v>
      </c>
      <c r="G165" s="2">
        <v>604</v>
      </c>
      <c r="H165" s="2">
        <v>604</v>
      </c>
      <c r="J165" s="2">
        <v>1</v>
      </c>
      <c r="K165" s="2">
        <v>1</v>
      </c>
      <c r="L165" s="2">
        <v>1</v>
      </c>
      <c r="M165" s="2">
        <v>4</v>
      </c>
      <c r="N165" s="5" t="s">
        <v>172</v>
      </c>
      <c r="O165" s="12">
        <v>315000</v>
      </c>
      <c r="P165" s="3">
        <f>(2230+3060)/12</f>
        <v>440.83333333333331</v>
      </c>
      <c r="R165" s="3">
        <v>1190</v>
      </c>
      <c r="S165" s="12">
        <f t="shared" si="6"/>
        <v>48.233333333333341</v>
      </c>
      <c r="T165" s="3">
        <f t="shared" si="7"/>
        <v>1679.0666666666666</v>
      </c>
      <c r="U165" s="2">
        <f t="shared" si="8"/>
        <v>623720</v>
      </c>
    </row>
    <row r="166" spans="1:21" ht="13.8" x14ac:dyDescent="0.3">
      <c r="A166" s="6">
        <v>45444</v>
      </c>
      <c r="B166" s="2" t="s">
        <v>527</v>
      </c>
      <c r="C166" s="2" t="s">
        <v>4</v>
      </c>
      <c r="D166" s="2" t="s">
        <v>162</v>
      </c>
      <c r="E166" s="2" t="s">
        <v>375</v>
      </c>
      <c r="F166" s="2">
        <v>2011</v>
      </c>
      <c r="G166" s="2">
        <v>696</v>
      </c>
      <c r="H166" s="2">
        <v>696</v>
      </c>
      <c r="J166" s="2">
        <v>1</v>
      </c>
      <c r="K166" s="2">
        <v>1</v>
      </c>
      <c r="L166" s="2">
        <v>1</v>
      </c>
      <c r="M166" s="2">
        <v>6</v>
      </c>
      <c r="N166" s="5" t="s">
        <v>173</v>
      </c>
      <c r="O166" s="12">
        <v>319000</v>
      </c>
      <c r="P166" s="3">
        <f>(2008+177+2185)/12</f>
        <v>364.16666666666669</v>
      </c>
      <c r="R166" s="3">
        <v>1215</v>
      </c>
      <c r="S166" s="12">
        <f t="shared" si="6"/>
        <v>53.6</v>
      </c>
      <c r="T166" s="3">
        <f t="shared" si="7"/>
        <v>1632.7666666666667</v>
      </c>
      <c r="U166" s="2">
        <f t="shared" si="8"/>
        <v>609830</v>
      </c>
    </row>
    <row r="167" spans="1:21" ht="13.8" x14ac:dyDescent="0.3">
      <c r="A167" s="6">
        <v>45444</v>
      </c>
      <c r="B167" s="2" t="s">
        <v>528</v>
      </c>
      <c r="C167" s="2" t="s">
        <v>4</v>
      </c>
      <c r="D167" s="2" t="s">
        <v>162</v>
      </c>
      <c r="E167" s="2" t="s">
        <v>375</v>
      </c>
      <c r="F167" s="2">
        <v>1977</v>
      </c>
      <c r="G167" s="2">
        <v>833</v>
      </c>
      <c r="H167" s="2">
        <v>833</v>
      </c>
      <c r="J167" s="2">
        <v>1</v>
      </c>
      <c r="K167" s="2">
        <v>2</v>
      </c>
      <c r="L167" s="2">
        <v>1</v>
      </c>
      <c r="M167" s="2">
        <v>5</v>
      </c>
      <c r="N167" s="5" t="s">
        <v>174</v>
      </c>
      <c r="O167" s="12">
        <v>319900</v>
      </c>
      <c r="P167" s="3">
        <f>(1821+5988)/12</f>
        <v>650.75</v>
      </c>
      <c r="R167" s="3">
        <v>1220.17</v>
      </c>
      <c r="S167" s="12">
        <f t="shared" si="6"/>
        <v>61.591666666666669</v>
      </c>
      <c r="T167" s="3">
        <f t="shared" si="7"/>
        <v>1932.5116666666668</v>
      </c>
      <c r="U167" s="2">
        <f t="shared" si="8"/>
        <v>699753.5</v>
      </c>
    </row>
    <row r="168" spans="1:21" ht="13.8" x14ac:dyDescent="0.3">
      <c r="A168" s="6">
        <v>45444</v>
      </c>
      <c r="B168" s="2" t="s">
        <v>529</v>
      </c>
      <c r="C168" s="2" t="s">
        <v>4</v>
      </c>
      <c r="D168" s="2" t="s">
        <v>162</v>
      </c>
      <c r="E168" s="2" t="s">
        <v>375</v>
      </c>
      <c r="F168" s="2">
        <v>1978</v>
      </c>
      <c r="G168" s="2">
        <v>995</v>
      </c>
      <c r="H168" s="2">
        <v>995</v>
      </c>
      <c r="J168" s="2">
        <v>1</v>
      </c>
      <c r="K168" s="2">
        <v>3</v>
      </c>
      <c r="L168" s="2">
        <v>1</v>
      </c>
      <c r="M168" s="2">
        <v>8</v>
      </c>
      <c r="N168" s="5" t="s">
        <v>175</v>
      </c>
      <c r="O168" s="12">
        <v>319900</v>
      </c>
      <c r="P168" s="3">
        <f>(2026+185+358*12)/12</f>
        <v>542.25</v>
      </c>
      <c r="R168" s="3">
        <v>1220</v>
      </c>
      <c r="S168" s="12">
        <f t="shared" si="6"/>
        <v>71.041666666666686</v>
      </c>
      <c r="T168" s="3">
        <f t="shared" si="7"/>
        <v>1833.2916666666667</v>
      </c>
      <c r="U168" s="2">
        <f t="shared" si="8"/>
        <v>669987.5</v>
      </c>
    </row>
    <row r="169" spans="1:21" ht="13.8" x14ac:dyDescent="0.3">
      <c r="A169" s="6">
        <v>45444</v>
      </c>
      <c r="B169" s="2" t="s">
        <v>530</v>
      </c>
      <c r="C169" s="2" t="s">
        <v>4</v>
      </c>
      <c r="D169" s="2" t="s">
        <v>162</v>
      </c>
      <c r="E169" s="2" t="s">
        <v>375</v>
      </c>
      <c r="F169" s="2">
        <v>2017</v>
      </c>
      <c r="G169" s="2">
        <v>624</v>
      </c>
      <c r="H169" s="2">
        <v>624</v>
      </c>
      <c r="J169" s="2">
        <v>1</v>
      </c>
      <c r="K169" s="2">
        <v>1</v>
      </c>
      <c r="L169" s="2">
        <v>1</v>
      </c>
      <c r="M169" s="2">
        <v>3</v>
      </c>
      <c r="N169" s="5" t="s">
        <v>176</v>
      </c>
      <c r="O169" s="12">
        <v>324999</v>
      </c>
      <c r="P169" s="3">
        <f>(2089+2340)/12</f>
        <v>369.08333333333331</v>
      </c>
      <c r="R169" s="3">
        <v>1251</v>
      </c>
      <c r="S169" s="12">
        <f t="shared" si="6"/>
        <v>49.400000000000006</v>
      </c>
      <c r="T169" s="3">
        <f t="shared" si="7"/>
        <v>1669.4833333333333</v>
      </c>
      <c r="U169" s="2">
        <f t="shared" si="8"/>
        <v>620845</v>
      </c>
    </row>
    <row r="170" spans="1:21" ht="13.8" x14ac:dyDescent="0.3">
      <c r="A170" s="6">
        <v>45444</v>
      </c>
      <c r="B170" s="2" t="s">
        <v>531</v>
      </c>
      <c r="C170" s="2" t="s">
        <v>4</v>
      </c>
      <c r="D170" s="2" t="s">
        <v>162</v>
      </c>
      <c r="E170" s="2" t="s">
        <v>375</v>
      </c>
      <c r="F170" s="2">
        <v>1990</v>
      </c>
      <c r="G170" s="2">
        <v>1055</v>
      </c>
      <c r="H170" s="2">
        <v>1055</v>
      </c>
      <c r="J170" s="2">
        <v>1</v>
      </c>
      <c r="K170" s="2">
        <v>2</v>
      </c>
      <c r="L170" s="2">
        <v>1</v>
      </c>
      <c r="M170" s="2">
        <v>7</v>
      </c>
      <c r="N170" s="5" t="s">
        <v>177</v>
      </c>
      <c r="O170" s="12">
        <v>329000</v>
      </c>
      <c r="P170" s="3">
        <f>(2540+1800)/12</f>
        <v>361.66666666666669</v>
      </c>
      <c r="R170" s="3">
        <v>1276</v>
      </c>
      <c r="S170" s="12">
        <f t="shared" si="6"/>
        <v>74.541666666666686</v>
      </c>
      <c r="T170" s="3">
        <f t="shared" si="7"/>
        <v>1712.2083333333335</v>
      </c>
      <c r="U170" s="2">
        <f t="shared" si="8"/>
        <v>633662.5</v>
      </c>
    </row>
    <row r="171" spans="1:21" ht="13.8" x14ac:dyDescent="0.3">
      <c r="A171" s="6">
        <v>45444</v>
      </c>
      <c r="B171" s="2" t="s">
        <v>532</v>
      </c>
      <c r="C171" s="2" t="s">
        <v>4</v>
      </c>
      <c r="D171" s="2" t="s">
        <v>162</v>
      </c>
      <c r="E171" s="2" t="s">
        <v>375</v>
      </c>
      <c r="F171" s="2">
        <v>1991</v>
      </c>
      <c r="G171" s="2">
        <v>965</v>
      </c>
      <c r="H171" s="2">
        <v>965</v>
      </c>
      <c r="J171" s="2">
        <v>1</v>
      </c>
      <c r="K171" s="2">
        <v>2</v>
      </c>
      <c r="L171" s="2">
        <v>1</v>
      </c>
      <c r="M171" s="2">
        <v>9</v>
      </c>
      <c r="N171" s="5" t="s">
        <v>178</v>
      </c>
      <c r="O171" s="12">
        <v>339000</v>
      </c>
      <c r="P171" s="3">
        <f>(3900+178+1957)/12</f>
        <v>502.91666666666669</v>
      </c>
      <c r="R171" s="3">
        <v>1337</v>
      </c>
      <c r="S171" s="12">
        <f t="shared" si="6"/>
        <v>69.291666666666686</v>
      </c>
      <c r="T171" s="3">
        <f t="shared" si="7"/>
        <v>1909.2083333333335</v>
      </c>
      <c r="U171" s="2">
        <f t="shared" si="8"/>
        <v>692762.5</v>
      </c>
    </row>
    <row r="172" spans="1:21" ht="13.8" x14ac:dyDescent="0.3">
      <c r="A172" s="6">
        <v>45444</v>
      </c>
      <c r="B172" s="2" t="s">
        <v>533</v>
      </c>
      <c r="C172" s="2" t="s">
        <v>4</v>
      </c>
      <c r="D172" s="2" t="s">
        <v>162</v>
      </c>
      <c r="E172" s="2" t="s">
        <v>375</v>
      </c>
      <c r="F172" s="2">
        <v>1990</v>
      </c>
      <c r="G172" s="2">
        <v>961</v>
      </c>
      <c r="H172" s="2">
        <v>961</v>
      </c>
      <c r="J172" s="2">
        <v>1</v>
      </c>
      <c r="K172" s="2">
        <v>2</v>
      </c>
      <c r="L172" s="2">
        <v>1</v>
      </c>
      <c r="M172" s="2">
        <v>9</v>
      </c>
      <c r="N172" s="5" t="s">
        <v>179</v>
      </c>
      <c r="O172" s="12">
        <v>339900</v>
      </c>
      <c r="P172" s="3">
        <f>(2166+3900)/12</f>
        <v>505.5</v>
      </c>
      <c r="R172" s="3">
        <v>1342</v>
      </c>
      <c r="S172" s="12">
        <f t="shared" si="6"/>
        <v>69.058333333333337</v>
      </c>
      <c r="T172" s="3">
        <f t="shared" si="7"/>
        <v>1916.5583333333334</v>
      </c>
      <c r="U172" s="2">
        <f t="shared" si="8"/>
        <v>694967.5</v>
      </c>
    </row>
    <row r="173" spans="1:21" ht="13.8" x14ac:dyDescent="0.3">
      <c r="A173" s="6">
        <v>45444</v>
      </c>
      <c r="B173" s="2" t="s">
        <v>534</v>
      </c>
      <c r="C173" s="2" t="s">
        <v>4</v>
      </c>
      <c r="D173" s="2" t="s">
        <v>162</v>
      </c>
      <c r="E173" s="2" t="s">
        <v>375</v>
      </c>
      <c r="F173" s="2">
        <v>2014</v>
      </c>
      <c r="G173" s="2">
        <v>730</v>
      </c>
      <c r="H173" s="2">
        <v>730</v>
      </c>
      <c r="J173" s="2">
        <v>1</v>
      </c>
      <c r="K173" s="2">
        <v>1</v>
      </c>
      <c r="L173" s="2">
        <v>1</v>
      </c>
      <c r="M173" s="2">
        <v>6</v>
      </c>
      <c r="N173" s="5" t="s">
        <v>180</v>
      </c>
      <c r="O173" s="12">
        <v>349900</v>
      </c>
      <c r="P173" s="3">
        <f>(2493+3348)/12</f>
        <v>486.75</v>
      </c>
      <c r="R173" s="3">
        <v>1403</v>
      </c>
      <c r="S173" s="12">
        <f t="shared" si="6"/>
        <v>55.583333333333336</v>
      </c>
      <c r="T173" s="3">
        <f t="shared" si="7"/>
        <v>1945.3333333333333</v>
      </c>
      <c r="U173" s="2">
        <f t="shared" si="8"/>
        <v>703600</v>
      </c>
    </row>
    <row r="174" spans="1:21" ht="13.8" x14ac:dyDescent="0.3">
      <c r="A174" s="6">
        <v>45444</v>
      </c>
      <c r="B174" s="2" t="s">
        <v>535</v>
      </c>
      <c r="C174" s="2" t="s">
        <v>4</v>
      </c>
      <c r="D174" s="2" t="s">
        <v>162</v>
      </c>
      <c r="E174" s="2" t="s">
        <v>375</v>
      </c>
      <c r="F174" s="2">
        <v>1994</v>
      </c>
      <c r="G174" s="2">
        <v>870</v>
      </c>
      <c r="H174" s="2">
        <v>870</v>
      </c>
      <c r="J174" s="2">
        <v>1</v>
      </c>
      <c r="K174" s="2">
        <v>2</v>
      </c>
      <c r="L174" s="2">
        <v>1</v>
      </c>
      <c r="M174" s="2">
        <v>7</v>
      </c>
      <c r="N174" s="5" t="s">
        <v>181</v>
      </c>
      <c r="O174" s="12">
        <v>349900</v>
      </c>
      <c r="P174" s="3">
        <f>(2316+1892+175)/12</f>
        <v>365.25</v>
      </c>
      <c r="R174" s="3">
        <v>1403</v>
      </c>
      <c r="S174" s="12">
        <f t="shared" si="6"/>
        <v>63.750000000000007</v>
      </c>
      <c r="T174" s="3">
        <f t="shared" si="7"/>
        <v>1832</v>
      </c>
      <c r="U174" s="2">
        <f t="shared" si="8"/>
        <v>669600</v>
      </c>
    </row>
    <row r="175" spans="1:21" ht="13.8" x14ac:dyDescent="0.3">
      <c r="A175" s="6">
        <v>45444</v>
      </c>
      <c r="B175" s="2" t="s">
        <v>536</v>
      </c>
      <c r="C175" s="2" t="s">
        <v>4</v>
      </c>
      <c r="D175" s="2" t="s">
        <v>162</v>
      </c>
      <c r="E175" s="2" t="s">
        <v>375</v>
      </c>
      <c r="F175" s="2">
        <v>1993</v>
      </c>
      <c r="G175" s="2">
        <v>984</v>
      </c>
      <c r="H175" s="2">
        <v>984</v>
      </c>
      <c r="J175" s="2">
        <v>1</v>
      </c>
      <c r="K175" s="2">
        <v>2</v>
      </c>
      <c r="L175" s="2">
        <v>1</v>
      </c>
      <c r="M175" s="2">
        <v>6</v>
      </c>
      <c r="N175" s="5" t="s">
        <v>182</v>
      </c>
      <c r="O175" s="12">
        <v>359000</v>
      </c>
      <c r="P175" s="3">
        <f>(1947+186+368*12)/12</f>
        <v>545.75</v>
      </c>
      <c r="R175" s="3">
        <v>1459</v>
      </c>
      <c r="S175" s="12">
        <f t="shared" si="6"/>
        <v>70.400000000000006</v>
      </c>
      <c r="T175" s="3">
        <f t="shared" si="7"/>
        <v>2075.15</v>
      </c>
      <c r="U175" s="2">
        <f t="shared" si="8"/>
        <v>742545.00000000012</v>
      </c>
    </row>
    <row r="176" spans="1:21" ht="13.8" x14ac:dyDescent="0.3">
      <c r="A176" s="6">
        <v>45444</v>
      </c>
      <c r="B176" s="2" t="s">
        <v>537</v>
      </c>
      <c r="C176" s="2" t="s">
        <v>4</v>
      </c>
      <c r="D176" s="2" t="s">
        <v>162</v>
      </c>
      <c r="E176" s="2" t="s">
        <v>375</v>
      </c>
      <c r="F176" s="2">
        <v>1999</v>
      </c>
      <c r="G176" s="2">
        <f>7.5*5.5+18.2*17.4+11.5*9.5+9.1*8.2+9.5*8.5+13.2*11.2+11*9</f>
        <v>869.38999999999987</v>
      </c>
      <c r="H176" s="2">
        <f>7.5*5.5+18.2*17.4+11.5*9.5+9.1*8.2+9.5*8.5+13.2*11.2+11*9</f>
        <v>869.38999999999987</v>
      </c>
      <c r="J176" s="2">
        <v>1</v>
      </c>
      <c r="K176" s="2">
        <v>2</v>
      </c>
      <c r="L176" s="2">
        <v>1</v>
      </c>
      <c r="M176" s="2">
        <v>7</v>
      </c>
      <c r="N176" s="5" t="s">
        <v>183</v>
      </c>
      <c r="O176" s="12">
        <v>374900</v>
      </c>
      <c r="P176" s="3">
        <f>(2069+190+220*12)/12</f>
        <v>408.25</v>
      </c>
      <c r="R176" s="3">
        <v>1556</v>
      </c>
      <c r="S176" s="12">
        <f t="shared" si="6"/>
        <v>63.714416666666658</v>
      </c>
      <c r="T176" s="3">
        <f t="shared" si="7"/>
        <v>2027.9644166666667</v>
      </c>
      <c r="U176" s="2">
        <f t="shared" si="8"/>
        <v>728389.32499999995</v>
      </c>
    </row>
    <row r="177" spans="1:21" ht="13.8" x14ac:dyDescent="0.3">
      <c r="A177" s="6">
        <v>45444</v>
      </c>
      <c r="B177" s="2" t="s">
        <v>538</v>
      </c>
      <c r="C177" s="2" t="s">
        <v>4</v>
      </c>
      <c r="D177" s="2" t="s">
        <v>162</v>
      </c>
      <c r="E177" s="2" t="s">
        <v>375</v>
      </c>
      <c r="F177" s="2">
        <v>2012</v>
      </c>
      <c r="G177" s="2">
        <v>716</v>
      </c>
      <c r="H177" s="2">
        <v>716</v>
      </c>
      <c r="J177" s="2">
        <v>1</v>
      </c>
      <c r="K177" s="2">
        <v>1</v>
      </c>
      <c r="L177" s="2">
        <v>1</v>
      </c>
      <c r="M177" s="2">
        <v>6</v>
      </c>
      <c r="N177" s="5" t="s">
        <v>184</v>
      </c>
      <c r="O177" s="12">
        <v>379900</v>
      </c>
      <c r="P177" s="3">
        <f>(2368+3792)/12</f>
        <v>513.33333333333337</v>
      </c>
      <c r="R177" s="3">
        <v>1586</v>
      </c>
      <c r="S177" s="12">
        <f t="shared" si="6"/>
        <v>54.766666666666673</v>
      </c>
      <c r="T177" s="3">
        <f t="shared" si="7"/>
        <v>2154.1000000000004</v>
      </c>
      <c r="U177" s="2">
        <f t="shared" si="8"/>
        <v>766230.00000000012</v>
      </c>
    </row>
    <row r="178" spans="1:21" ht="13.8" x14ac:dyDescent="0.3">
      <c r="A178" s="6">
        <v>45444</v>
      </c>
      <c r="B178" s="2" t="s">
        <v>899</v>
      </c>
      <c r="C178" s="2" t="s">
        <v>4</v>
      </c>
      <c r="D178" s="2" t="s">
        <v>162</v>
      </c>
      <c r="E178" s="2" t="s">
        <v>1734</v>
      </c>
      <c r="F178" s="2">
        <v>1971</v>
      </c>
      <c r="G178" s="7">
        <f>(17.8*11.6+13.7*12.7+11.5*12.6+13.2*8.6+9.8*8.9+7.4*4.9+16.9*12.4+12.6*10.6+3.3*3.3)*1.3</f>
        <v>1451.2940000000001</v>
      </c>
      <c r="H178" s="2">
        <v>3550</v>
      </c>
      <c r="J178" s="2">
        <v>1</v>
      </c>
      <c r="K178" s="2">
        <v>3</v>
      </c>
      <c r="L178" s="2">
        <v>1</v>
      </c>
      <c r="M178" s="2">
        <v>9</v>
      </c>
      <c r="N178" s="5" t="s">
        <v>185</v>
      </c>
      <c r="O178" s="12">
        <v>380000</v>
      </c>
      <c r="P178" s="3">
        <f>(2497)/12</f>
        <v>208.08333333333334</v>
      </c>
      <c r="R178" s="3">
        <v>1587</v>
      </c>
      <c r="S178" s="12">
        <f t="shared" si="6"/>
        <v>97.658816666666681</v>
      </c>
      <c r="T178" s="3">
        <f t="shared" si="7"/>
        <v>1892.74215</v>
      </c>
      <c r="U178" s="2">
        <f t="shared" si="8"/>
        <v>687822.64500000002</v>
      </c>
    </row>
    <row r="179" spans="1:21" ht="13.8" x14ac:dyDescent="0.3">
      <c r="A179" s="6">
        <v>45444</v>
      </c>
      <c r="B179" s="2" t="s">
        <v>539</v>
      </c>
      <c r="C179" s="2" t="s">
        <v>4</v>
      </c>
      <c r="D179" s="2" t="s">
        <v>162</v>
      </c>
      <c r="E179" s="2" t="s">
        <v>375</v>
      </c>
      <c r="F179" s="2">
        <v>1987</v>
      </c>
      <c r="G179" s="2">
        <v>972</v>
      </c>
      <c r="H179" s="2">
        <v>972</v>
      </c>
      <c r="J179" s="2">
        <v>1</v>
      </c>
      <c r="K179" s="2">
        <v>2</v>
      </c>
      <c r="L179" s="2">
        <v>1</v>
      </c>
      <c r="M179" s="2">
        <v>7</v>
      </c>
      <c r="N179" s="5" t="s">
        <v>186</v>
      </c>
      <c r="O179" s="12">
        <v>384900</v>
      </c>
      <c r="P179" s="3">
        <f>(242+2379+5556)/12</f>
        <v>681.41666666666663</v>
      </c>
      <c r="R179" s="3">
        <v>1617</v>
      </c>
      <c r="S179" s="12">
        <f t="shared" si="6"/>
        <v>69.700000000000017</v>
      </c>
      <c r="T179" s="3">
        <f t="shared" si="7"/>
        <v>2368.1166666666663</v>
      </c>
      <c r="U179" s="2">
        <f t="shared" si="8"/>
        <v>830434.99999999988</v>
      </c>
    </row>
    <row r="180" spans="1:21" ht="13.8" x14ac:dyDescent="0.3">
      <c r="A180" s="6">
        <v>45444</v>
      </c>
      <c r="B180" s="2" t="s">
        <v>540</v>
      </c>
      <c r="C180" s="2" t="s">
        <v>4</v>
      </c>
      <c r="D180" s="2" t="s">
        <v>162</v>
      </c>
      <c r="E180" s="2" t="s">
        <v>375</v>
      </c>
      <c r="F180" s="2">
        <v>2013</v>
      </c>
      <c r="G180" s="2">
        <v>727</v>
      </c>
      <c r="H180" s="2">
        <v>727</v>
      </c>
      <c r="J180" s="2">
        <v>1</v>
      </c>
      <c r="K180" s="2">
        <v>1</v>
      </c>
      <c r="L180" s="2">
        <v>1</v>
      </c>
      <c r="M180" s="2">
        <v>7</v>
      </c>
      <c r="N180" s="5" t="s">
        <v>187</v>
      </c>
      <c r="O180" s="12">
        <v>399000</v>
      </c>
      <c r="P180" s="3">
        <f>(2397+2628)/12</f>
        <v>418.75</v>
      </c>
      <c r="R180" s="3">
        <v>1703</v>
      </c>
      <c r="S180" s="12">
        <f t="shared" si="6"/>
        <v>55.408333333333339</v>
      </c>
      <c r="T180" s="3">
        <f t="shared" si="7"/>
        <v>2177.1583333333333</v>
      </c>
      <c r="U180" s="2">
        <f t="shared" si="8"/>
        <v>773147.5</v>
      </c>
    </row>
    <row r="181" spans="1:21" ht="13.8" x14ac:dyDescent="0.3">
      <c r="A181" s="6">
        <v>45444</v>
      </c>
      <c r="B181" s="2" t="s">
        <v>541</v>
      </c>
      <c r="C181" s="2" t="s">
        <v>4</v>
      </c>
      <c r="D181" s="2" t="s">
        <v>162</v>
      </c>
      <c r="E181" s="2" t="s">
        <v>375</v>
      </c>
      <c r="F181" s="2">
        <v>1989</v>
      </c>
      <c r="G181" s="2">
        <v>1035</v>
      </c>
      <c r="H181" s="2">
        <v>1035</v>
      </c>
      <c r="J181" s="2">
        <v>1</v>
      </c>
      <c r="K181" s="2">
        <v>2</v>
      </c>
      <c r="L181" s="2">
        <v>1</v>
      </c>
      <c r="M181" s="2">
        <v>6</v>
      </c>
      <c r="N181" s="5" t="s">
        <v>188</v>
      </c>
      <c r="O181" s="12">
        <v>399700</v>
      </c>
      <c r="P181" s="3">
        <f>(217*12+2340)/12</f>
        <v>412</v>
      </c>
      <c r="R181" s="3">
        <v>1707</v>
      </c>
      <c r="S181" s="12">
        <f t="shared" si="6"/>
        <v>73.375</v>
      </c>
      <c r="T181" s="3">
        <f t="shared" si="7"/>
        <v>2192.375</v>
      </c>
      <c r="U181" s="2">
        <f t="shared" si="8"/>
        <v>777712.5</v>
      </c>
    </row>
    <row r="182" spans="1:21" ht="13.8" x14ac:dyDescent="0.3">
      <c r="A182" s="6">
        <v>45444</v>
      </c>
      <c r="B182" s="2" t="s">
        <v>542</v>
      </c>
      <c r="C182" s="2" t="s">
        <v>4</v>
      </c>
      <c r="D182" s="2" t="s">
        <v>162</v>
      </c>
      <c r="E182" s="2" t="s">
        <v>375</v>
      </c>
      <c r="F182" s="2">
        <v>2009</v>
      </c>
      <c r="G182" s="2">
        <v>911</v>
      </c>
      <c r="H182" s="2">
        <v>911</v>
      </c>
      <c r="J182" s="2">
        <v>1</v>
      </c>
      <c r="K182" s="2">
        <v>2</v>
      </c>
      <c r="L182" s="2">
        <v>1</v>
      </c>
      <c r="M182" s="2">
        <v>5</v>
      </c>
      <c r="N182" s="5" t="s">
        <v>189</v>
      </c>
      <c r="O182" s="12">
        <v>415000</v>
      </c>
      <c r="P182" s="3">
        <f>(2564+375*12)/12</f>
        <v>588.66666666666663</v>
      </c>
      <c r="R182" s="3">
        <v>1801</v>
      </c>
      <c r="S182" s="12">
        <f t="shared" si="6"/>
        <v>66.14166666666668</v>
      </c>
      <c r="T182" s="3">
        <f t="shared" si="7"/>
        <v>2455.8083333333334</v>
      </c>
      <c r="U182" s="2">
        <f t="shared" si="8"/>
        <v>856742.5</v>
      </c>
    </row>
    <row r="183" spans="1:21" ht="13.8" x14ac:dyDescent="0.3">
      <c r="A183" s="6">
        <v>45444</v>
      </c>
      <c r="B183" s="2" t="s">
        <v>543</v>
      </c>
      <c r="C183" s="2" t="s">
        <v>4</v>
      </c>
      <c r="D183" s="2" t="s">
        <v>162</v>
      </c>
      <c r="E183" s="2" t="s">
        <v>375</v>
      </c>
      <c r="F183" s="2">
        <v>2006</v>
      </c>
      <c r="G183" s="2">
        <v>1105</v>
      </c>
      <c r="H183" s="2">
        <v>1105</v>
      </c>
      <c r="J183" s="2">
        <v>1</v>
      </c>
      <c r="K183" s="2">
        <v>2</v>
      </c>
      <c r="L183" s="2">
        <v>1</v>
      </c>
      <c r="M183" s="2">
        <v>8</v>
      </c>
      <c r="N183" s="5" t="s">
        <v>190</v>
      </c>
      <c r="O183" s="12">
        <v>419000</v>
      </c>
      <c r="P183" s="3">
        <f>(2731+1944)/12</f>
        <v>389.58333333333331</v>
      </c>
      <c r="R183" s="3">
        <v>1825</v>
      </c>
      <c r="S183" s="12">
        <f t="shared" si="6"/>
        <v>77.458333333333343</v>
      </c>
      <c r="T183" s="3">
        <f t="shared" si="7"/>
        <v>2292.041666666667</v>
      </c>
      <c r="U183" s="2">
        <f t="shared" si="8"/>
        <v>807612.50000000012</v>
      </c>
    </row>
    <row r="184" spans="1:21" ht="13.8" x14ac:dyDescent="0.3">
      <c r="A184" s="6">
        <v>45444</v>
      </c>
      <c r="B184" s="2" t="s">
        <v>544</v>
      </c>
      <c r="C184" s="2" t="s">
        <v>4</v>
      </c>
      <c r="D184" s="2" t="s">
        <v>162</v>
      </c>
      <c r="E184" s="2" t="s">
        <v>375</v>
      </c>
      <c r="F184" s="2">
        <v>2001</v>
      </c>
      <c r="G184" s="2">
        <v>1023</v>
      </c>
      <c r="H184" s="2">
        <v>1023</v>
      </c>
      <c r="J184" s="2">
        <v>1</v>
      </c>
      <c r="K184" s="2">
        <v>2</v>
      </c>
      <c r="L184" s="2">
        <v>1</v>
      </c>
      <c r="M184" s="2">
        <v>10</v>
      </c>
      <c r="N184" s="5" t="s">
        <v>191</v>
      </c>
      <c r="O184" s="12">
        <v>420000</v>
      </c>
      <c r="P184" s="3">
        <f>(2469+246+245*12)/12</f>
        <v>471.25</v>
      </c>
      <c r="R184" s="3">
        <v>1831</v>
      </c>
      <c r="S184" s="12">
        <f t="shared" si="6"/>
        <v>72.675000000000011</v>
      </c>
      <c r="T184" s="3">
        <f t="shared" si="7"/>
        <v>2374.9250000000002</v>
      </c>
      <c r="U184" s="2">
        <f t="shared" si="8"/>
        <v>832477.5</v>
      </c>
    </row>
    <row r="185" spans="1:21" ht="13.8" x14ac:dyDescent="0.3">
      <c r="A185" s="6">
        <v>45444</v>
      </c>
      <c r="B185" s="2" t="s">
        <v>545</v>
      </c>
      <c r="C185" s="2" t="s">
        <v>4</v>
      </c>
      <c r="D185" s="2" t="s">
        <v>162</v>
      </c>
      <c r="E185" s="2" t="s">
        <v>375</v>
      </c>
      <c r="F185" s="2">
        <v>2009</v>
      </c>
      <c r="G185" s="2">
        <v>970</v>
      </c>
      <c r="H185" s="2">
        <v>970</v>
      </c>
      <c r="J185" s="2">
        <v>1</v>
      </c>
      <c r="K185" s="2">
        <v>2</v>
      </c>
      <c r="L185" s="2">
        <v>1</v>
      </c>
      <c r="M185" s="2">
        <v>4</v>
      </c>
      <c r="N185" s="5" t="s">
        <v>192</v>
      </c>
      <c r="O185" s="12">
        <v>424900</v>
      </c>
      <c r="P185" s="3">
        <f>(5400+2606+256)/12</f>
        <v>688.5</v>
      </c>
      <c r="R185" s="3">
        <v>1861</v>
      </c>
      <c r="S185" s="12">
        <f t="shared" si="6"/>
        <v>69.583333333333343</v>
      </c>
      <c r="T185" s="3">
        <f t="shared" si="7"/>
        <v>2619.0833333333335</v>
      </c>
      <c r="U185" s="2">
        <f t="shared" si="8"/>
        <v>905725</v>
      </c>
    </row>
    <row r="186" spans="1:21" ht="13.8" x14ac:dyDescent="0.3">
      <c r="A186" s="6">
        <v>45444</v>
      </c>
      <c r="B186" s="2" t="s">
        <v>546</v>
      </c>
      <c r="C186" s="2" t="s">
        <v>4</v>
      </c>
      <c r="D186" s="2" t="s">
        <v>162</v>
      </c>
      <c r="E186" s="2" t="s">
        <v>375</v>
      </c>
      <c r="F186" s="2">
        <v>2014</v>
      </c>
      <c r="G186" s="2">
        <v>1100</v>
      </c>
      <c r="H186" s="2">
        <v>1100</v>
      </c>
      <c r="J186" s="2">
        <v>1</v>
      </c>
      <c r="K186" s="2">
        <v>2</v>
      </c>
      <c r="L186" s="2">
        <v>1</v>
      </c>
      <c r="M186" s="2">
        <v>8</v>
      </c>
      <c r="N186" s="5" t="s">
        <v>193</v>
      </c>
      <c r="O186" s="12">
        <v>424998</v>
      </c>
      <c r="P186" s="3">
        <f>(2574+247+215*12)/12</f>
        <v>450.08333333333331</v>
      </c>
      <c r="R186" s="3">
        <v>1862</v>
      </c>
      <c r="S186" s="12">
        <f t="shared" si="6"/>
        <v>77.166666666666671</v>
      </c>
      <c r="T186" s="3">
        <f t="shared" si="7"/>
        <v>2389.25</v>
      </c>
      <c r="U186" s="2">
        <f t="shared" si="8"/>
        <v>836775</v>
      </c>
    </row>
    <row r="187" spans="1:21" ht="13.8" x14ac:dyDescent="0.3">
      <c r="A187" s="6">
        <v>45444</v>
      </c>
      <c r="B187" s="2" t="s">
        <v>547</v>
      </c>
      <c r="C187" s="2" t="s">
        <v>4</v>
      </c>
      <c r="D187" s="2" t="s">
        <v>162</v>
      </c>
      <c r="E187" s="2" t="s">
        <v>375</v>
      </c>
      <c r="F187" s="2">
        <v>2019</v>
      </c>
      <c r="G187" s="2">
        <v>792</v>
      </c>
      <c r="H187" s="2">
        <v>792</v>
      </c>
      <c r="J187" s="2">
        <v>1</v>
      </c>
      <c r="K187" s="2">
        <v>1</v>
      </c>
      <c r="L187" s="2">
        <v>1</v>
      </c>
      <c r="M187" s="2">
        <v>4</v>
      </c>
      <c r="N187" s="5" t="s">
        <v>194</v>
      </c>
      <c r="O187" s="12">
        <v>428000</v>
      </c>
      <c r="P187" s="3">
        <f>(4140+2630+259)/12</f>
        <v>585.75</v>
      </c>
      <c r="R187" s="3">
        <v>1880</v>
      </c>
      <c r="S187" s="12">
        <f t="shared" si="6"/>
        <v>59.20000000000001</v>
      </c>
      <c r="T187" s="3">
        <f t="shared" si="7"/>
        <v>2524.9499999999998</v>
      </c>
      <c r="U187" s="2">
        <f t="shared" si="8"/>
        <v>877485</v>
      </c>
    </row>
    <row r="188" spans="1:21" ht="13.8" x14ac:dyDescent="0.3">
      <c r="A188" s="6">
        <v>45444</v>
      </c>
      <c r="B188" s="2" t="s">
        <v>548</v>
      </c>
      <c r="C188" s="2" t="s">
        <v>4</v>
      </c>
      <c r="D188" s="2" t="s">
        <v>162</v>
      </c>
      <c r="E188" s="2" t="s">
        <v>375</v>
      </c>
      <c r="F188" s="2">
        <v>2016</v>
      </c>
      <c r="G188" s="2">
        <v>709</v>
      </c>
      <c r="H188" s="2">
        <v>709</v>
      </c>
      <c r="J188" s="2">
        <v>1</v>
      </c>
      <c r="K188" s="2">
        <v>1</v>
      </c>
      <c r="L188" s="2">
        <v>1</v>
      </c>
      <c r="M188" s="2">
        <v>4</v>
      </c>
      <c r="N188" s="5" t="s">
        <v>195</v>
      </c>
      <c r="O188" s="12">
        <v>429900</v>
      </c>
      <c r="P188" s="3">
        <f>(2759+3828)/12</f>
        <v>548.91666666666663</v>
      </c>
      <c r="R188" s="3">
        <v>1892</v>
      </c>
      <c r="S188" s="12">
        <f t="shared" si="6"/>
        <v>54.358333333333341</v>
      </c>
      <c r="T188" s="3">
        <f t="shared" si="7"/>
        <v>2495.2749999999996</v>
      </c>
      <c r="U188" s="2">
        <f t="shared" si="8"/>
        <v>868582.49999999988</v>
      </c>
    </row>
    <row r="189" spans="1:21" ht="13.8" x14ac:dyDescent="0.3">
      <c r="A189" s="6">
        <v>45444</v>
      </c>
      <c r="B189" s="2" t="s">
        <v>549</v>
      </c>
      <c r="C189" s="2" t="s">
        <v>4</v>
      </c>
      <c r="D189" s="2" t="s">
        <v>162</v>
      </c>
      <c r="E189" s="2" t="s">
        <v>375</v>
      </c>
      <c r="F189" s="2">
        <v>1991</v>
      </c>
      <c r="G189" s="2">
        <v>875</v>
      </c>
      <c r="H189" s="2">
        <v>875</v>
      </c>
      <c r="J189" s="2">
        <v>1</v>
      </c>
      <c r="K189" s="2">
        <v>2</v>
      </c>
      <c r="L189" s="2">
        <v>1</v>
      </c>
      <c r="M189" s="2">
        <v>4</v>
      </c>
      <c r="N189" s="5" t="s">
        <v>196</v>
      </c>
      <c r="O189" s="12">
        <v>434000</v>
      </c>
      <c r="P189" s="3">
        <f>(5820+2240+224)/12</f>
        <v>690.33333333333337</v>
      </c>
      <c r="R189" s="3">
        <v>1917</v>
      </c>
      <c r="S189" s="12">
        <f t="shared" si="6"/>
        <v>64.041666666666686</v>
      </c>
      <c r="T189" s="3">
        <f t="shared" si="7"/>
        <v>2671.375</v>
      </c>
      <c r="U189" s="2">
        <f t="shared" si="8"/>
        <v>921412.5</v>
      </c>
    </row>
    <row r="190" spans="1:21" ht="13.8" x14ac:dyDescent="0.3">
      <c r="A190" s="6">
        <v>45444</v>
      </c>
      <c r="B190" s="2" t="s">
        <v>550</v>
      </c>
      <c r="C190" s="2" t="s">
        <v>4</v>
      </c>
      <c r="D190" s="2" t="s">
        <v>162</v>
      </c>
      <c r="E190" s="2" t="s">
        <v>375</v>
      </c>
      <c r="F190" s="2">
        <v>2005</v>
      </c>
      <c r="G190" s="2">
        <v>1191</v>
      </c>
      <c r="H190" s="2">
        <v>1191</v>
      </c>
      <c r="J190" s="2">
        <v>1</v>
      </c>
      <c r="K190" s="2">
        <v>2</v>
      </c>
      <c r="L190" s="2">
        <v>2</v>
      </c>
      <c r="M190" s="2">
        <v>8</v>
      </c>
      <c r="N190" s="5" t="s">
        <v>197</v>
      </c>
      <c r="O190" s="12">
        <v>440000</v>
      </c>
      <c r="P190" s="3">
        <f>(5232+2590+272)/12</f>
        <v>674.5</v>
      </c>
      <c r="R190" s="3">
        <v>1953</v>
      </c>
      <c r="S190" s="12">
        <f t="shared" si="6"/>
        <v>82.475000000000009</v>
      </c>
      <c r="T190" s="3">
        <f t="shared" si="7"/>
        <v>2709.9749999999999</v>
      </c>
      <c r="U190" s="2">
        <f t="shared" si="8"/>
        <v>932992.49999999988</v>
      </c>
    </row>
    <row r="191" spans="1:21" ht="13.8" x14ac:dyDescent="0.3">
      <c r="A191" s="6">
        <v>45444</v>
      </c>
      <c r="B191" s="2" t="s">
        <v>551</v>
      </c>
      <c r="C191" s="2" t="s">
        <v>4</v>
      </c>
      <c r="D191" s="2" t="s">
        <v>162</v>
      </c>
      <c r="E191" s="2" t="s">
        <v>1734</v>
      </c>
      <c r="F191" s="2">
        <v>1985</v>
      </c>
      <c r="G191" s="2">
        <f>(4.4*3.3+11.9*16.9+11.2*10.5+11.5*14.4+6.9*7.8+10.7*11.6+17*13.2+5.4*12.1+5.5*7.6+11.4*16.3)*1.3</f>
        <v>1552.3690000000001</v>
      </c>
      <c r="H191" s="2">
        <v>3929</v>
      </c>
      <c r="J191" s="2">
        <v>2</v>
      </c>
      <c r="K191" s="2">
        <v>3</v>
      </c>
      <c r="L191" s="2">
        <v>2</v>
      </c>
      <c r="M191" s="2">
        <v>9</v>
      </c>
      <c r="N191" s="5" t="s">
        <v>198</v>
      </c>
      <c r="O191" s="12">
        <v>448000</v>
      </c>
      <c r="P191" s="3">
        <f>2836/12</f>
        <v>236.33333333333334</v>
      </c>
      <c r="R191" s="3">
        <v>2002</v>
      </c>
      <c r="S191" s="12">
        <f t="shared" si="6"/>
        <v>103.55485833333336</v>
      </c>
      <c r="T191" s="3">
        <f t="shared" si="7"/>
        <v>2341.8881916666669</v>
      </c>
      <c r="U191" s="2">
        <f t="shared" si="8"/>
        <v>822566.45750000002</v>
      </c>
    </row>
    <row r="192" spans="1:21" ht="13.8" x14ac:dyDescent="0.3">
      <c r="A192" s="6">
        <v>45444</v>
      </c>
      <c r="B192" s="2" t="s">
        <v>552</v>
      </c>
      <c r="C192" s="2" t="s">
        <v>4</v>
      </c>
      <c r="D192" s="2" t="s">
        <v>162</v>
      </c>
      <c r="E192" s="2" t="s">
        <v>375</v>
      </c>
      <c r="F192" s="2">
        <v>2011</v>
      </c>
      <c r="G192" s="2">
        <v>976</v>
      </c>
      <c r="H192" s="2">
        <v>976</v>
      </c>
      <c r="J192" s="2">
        <v>1</v>
      </c>
      <c r="K192" s="2">
        <v>2</v>
      </c>
      <c r="L192" s="2">
        <v>2</v>
      </c>
      <c r="M192" s="2">
        <v>6</v>
      </c>
      <c r="N192" s="5" t="s">
        <v>199</v>
      </c>
      <c r="O192" s="12">
        <v>449000</v>
      </c>
      <c r="P192" s="3">
        <f>(3314+5400)/12</f>
        <v>726.16666666666663</v>
      </c>
      <c r="R192" s="3">
        <v>2008</v>
      </c>
      <c r="S192" s="12">
        <f t="shared" si="6"/>
        <v>69.933333333333337</v>
      </c>
      <c r="T192" s="3">
        <f t="shared" si="7"/>
        <v>2804.1</v>
      </c>
      <c r="U192" s="2">
        <f t="shared" si="8"/>
        <v>961229.99999999988</v>
      </c>
    </row>
    <row r="193" spans="1:21" ht="13.8" x14ac:dyDescent="0.3">
      <c r="A193" s="6">
        <v>45444</v>
      </c>
      <c r="B193" s="2" t="s">
        <v>553</v>
      </c>
      <c r="C193" s="2" t="s">
        <v>4</v>
      </c>
      <c r="D193" s="2" t="s">
        <v>162</v>
      </c>
      <c r="E193" s="2" t="s">
        <v>375</v>
      </c>
      <c r="F193" s="2">
        <v>2014</v>
      </c>
      <c r="G193" s="2">
        <v>903</v>
      </c>
      <c r="H193" s="2">
        <v>903</v>
      </c>
      <c r="J193" s="2">
        <v>1</v>
      </c>
      <c r="K193" s="2">
        <v>2</v>
      </c>
      <c r="L193" s="2">
        <v>2</v>
      </c>
      <c r="M193" s="2">
        <v>10</v>
      </c>
      <c r="N193" s="5" t="s">
        <v>200</v>
      </c>
      <c r="O193" s="12">
        <v>449900</v>
      </c>
      <c r="P193" s="3">
        <f>(6084+2826+296)/12</f>
        <v>767.16666666666663</v>
      </c>
      <c r="R193" s="3">
        <v>2014</v>
      </c>
      <c r="S193" s="12">
        <f t="shared" si="6"/>
        <v>65.675000000000011</v>
      </c>
      <c r="T193" s="3">
        <f t="shared" si="7"/>
        <v>2846.8416666666667</v>
      </c>
      <c r="U193" s="2">
        <f t="shared" si="8"/>
        <v>974052.5</v>
      </c>
    </row>
    <row r="194" spans="1:21" ht="13.8" x14ac:dyDescent="0.3">
      <c r="A194" s="6">
        <v>45444</v>
      </c>
      <c r="B194" s="2" t="s">
        <v>554</v>
      </c>
      <c r="C194" s="2" t="s">
        <v>4</v>
      </c>
      <c r="D194" s="2" t="s">
        <v>162</v>
      </c>
      <c r="E194" s="2" t="s">
        <v>375</v>
      </c>
      <c r="F194" s="2">
        <v>2023</v>
      </c>
      <c r="G194" s="2">
        <v>727</v>
      </c>
      <c r="H194" s="2">
        <v>727</v>
      </c>
      <c r="J194" s="2">
        <v>1</v>
      </c>
      <c r="K194" s="2">
        <v>1</v>
      </c>
      <c r="L194" s="2">
        <v>1</v>
      </c>
      <c r="M194" s="2">
        <v>8</v>
      </c>
      <c r="N194" s="5" t="s">
        <v>201</v>
      </c>
      <c r="O194" s="12">
        <v>449900</v>
      </c>
      <c r="P194" s="3">
        <f>(3636+311+2663)/12</f>
        <v>550.83333333333337</v>
      </c>
      <c r="R194" s="3">
        <v>2014</v>
      </c>
      <c r="S194" s="12">
        <f t="shared" ref="S194:S257" si="9">13+(G194*10*0.07)/12</f>
        <v>55.408333333333339</v>
      </c>
      <c r="T194" s="3">
        <f t="shared" ref="T194:T257" si="10">P194+R194+S194</f>
        <v>2620.2416666666668</v>
      </c>
      <c r="U194" s="2">
        <f t="shared" ref="U194:U257" si="11">120000+T194*12*25</f>
        <v>906072.5</v>
      </c>
    </row>
    <row r="195" spans="1:21" ht="13.8" x14ac:dyDescent="0.3">
      <c r="A195" s="6">
        <v>45444</v>
      </c>
      <c r="B195" s="2" t="s">
        <v>555</v>
      </c>
      <c r="C195" s="2" t="s">
        <v>4</v>
      </c>
      <c r="D195" s="2" t="s">
        <v>162</v>
      </c>
      <c r="E195" s="2" t="s">
        <v>375</v>
      </c>
      <c r="F195" s="2">
        <v>1987</v>
      </c>
      <c r="G195" s="2">
        <v>994</v>
      </c>
      <c r="H195" s="2">
        <v>994</v>
      </c>
      <c r="J195" s="2">
        <v>1</v>
      </c>
      <c r="K195" s="2">
        <v>3</v>
      </c>
      <c r="L195" s="2">
        <v>1</v>
      </c>
      <c r="M195" s="2">
        <v>8</v>
      </c>
      <c r="N195" s="5" t="s">
        <v>202</v>
      </c>
      <c r="O195" s="12">
        <v>469000</v>
      </c>
      <c r="P195" s="3">
        <f>(2250+199*12)/12</f>
        <v>386.5</v>
      </c>
      <c r="R195" s="3">
        <v>2130</v>
      </c>
      <c r="S195" s="12">
        <f t="shared" si="9"/>
        <v>70.983333333333348</v>
      </c>
      <c r="T195" s="3">
        <f t="shared" si="10"/>
        <v>2587.4833333333336</v>
      </c>
      <c r="U195" s="2">
        <f t="shared" si="11"/>
        <v>896245.00000000012</v>
      </c>
    </row>
    <row r="196" spans="1:21" ht="13.8" x14ac:dyDescent="0.3">
      <c r="A196" s="6">
        <v>45444</v>
      </c>
      <c r="B196" s="2" t="s">
        <v>556</v>
      </c>
      <c r="C196" s="2" t="s">
        <v>4</v>
      </c>
      <c r="D196" s="2" t="s">
        <v>162</v>
      </c>
      <c r="E196" s="2" t="s">
        <v>375</v>
      </c>
      <c r="F196" s="2">
        <v>2003</v>
      </c>
      <c r="G196" s="2">
        <v>1190</v>
      </c>
      <c r="H196" s="2">
        <v>1190</v>
      </c>
      <c r="J196" s="2">
        <v>1</v>
      </c>
      <c r="K196" s="2">
        <v>2</v>
      </c>
      <c r="L196" s="2">
        <v>1</v>
      </c>
      <c r="M196" s="2">
        <v>5</v>
      </c>
      <c r="N196" s="5" t="s">
        <v>203</v>
      </c>
      <c r="O196" s="12">
        <v>469000</v>
      </c>
      <c r="P196" s="3">
        <f>(2851+2868)/12</f>
        <v>476.58333333333331</v>
      </c>
      <c r="R196" s="3">
        <v>2130</v>
      </c>
      <c r="S196" s="12">
        <f t="shared" si="9"/>
        <v>82.416666666666671</v>
      </c>
      <c r="T196" s="3">
        <f t="shared" si="10"/>
        <v>2689</v>
      </c>
      <c r="U196" s="2">
        <f t="shared" si="11"/>
        <v>926700</v>
      </c>
    </row>
    <row r="197" spans="1:21" ht="13.8" x14ac:dyDescent="0.3">
      <c r="A197" s="6">
        <v>45444</v>
      </c>
      <c r="B197" s="2" t="s">
        <v>557</v>
      </c>
      <c r="C197" s="2" t="s">
        <v>4</v>
      </c>
      <c r="D197" s="2" t="s">
        <v>162</v>
      </c>
      <c r="E197" s="2" t="s">
        <v>375</v>
      </c>
      <c r="F197" s="2">
        <v>2012</v>
      </c>
      <c r="G197" s="2">
        <v>1108</v>
      </c>
      <c r="H197" s="2">
        <v>1108</v>
      </c>
      <c r="J197" s="2">
        <v>1</v>
      </c>
      <c r="K197" s="2">
        <v>3</v>
      </c>
      <c r="L197" s="2">
        <v>1</v>
      </c>
      <c r="M197" s="2">
        <v>7</v>
      </c>
      <c r="N197" s="5" t="s">
        <v>204</v>
      </c>
      <c r="O197" s="12">
        <v>479000</v>
      </c>
      <c r="P197" s="3">
        <f>(267*12+261*12)/12</f>
        <v>528</v>
      </c>
      <c r="R197" s="3">
        <v>2191</v>
      </c>
      <c r="S197" s="12">
        <f t="shared" si="9"/>
        <v>77.63333333333334</v>
      </c>
      <c r="T197" s="3">
        <f t="shared" si="10"/>
        <v>2796.6333333333332</v>
      </c>
      <c r="U197" s="2">
        <f t="shared" si="11"/>
        <v>958990</v>
      </c>
    </row>
    <row r="198" spans="1:21" ht="13.8" x14ac:dyDescent="0.3">
      <c r="A198" s="6">
        <v>45444</v>
      </c>
      <c r="B198" s="2" t="s">
        <v>558</v>
      </c>
      <c r="C198" s="2" t="s">
        <v>4</v>
      </c>
      <c r="D198" s="2" t="s">
        <v>162</v>
      </c>
      <c r="E198" s="2" t="s">
        <v>375</v>
      </c>
      <c r="F198" s="2">
        <v>2010</v>
      </c>
      <c r="G198" s="2">
        <v>1042</v>
      </c>
      <c r="H198" s="2">
        <v>1042</v>
      </c>
      <c r="J198" s="2">
        <v>1</v>
      </c>
      <c r="K198" s="2">
        <v>2</v>
      </c>
      <c r="L198" s="2">
        <v>2</v>
      </c>
      <c r="M198" s="2">
        <v>10</v>
      </c>
      <c r="N198" s="5" t="s">
        <v>205</v>
      </c>
      <c r="O198" s="12">
        <v>489000</v>
      </c>
      <c r="P198" s="3">
        <f>(4632+3428)/12</f>
        <v>671.66666666666663</v>
      </c>
      <c r="R198" s="3">
        <v>2252</v>
      </c>
      <c r="S198" s="12">
        <f t="shared" si="9"/>
        <v>73.783333333333331</v>
      </c>
      <c r="T198" s="3">
        <f t="shared" si="10"/>
        <v>2997.45</v>
      </c>
      <c r="U198" s="2">
        <f t="shared" si="11"/>
        <v>1019234.9999999999</v>
      </c>
    </row>
    <row r="199" spans="1:21" ht="13.8" x14ac:dyDescent="0.3">
      <c r="A199" s="6">
        <v>45444</v>
      </c>
      <c r="B199" s="2" t="s">
        <v>559</v>
      </c>
      <c r="C199" s="2" t="s">
        <v>4</v>
      </c>
      <c r="D199" s="2" t="s">
        <v>162</v>
      </c>
      <c r="E199" s="2" t="s">
        <v>375</v>
      </c>
      <c r="F199" s="2">
        <v>2013</v>
      </c>
      <c r="G199" s="2">
        <v>944</v>
      </c>
      <c r="H199" s="2">
        <v>944</v>
      </c>
      <c r="J199" s="2">
        <v>1</v>
      </c>
      <c r="K199" s="2">
        <v>2</v>
      </c>
      <c r="L199" s="2">
        <v>1</v>
      </c>
      <c r="M199" s="2">
        <v>7</v>
      </c>
      <c r="N199" s="5" t="s">
        <v>206</v>
      </c>
      <c r="O199" s="12">
        <v>498888</v>
      </c>
      <c r="P199" s="3">
        <f>(4284+3122+335)/12</f>
        <v>645.08333333333337</v>
      </c>
      <c r="R199" s="3">
        <v>2313</v>
      </c>
      <c r="S199" s="12">
        <f t="shared" si="9"/>
        <v>68.066666666666663</v>
      </c>
      <c r="T199" s="3">
        <f t="shared" si="10"/>
        <v>3026.15</v>
      </c>
      <c r="U199" s="2">
        <f t="shared" si="11"/>
        <v>1027845.0000000001</v>
      </c>
    </row>
    <row r="200" spans="1:21" ht="13.8" x14ac:dyDescent="0.3">
      <c r="A200" s="6">
        <v>45444</v>
      </c>
      <c r="B200" s="2" t="s">
        <v>560</v>
      </c>
      <c r="C200" s="2" t="s">
        <v>4</v>
      </c>
      <c r="D200" s="2" t="s">
        <v>162</v>
      </c>
      <c r="E200" s="2" t="s">
        <v>375</v>
      </c>
      <c r="F200" s="2">
        <v>2000</v>
      </c>
      <c r="G200" s="2">
        <v>1093</v>
      </c>
      <c r="H200" s="2">
        <v>1093</v>
      </c>
      <c r="J200" s="2">
        <v>1</v>
      </c>
      <c r="K200" s="2">
        <v>2</v>
      </c>
      <c r="L200" s="2">
        <v>2</v>
      </c>
      <c r="M200" s="2">
        <v>9</v>
      </c>
      <c r="N200" s="5" t="s">
        <v>207</v>
      </c>
      <c r="O200" s="12">
        <v>499900</v>
      </c>
      <c r="P200" s="3">
        <f>(3063+410*12)/12</f>
        <v>665.25</v>
      </c>
      <c r="R200" s="3">
        <v>2319</v>
      </c>
      <c r="S200" s="12">
        <f t="shared" si="9"/>
        <v>76.758333333333326</v>
      </c>
      <c r="T200" s="3">
        <f t="shared" si="10"/>
        <v>3061.0083333333332</v>
      </c>
      <c r="U200" s="2">
        <f t="shared" si="11"/>
        <v>1038302.5</v>
      </c>
    </row>
    <row r="201" spans="1:21" ht="13.8" x14ac:dyDescent="0.3">
      <c r="A201" s="6">
        <v>45444</v>
      </c>
      <c r="B201" s="2" t="s">
        <v>561</v>
      </c>
      <c r="C201" s="2" t="s">
        <v>4</v>
      </c>
      <c r="D201" s="2" t="s">
        <v>162</v>
      </c>
      <c r="E201" s="2" t="s">
        <v>375</v>
      </c>
      <c r="F201" s="2">
        <v>2009</v>
      </c>
      <c r="G201" s="2">
        <v>1171</v>
      </c>
      <c r="H201" s="2">
        <v>1171</v>
      </c>
      <c r="J201" s="2">
        <v>1</v>
      </c>
      <c r="K201" s="2">
        <v>2</v>
      </c>
      <c r="L201" s="2">
        <v>2</v>
      </c>
      <c r="M201" s="2">
        <v>9</v>
      </c>
      <c r="N201" s="5" t="s">
        <v>208</v>
      </c>
      <c r="O201" s="12">
        <v>510000</v>
      </c>
      <c r="P201" s="3">
        <f>(2750+4668+274)/12</f>
        <v>641</v>
      </c>
      <c r="R201" s="3">
        <v>2381</v>
      </c>
      <c r="S201" s="12">
        <f t="shared" si="9"/>
        <v>81.308333333333337</v>
      </c>
      <c r="T201" s="3">
        <f t="shared" si="10"/>
        <v>3103.3083333333334</v>
      </c>
      <c r="U201" s="2">
        <f t="shared" si="11"/>
        <v>1050992.5</v>
      </c>
    </row>
    <row r="202" spans="1:21" ht="13.8" x14ac:dyDescent="0.3">
      <c r="A202" s="6">
        <v>45444</v>
      </c>
      <c r="B202" s="2" t="s">
        <v>562</v>
      </c>
      <c r="C202" s="2" t="s">
        <v>4</v>
      </c>
      <c r="D202" s="2" t="s">
        <v>162</v>
      </c>
      <c r="E202" s="2" t="s">
        <v>375</v>
      </c>
      <c r="F202" s="2">
        <v>2000</v>
      </c>
      <c r="G202" s="2">
        <v>1104</v>
      </c>
      <c r="H202" s="2">
        <v>1104</v>
      </c>
      <c r="J202" s="2">
        <v>1</v>
      </c>
      <c r="K202" s="2">
        <v>2</v>
      </c>
      <c r="L202" s="2">
        <v>2</v>
      </c>
      <c r="M202" s="2">
        <v>10</v>
      </c>
      <c r="N202" s="5" t="s">
        <v>209</v>
      </c>
      <c r="O202" s="12">
        <v>519900</v>
      </c>
      <c r="P202" s="3">
        <f>8170/12</f>
        <v>680.83333333333337</v>
      </c>
      <c r="R202" s="3">
        <v>2441</v>
      </c>
      <c r="S202" s="12">
        <f t="shared" si="9"/>
        <v>77.400000000000006</v>
      </c>
      <c r="T202" s="3">
        <f t="shared" si="10"/>
        <v>3199.2333333333336</v>
      </c>
      <c r="U202" s="2">
        <f t="shared" si="11"/>
        <v>1079770</v>
      </c>
    </row>
    <row r="203" spans="1:21" ht="13.8" x14ac:dyDescent="0.3">
      <c r="A203" s="6">
        <v>45444</v>
      </c>
      <c r="B203" s="2" t="s">
        <v>563</v>
      </c>
      <c r="C203" s="2" t="s">
        <v>4</v>
      </c>
      <c r="D203" s="2" t="s">
        <v>162</v>
      </c>
      <c r="E203" s="2" t="s">
        <v>375</v>
      </c>
      <c r="F203" s="2">
        <v>2010</v>
      </c>
      <c r="G203" s="2">
        <v>1200</v>
      </c>
      <c r="H203" s="2">
        <v>1200</v>
      </c>
      <c r="J203" s="2">
        <v>1</v>
      </c>
      <c r="K203" s="2">
        <v>2</v>
      </c>
      <c r="L203" s="2">
        <v>2</v>
      </c>
      <c r="M203" s="2">
        <v>7</v>
      </c>
      <c r="N203" s="5" t="s">
        <v>210</v>
      </c>
      <c r="O203" s="12">
        <v>525000</v>
      </c>
      <c r="P203" s="3">
        <f>(3601+4896)/12</f>
        <v>708.08333333333337</v>
      </c>
      <c r="R203" s="3">
        <v>2472</v>
      </c>
      <c r="S203" s="12">
        <f t="shared" si="9"/>
        <v>83.000000000000014</v>
      </c>
      <c r="T203" s="3">
        <f t="shared" si="10"/>
        <v>3263.0833333333335</v>
      </c>
      <c r="U203" s="2">
        <f t="shared" si="11"/>
        <v>1098925</v>
      </c>
    </row>
    <row r="204" spans="1:21" ht="13.8" x14ac:dyDescent="0.3">
      <c r="A204" s="6">
        <v>45444</v>
      </c>
      <c r="B204" s="2" t="s">
        <v>564</v>
      </c>
      <c r="C204" s="2" t="s">
        <v>4</v>
      </c>
      <c r="D204" s="2" t="s">
        <v>162</v>
      </c>
      <c r="E204" s="2" t="s">
        <v>375</v>
      </c>
      <c r="F204" s="2">
        <v>2002</v>
      </c>
      <c r="G204" s="2">
        <v>1170</v>
      </c>
      <c r="H204" s="2">
        <v>1170</v>
      </c>
      <c r="J204" s="2">
        <v>1</v>
      </c>
      <c r="K204" s="2">
        <v>2</v>
      </c>
      <c r="L204" s="2">
        <v>2</v>
      </c>
      <c r="M204" s="2">
        <v>9</v>
      </c>
      <c r="N204" s="5" t="s">
        <v>211</v>
      </c>
      <c r="O204" s="12">
        <v>529000</v>
      </c>
      <c r="P204" s="3">
        <f>(412*12+3343)/12</f>
        <v>690.58333333333337</v>
      </c>
      <c r="R204" s="3">
        <v>2497</v>
      </c>
      <c r="S204" s="12">
        <f t="shared" si="9"/>
        <v>81.250000000000014</v>
      </c>
      <c r="T204" s="3">
        <f t="shared" si="10"/>
        <v>3268.8333333333335</v>
      </c>
      <c r="U204" s="2">
        <f t="shared" si="11"/>
        <v>1100650</v>
      </c>
    </row>
    <row r="205" spans="1:21" ht="13.8" x14ac:dyDescent="0.3">
      <c r="A205" s="6">
        <v>45444</v>
      </c>
      <c r="B205" s="2" t="s">
        <v>565</v>
      </c>
      <c r="C205" s="2" t="s">
        <v>4</v>
      </c>
      <c r="D205" s="2" t="s">
        <v>162</v>
      </c>
      <c r="E205" s="2" t="s">
        <v>375</v>
      </c>
      <c r="F205" s="2">
        <v>1980</v>
      </c>
      <c r="G205" s="2">
        <v>1192</v>
      </c>
      <c r="H205" s="2">
        <v>1192</v>
      </c>
      <c r="J205" s="2">
        <v>1</v>
      </c>
      <c r="K205" s="2">
        <v>2</v>
      </c>
      <c r="L205" s="2">
        <v>1</v>
      </c>
      <c r="M205" s="2">
        <v>6</v>
      </c>
      <c r="N205" s="5" t="s">
        <v>212</v>
      </c>
      <c r="O205" s="12">
        <v>535000</v>
      </c>
      <c r="P205" s="3">
        <f>(2906+7020)/12</f>
        <v>827.16666666666663</v>
      </c>
      <c r="R205" s="3">
        <v>2533</v>
      </c>
      <c r="S205" s="12">
        <f t="shared" si="9"/>
        <v>82.533333333333346</v>
      </c>
      <c r="T205" s="3">
        <f t="shared" si="10"/>
        <v>3442.7</v>
      </c>
      <c r="U205" s="2">
        <f t="shared" si="11"/>
        <v>1152810</v>
      </c>
    </row>
    <row r="206" spans="1:21" ht="13.8" x14ac:dyDescent="0.3">
      <c r="A206" s="6">
        <v>45444</v>
      </c>
      <c r="B206" s="2" t="s">
        <v>566</v>
      </c>
      <c r="C206" s="2" t="s">
        <v>4</v>
      </c>
      <c r="D206" s="2" t="s">
        <v>162</v>
      </c>
      <c r="E206" s="2" t="s">
        <v>375</v>
      </c>
      <c r="F206" s="2">
        <v>2012</v>
      </c>
      <c r="G206" s="2">
        <v>1062</v>
      </c>
      <c r="H206" s="2">
        <v>1062</v>
      </c>
      <c r="J206" s="2">
        <v>1</v>
      </c>
      <c r="K206" s="2">
        <v>2</v>
      </c>
      <c r="L206" s="2">
        <v>1</v>
      </c>
      <c r="M206" s="2">
        <v>7</v>
      </c>
      <c r="N206" s="5" t="s">
        <v>213</v>
      </c>
      <c r="O206" s="12">
        <v>549000</v>
      </c>
      <c r="P206" s="3">
        <f>(5268+3250)/12</f>
        <v>709.83333333333337</v>
      </c>
      <c r="R206" s="3">
        <v>2619</v>
      </c>
      <c r="S206" s="12">
        <f t="shared" si="9"/>
        <v>74.950000000000017</v>
      </c>
      <c r="T206" s="3">
        <f t="shared" si="10"/>
        <v>3403.7833333333333</v>
      </c>
      <c r="U206" s="2">
        <f t="shared" si="11"/>
        <v>1141135</v>
      </c>
    </row>
    <row r="207" spans="1:21" ht="13.8" x14ac:dyDescent="0.3">
      <c r="A207" s="6">
        <v>45444</v>
      </c>
      <c r="B207" s="2" t="s">
        <v>567</v>
      </c>
      <c r="C207" s="2" t="s">
        <v>4</v>
      </c>
      <c r="D207" s="2" t="s">
        <v>162</v>
      </c>
      <c r="E207" s="2" t="s">
        <v>375</v>
      </c>
      <c r="F207" s="2">
        <v>2022</v>
      </c>
      <c r="G207" s="2">
        <v>929</v>
      </c>
      <c r="H207" s="2">
        <v>929</v>
      </c>
      <c r="J207" s="2">
        <v>1</v>
      </c>
      <c r="K207" s="2">
        <v>2</v>
      </c>
      <c r="L207" s="2">
        <v>1</v>
      </c>
      <c r="M207" s="2">
        <v>6</v>
      </c>
      <c r="N207" s="5" t="s">
        <v>214</v>
      </c>
      <c r="O207" s="12">
        <v>553900</v>
      </c>
      <c r="P207" s="3">
        <f>(2958+4772)/12</f>
        <v>644.16666666666663</v>
      </c>
      <c r="R207" s="3">
        <v>2648.49</v>
      </c>
      <c r="S207" s="12">
        <f t="shared" si="9"/>
        <v>67.191666666666663</v>
      </c>
      <c r="T207" s="3">
        <f t="shared" si="10"/>
        <v>3359.8483333333329</v>
      </c>
      <c r="U207" s="2">
        <f t="shared" si="11"/>
        <v>1127954.4999999998</v>
      </c>
    </row>
    <row r="208" spans="1:21" ht="13.8" x14ac:dyDescent="0.3">
      <c r="A208" s="6">
        <v>45444</v>
      </c>
      <c r="B208" s="2" t="s">
        <v>568</v>
      </c>
      <c r="C208" s="2" t="s">
        <v>4</v>
      </c>
      <c r="D208" s="2" t="s">
        <v>162</v>
      </c>
      <c r="E208" s="2" t="s">
        <v>375</v>
      </c>
      <c r="F208" s="2">
        <v>1991</v>
      </c>
      <c r="G208" s="2">
        <v>961</v>
      </c>
      <c r="H208" s="2">
        <v>961</v>
      </c>
      <c r="J208" s="2">
        <v>1</v>
      </c>
      <c r="K208" s="2">
        <v>1</v>
      </c>
      <c r="L208" s="2">
        <v>1</v>
      </c>
      <c r="M208" s="2">
        <v>5</v>
      </c>
      <c r="N208" s="5" t="s">
        <v>215</v>
      </c>
      <c r="O208" s="12">
        <v>555000</v>
      </c>
      <c r="P208" s="3">
        <f>(2745+289+594*12)/12</f>
        <v>846.83333333333337</v>
      </c>
      <c r="R208" s="3">
        <v>2655</v>
      </c>
      <c r="S208" s="12">
        <f t="shared" si="9"/>
        <v>69.058333333333337</v>
      </c>
      <c r="T208" s="3">
        <f t="shared" si="10"/>
        <v>3570.8916666666669</v>
      </c>
      <c r="U208" s="2">
        <f t="shared" si="11"/>
        <v>1191267.5</v>
      </c>
    </row>
    <row r="209" spans="1:21" ht="13.8" x14ac:dyDescent="0.3">
      <c r="A209" s="6">
        <v>45444</v>
      </c>
      <c r="B209" s="2" t="s">
        <v>569</v>
      </c>
      <c r="C209" s="2" t="s">
        <v>4</v>
      </c>
      <c r="D209" s="2" t="s">
        <v>162</v>
      </c>
      <c r="E209" s="2" t="s">
        <v>375</v>
      </c>
      <c r="F209" s="2">
        <v>2005</v>
      </c>
      <c r="G209" s="2">
        <v>1199</v>
      </c>
      <c r="H209" s="2">
        <v>1199</v>
      </c>
      <c r="J209" s="2">
        <v>1</v>
      </c>
      <c r="K209" s="2">
        <v>2</v>
      </c>
      <c r="L209" s="2">
        <v>2</v>
      </c>
      <c r="M209" s="2">
        <v>6</v>
      </c>
      <c r="N209" s="5" t="s">
        <v>216</v>
      </c>
      <c r="O209" s="12">
        <v>559990</v>
      </c>
      <c r="P209" s="3">
        <f>(4464+2648+264)/12</f>
        <v>614.66666666666663</v>
      </c>
      <c r="R209" s="3">
        <v>2686</v>
      </c>
      <c r="S209" s="12">
        <f t="shared" si="9"/>
        <v>82.941666666666677</v>
      </c>
      <c r="T209" s="3">
        <f t="shared" si="10"/>
        <v>3383.6083333333331</v>
      </c>
      <c r="U209" s="2">
        <f t="shared" si="11"/>
        <v>1135082.5</v>
      </c>
    </row>
    <row r="210" spans="1:21" ht="13.8" x14ac:dyDescent="0.3">
      <c r="A210" s="6">
        <v>45444</v>
      </c>
      <c r="B210" s="2" t="s">
        <v>570</v>
      </c>
      <c r="C210" s="2" t="s">
        <v>4</v>
      </c>
      <c r="D210" s="2" t="s">
        <v>162</v>
      </c>
      <c r="E210" s="2" t="s">
        <v>375</v>
      </c>
      <c r="F210" s="2">
        <v>2008</v>
      </c>
      <c r="G210" s="2">
        <v>1243</v>
      </c>
      <c r="H210" s="2">
        <v>1243</v>
      </c>
      <c r="J210" s="2">
        <v>1</v>
      </c>
      <c r="K210" s="2">
        <v>2</v>
      </c>
      <c r="L210" s="2">
        <v>2</v>
      </c>
      <c r="M210" s="2">
        <v>10</v>
      </c>
      <c r="N210" s="5" t="s">
        <v>217</v>
      </c>
      <c r="O210" s="12">
        <v>569000</v>
      </c>
      <c r="P210" s="3">
        <f>(372+3326+6600)/12</f>
        <v>858.16666666666663</v>
      </c>
      <c r="R210" s="3">
        <v>2741</v>
      </c>
      <c r="S210" s="12">
        <f t="shared" si="9"/>
        <v>85.50833333333334</v>
      </c>
      <c r="T210" s="3">
        <f t="shared" si="10"/>
        <v>3684.6749999999997</v>
      </c>
      <c r="U210" s="2">
        <f t="shared" si="11"/>
        <v>1225402.5</v>
      </c>
    </row>
    <row r="211" spans="1:21" ht="13.8" x14ac:dyDescent="0.3">
      <c r="A211" s="6">
        <v>45444</v>
      </c>
      <c r="B211" s="2" t="s">
        <v>571</v>
      </c>
      <c r="C211" s="2" t="s">
        <v>4</v>
      </c>
      <c r="D211" s="2" t="s">
        <v>162</v>
      </c>
      <c r="E211" s="2" t="s">
        <v>375</v>
      </c>
      <c r="F211" s="2">
        <v>1993</v>
      </c>
      <c r="G211" s="2">
        <v>1342</v>
      </c>
      <c r="H211" s="2">
        <v>1342</v>
      </c>
      <c r="J211" s="2">
        <v>1</v>
      </c>
      <c r="K211" s="2">
        <v>3</v>
      </c>
      <c r="L211" s="2">
        <v>1</v>
      </c>
      <c r="M211" s="2">
        <v>11</v>
      </c>
      <c r="N211" s="5" t="s">
        <v>218</v>
      </c>
      <c r="O211" s="12">
        <v>574000</v>
      </c>
      <c r="P211" s="3">
        <f>(3467+371+435*12)/12</f>
        <v>754.83333333333337</v>
      </c>
      <c r="R211" s="3">
        <v>2771</v>
      </c>
      <c r="S211" s="12">
        <f t="shared" si="9"/>
        <v>91.283333333333346</v>
      </c>
      <c r="T211" s="3">
        <f t="shared" si="10"/>
        <v>3617.1166666666668</v>
      </c>
      <c r="U211" s="2">
        <f t="shared" si="11"/>
        <v>1205135</v>
      </c>
    </row>
    <row r="212" spans="1:21" ht="13.8" x14ac:dyDescent="0.3">
      <c r="A212" s="6">
        <v>45444</v>
      </c>
      <c r="B212" s="2" t="s">
        <v>572</v>
      </c>
      <c r="C212" s="2" t="s">
        <v>4</v>
      </c>
      <c r="D212" s="2" t="s">
        <v>162</v>
      </c>
      <c r="E212" s="2" t="s">
        <v>375</v>
      </c>
      <c r="F212" s="2">
        <v>2015</v>
      </c>
      <c r="G212" s="2">
        <v>1138</v>
      </c>
      <c r="H212" s="2">
        <v>1138</v>
      </c>
      <c r="J212" s="2">
        <v>1</v>
      </c>
      <c r="K212" s="2">
        <v>2</v>
      </c>
      <c r="L212" s="2">
        <v>2</v>
      </c>
      <c r="M212" s="2">
        <v>10</v>
      </c>
      <c r="N212" s="5" t="s">
        <v>219</v>
      </c>
      <c r="O212" s="12">
        <v>579000</v>
      </c>
      <c r="P212" s="3">
        <f>(4068+6816)/12</f>
        <v>907</v>
      </c>
      <c r="R212" s="3">
        <v>2802</v>
      </c>
      <c r="S212" s="12">
        <f t="shared" si="9"/>
        <v>79.38333333333334</v>
      </c>
      <c r="T212" s="3">
        <f t="shared" si="10"/>
        <v>3788.3833333333332</v>
      </c>
      <c r="U212" s="2">
        <f t="shared" si="11"/>
        <v>1256515</v>
      </c>
    </row>
    <row r="213" spans="1:21" ht="13.8" x14ac:dyDescent="0.3">
      <c r="A213" s="6">
        <v>45444</v>
      </c>
      <c r="B213" s="2" t="s">
        <v>573</v>
      </c>
      <c r="C213" s="2" t="s">
        <v>4</v>
      </c>
      <c r="D213" s="2" t="s">
        <v>162</v>
      </c>
      <c r="E213" s="2" t="s">
        <v>375</v>
      </c>
      <c r="F213" s="2">
        <v>2018</v>
      </c>
      <c r="G213" s="2">
        <v>1035</v>
      </c>
      <c r="H213" s="2">
        <v>1035</v>
      </c>
      <c r="J213" s="2">
        <v>1</v>
      </c>
      <c r="K213" s="2">
        <v>2</v>
      </c>
      <c r="L213" s="2">
        <v>1</v>
      </c>
      <c r="M213" s="2">
        <v>5</v>
      </c>
      <c r="N213" s="5" t="s">
        <v>220</v>
      </c>
      <c r="O213" s="12">
        <v>589000</v>
      </c>
      <c r="P213" s="3">
        <f>(481*12+3586+396)/12</f>
        <v>812.83333333333337</v>
      </c>
      <c r="R213" s="3">
        <v>2863</v>
      </c>
      <c r="S213" s="12">
        <f t="shared" si="9"/>
        <v>73.375</v>
      </c>
      <c r="T213" s="3">
        <f t="shared" si="10"/>
        <v>3749.2083333333335</v>
      </c>
      <c r="U213" s="2">
        <f t="shared" si="11"/>
        <v>1244762.5</v>
      </c>
    </row>
    <row r="214" spans="1:21" ht="13.8" x14ac:dyDescent="0.3">
      <c r="A214" s="6">
        <v>45444</v>
      </c>
      <c r="B214" s="2" t="s">
        <v>574</v>
      </c>
      <c r="C214" s="2" t="s">
        <v>4</v>
      </c>
      <c r="D214" s="2" t="s">
        <v>162</v>
      </c>
      <c r="E214" s="2" t="s">
        <v>1734</v>
      </c>
      <c r="F214" s="2">
        <v>1958</v>
      </c>
      <c r="G214" s="2">
        <f>(13.9*10+10*10+15*10+14*10.7+11*9+10.6*10+17*7+27.8*14+9.3*7+10.2*9.4+10*8)*1.3</f>
        <v>1940.874</v>
      </c>
      <c r="H214" s="2">
        <v>5398</v>
      </c>
      <c r="J214" s="2">
        <v>1</v>
      </c>
      <c r="K214" s="2">
        <v>4</v>
      </c>
      <c r="L214" s="2">
        <v>2</v>
      </c>
      <c r="M214" s="2">
        <v>11</v>
      </c>
      <c r="N214" s="5" t="s">
        <v>221</v>
      </c>
      <c r="O214" s="12">
        <v>589000</v>
      </c>
      <c r="P214" s="3">
        <f>3347/12</f>
        <v>278.91666666666669</v>
      </c>
      <c r="R214" s="3">
        <v>2863</v>
      </c>
      <c r="S214" s="12">
        <f t="shared" si="9"/>
        <v>126.21765000000001</v>
      </c>
      <c r="T214" s="3">
        <f t="shared" si="10"/>
        <v>3268.1343166666666</v>
      </c>
      <c r="U214" s="2">
        <f t="shared" si="11"/>
        <v>1100440.2949999999</v>
      </c>
    </row>
    <row r="215" spans="1:21" ht="13.8" x14ac:dyDescent="0.3">
      <c r="A215" s="6">
        <v>45444</v>
      </c>
      <c r="B215" s="2" t="s">
        <v>575</v>
      </c>
      <c r="C215" s="2" t="s">
        <v>4</v>
      </c>
      <c r="D215" s="2" t="s">
        <v>162</v>
      </c>
      <c r="E215" s="2" t="s">
        <v>375</v>
      </c>
      <c r="F215" s="2">
        <v>2013</v>
      </c>
      <c r="G215" s="2">
        <v>990</v>
      </c>
      <c r="H215" s="2">
        <v>990</v>
      </c>
      <c r="J215" s="2">
        <v>1</v>
      </c>
      <c r="K215" s="2">
        <v>2</v>
      </c>
      <c r="L215" s="2">
        <v>2</v>
      </c>
      <c r="M215" s="2">
        <v>6</v>
      </c>
      <c r="N215" s="5" t="s">
        <v>222</v>
      </c>
      <c r="O215" s="12">
        <v>595000</v>
      </c>
      <c r="P215" s="3">
        <f>(3929+10536)/12</f>
        <v>1205.4166666666667</v>
      </c>
      <c r="R215" s="3">
        <v>2899</v>
      </c>
      <c r="S215" s="12">
        <f t="shared" si="9"/>
        <v>70.75</v>
      </c>
      <c r="T215" s="3">
        <f t="shared" si="10"/>
        <v>4175.166666666667</v>
      </c>
      <c r="U215" s="2">
        <f t="shared" si="11"/>
        <v>1372550</v>
      </c>
    </row>
    <row r="216" spans="1:21" ht="13.8" x14ac:dyDescent="0.3">
      <c r="A216" s="6">
        <v>45444</v>
      </c>
      <c r="B216" s="2" t="s">
        <v>576</v>
      </c>
      <c r="C216" s="2" t="s">
        <v>4</v>
      </c>
      <c r="D216" s="2" t="s">
        <v>162</v>
      </c>
      <c r="E216" s="2" t="s">
        <v>375</v>
      </c>
      <c r="F216" s="2">
        <v>2014</v>
      </c>
      <c r="G216" s="2">
        <v>1060</v>
      </c>
      <c r="H216" s="2">
        <v>1060</v>
      </c>
      <c r="J216" s="2">
        <v>1</v>
      </c>
      <c r="K216" s="2">
        <v>2</v>
      </c>
      <c r="L216" s="2">
        <v>2</v>
      </c>
      <c r="M216" s="2">
        <v>5</v>
      </c>
      <c r="N216" s="5" t="s">
        <v>223</v>
      </c>
      <c r="O216" s="12">
        <v>598000</v>
      </c>
      <c r="P216" s="3">
        <f>(5580+3447+370)/12</f>
        <v>783.08333333333337</v>
      </c>
      <c r="R216" s="3">
        <v>2918</v>
      </c>
      <c r="S216" s="12">
        <f t="shared" si="9"/>
        <v>74.833333333333343</v>
      </c>
      <c r="T216" s="3">
        <f t="shared" si="10"/>
        <v>3775.916666666667</v>
      </c>
      <c r="U216" s="2">
        <f t="shared" si="11"/>
        <v>1252775</v>
      </c>
    </row>
    <row r="217" spans="1:21" ht="13.8" x14ac:dyDescent="0.3">
      <c r="A217" s="6">
        <v>45444</v>
      </c>
      <c r="B217" s="2" t="s">
        <v>577</v>
      </c>
      <c r="C217" s="2" t="s">
        <v>4</v>
      </c>
      <c r="D217" s="2" t="s">
        <v>162</v>
      </c>
      <c r="E217" s="2" t="s">
        <v>1734</v>
      </c>
      <c r="F217" s="2">
        <v>1962</v>
      </c>
      <c r="G217" s="2">
        <f>(15.5*12.6+10.6*9.4+14.2*12.3+12.7*12.5+9*5+11*10+9*7.1+17*16.5+13*12+13*9)*1.3</f>
        <v>1820.9750000000001</v>
      </c>
      <c r="H217" s="2">
        <v>5016</v>
      </c>
      <c r="J217" s="2">
        <v>2</v>
      </c>
      <c r="K217" s="2">
        <v>5</v>
      </c>
      <c r="L217" s="2">
        <v>1</v>
      </c>
      <c r="M217" s="2">
        <v>10</v>
      </c>
      <c r="N217" s="5" t="s">
        <v>224</v>
      </c>
      <c r="O217" s="12">
        <v>599000</v>
      </c>
      <c r="P217" s="3">
        <f>(3515)/12</f>
        <v>292.91666666666669</v>
      </c>
      <c r="R217" s="3">
        <v>2924</v>
      </c>
      <c r="S217" s="12">
        <f t="shared" si="9"/>
        <v>119.22354166666668</v>
      </c>
      <c r="T217" s="3">
        <f t="shared" si="10"/>
        <v>3336.1402083333332</v>
      </c>
      <c r="U217" s="2">
        <f t="shared" si="11"/>
        <v>1120842.0625</v>
      </c>
    </row>
    <row r="218" spans="1:21" ht="13.8" x14ac:dyDescent="0.3">
      <c r="A218" s="6">
        <v>45444</v>
      </c>
      <c r="B218" s="2" t="s">
        <v>578</v>
      </c>
      <c r="C218" s="2" t="s">
        <v>4</v>
      </c>
      <c r="D218" s="2" t="s">
        <v>162</v>
      </c>
      <c r="E218" s="2" t="s">
        <v>375</v>
      </c>
      <c r="F218" s="2">
        <v>2011</v>
      </c>
      <c r="G218" s="2">
        <v>1065</v>
      </c>
      <c r="H218" s="2">
        <v>1065</v>
      </c>
      <c r="J218" s="2">
        <v>1</v>
      </c>
      <c r="K218" s="2">
        <v>2</v>
      </c>
      <c r="L218" s="2">
        <v>1</v>
      </c>
      <c r="M218" s="2">
        <v>4</v>
      </c>
      <c r="N218" s="5" t="s">
        <v>225</v>
      </c>
      <c r="O218" s="12">
        <v>599000</v>
      </c>
      <c r="P218" s="3">
        <f>(5040+3045+312)/12</f>
        <v>699.75</v>
      </c>
      <c r="R218" s="3">
        <v>2924</v>
      </c>
      <c r="S218" s="12">
        <f t="shared" si="9"/>
        <v>75.125</v>
      </c>
      <c r="T218" s="3">
        <f t="shared" si="10"/>
        <v>3698.875</v>
      </c>
      <c r="U218" s="2">
        <f t="shared" si="11"/>
        <v>1229662.5</v>
      </c>
    </row>
    <row r="219" spans="1:21" ht="13.8" x14ac:dyDescent="0.3">
      <c r="A219" s="6">
        <v>45444</v>
      </c>
      <c r="B219" s="2" t="s">
        <v>579</v>
      </c>
      <c r="C219" s="2" t="s">
        <v>4</v>
      </c>
      <c r="D219" s="2" t="s">
        <v>162</v>
      </c>
      <c r="E219" s="2" t="s">
        <v>375</v>
      </c>
      <c r="F219" s="2">
        <v>2013</v>
      </c>
      <c r="G219" s="2">
        <v>1343</v>
      </c>
      <c r="H219" s="2">
        <v>1343</v>
      </c>
      <c r="J219" s="2">
        <v>1</v>
      </c>
      <c r="K219" s="2">
        <v>2</v>
      </c>
      <c r="L219" s="2">
        <v>2</v>
      </c>
      <c r="M219" s="2">
        <v>7</v>
      </c>
      <c r="N219" s="5" t="s">
        <v>226</v>
      </c>
      <c r="O219" s="12">
        <v>599000</v>
      </c>
      <c r="P219" s="3">
        <f>9485/12</f>
        <v>790.41666666666663</v>
      </c>
      <c r="R219" s="3">
        <v>2924</v>
      </c>
      <c r="S219" s="12">
        <f t="shared" si="9"/>
        <v>91.341666666666683</v>
      </c>
      <c r="T219" s="3">
        <f t="shared" si="10"/>
        <v>3805.7583333333332</v>
      </c>
      <c r="U219" s="2">
        <f t="shared" si="11"/>
        <v>1261727.5</v>
      </c>
    </row>
    <row r="220" spans="1:21" ht="13.8" x14ac:dyDescent="0.3">
      <c r="A220" s="6">
        <v>45444</v>
      </c>
      <c r="B220" s="2" t="s">
        <v>580</v>
      </c>
      <c r="C220" s="2" t="s">
        <v>4</v>
      </c>
      <c r="D220" s="2" t="s">
        <v>227</v>
      </c>
      <c r="E220" s="2" t="s">
        <v>375</v>
      </c>
      <c r="F220" s="2">
        <v>1999</v>
      </c>
      <c r="G220" s="2">
        <v>504</v>
      </c>
      <c r="H220" s="2">
        <v>504</v>
      </c>
      <c r="J220" s="2">
        <v>1</v>
      </c>
      <c r="K220" s="2">
        <v>1</v>
      </c>
      <c r="L220" s="2">
        <v>1</v>
      </c>
      <c r="M220" s="2">
        <v>5</v>
      </c>
      <c r="N220" s="5" t="s">
        <v>228</v>
      </c>
      <c r="O220" s="12">
        <v>219000</v>
      </c>
      <c r="P220" s="3">
        <f>(4416+1577+123)/12</f>
        <v>509.66666666666669</v>
      </c>
      <c r="R220" s="3">
        <v>604</v>
      </c>
      <c r="S220" s="12">
        <f t="shared" si="9"/>
        <v>42.400000000000006</v>
      </c>
      <c r="T220" s="3">
        <f t="shared" si="10"/>
        <v>1156.0666666666668</v>
      </c>
      <c r="U220" s="2">
        <f t="shared" si="11"/>
        <v>466820.00000000006</v>
      </c>
    </row>
    <row r="221" spans="1:21" ht="13.8" x14ac:dyDescent="0.3">
      <c r="A221" s="6">
        <v>45444</v>
      </c>
      <c r="B221" s="2" t="s">
        <v>518</v>
      </c>
      <c r="C221" s="2" t="s">
        <v>4</v>
      </c>
      <c r="D221" s="2" t="s">
        <v>227</v>
      </c>
      <c r="E221" s="2" t="s">
        <v>375</v>
      </c>
      <c r="F221" s="2">
        <v>1975</v>
      </c>
      <c r="G221" s="2">
        <v>593</v>
      </c>
      <c r="H221" s="2">
        <v>593</v>
      </c>
      <c r="J221" s="2">
        <v>1</v>
      </c>
      <c r="K221" s="2">
        <v>1</v>
      </c>
      <c r="L221" s="2">
        <v>1</v>
      </c>
      <c r="M221" s="2">
        <v>4</v>
      </c>
      <c r="N221" s="5" t="s">
        <v>229</v>
      </c>
      <c r="O221" s="12">
        <v>238000</v>
      </c>
      <c r="P221" s="3">
        <f>(4524+1447)/12</f>
        <v>497.58333333333331</v>
      </c>
      <c r="R221" s="3">
        <v>720</v>
      </c>
      <c r="S221" s="12">
        <f t="shared" si="9"/>
        <v>47.591666666666669</v>
      </c>
      <c r="T221" s="3">
        <f t="shared" si="10"/>
        <v>1265.175</v>
      </c>
      <c r="U221" s="2">
        <f t="shared" si="11"/>
        <v>499552.49999999994</v>
      </c>
    </row>
    <row r="222" spans="1:21" ht="13.8" x14ac:dyDescent="0.3">
      <c r="A222" s="6">
        <v>45444</v>
      </c>
      <c r="B222" s="2" t="s">
        <v>519</v>
      </c>
      <c r="C222" s="2" t="s">
        <v>4</v>
      </c>
      <c r="D222" s="2" t="s">
        <v>227</v>
      </c>
      <c r="E222" s="2" t="s">
        <v>375</v>
      </c>
      <c r="F222" s="2">
        <v>2010</v>
      </c>
      <c r="G222" s="2">
        <v>733</v>
      </c>
      <c r="H222" s="2">
        <v>733</v>
      </c>
      <c r="J222" s="2">
        <v>1</v>
      </c>
      <c r="K222" s="2">
        <v>1</v>
      </c>
      <c r="L222" s="2">
        <v>1</v>
      </c>
      <c r="M222" s="2">
        <v>8</v>
      </c>
      <c r="N222" s="5" t="s">
        <v>230</v>
      </c>
      <c r="O222" s="12">
        <v>250000</v>
      </c>
      <c r="P222" s="3">
        <f>(2464+8868)/12</f>
        <v>944.33333333333337</v>
      </c>
      <c r="R222" s="3">
        <v>794</v>
      </c>
      <c r="S222" s="12">
        <f t="shared" si="9"/>
        <v>55.758333333333333</v>
      </c>
      <c r="T222" s="3">
        <f t="shared" si="10"/>
        <v>1794.0916666666669</v>
      </c>
      <c r="U222" s="2">
        <f t="shared" si="11"/>
        <v>658227.5</v>
      </c>
    </row>
    <row r="223" spans="1:21" ht="13.8" x14ac:dyDescent="0.3">
      <c r="A223" s="6">
        <v>45444</v>
      </c>
      <c r="B223" s="2" t="s">
        <v>581</v>
      </c>
      <c r="C223" s="2" t="s">
        <v>4</v>
      </c>
      <c r="D223" s="2" t="s">
        <v>227</v>
      </c>
      <c r="E223" s="2" t="s">
        <v>375</v>
      </c>
      <c r="F223" s="2">
        <v>1977</v>
      </c>
      <c r="G223" s="2">
        <v>596</v>
      </c>
      <c r="H223" s="2">
        <v>596</v>
      </c>
      <c r="J223" s="2">
        <v>1</v>
      </c>
      <c r="K223" s="2">
        <v>1</v>
      </c>
      <c r="L223" s="2">
        <v>1</v>
      </c>
      <c r="M223" s="2">
        <v>4</v>
      </c>
      <c r="N223" s="5" t="s">
        <v>231</v>
      </c>
      <c r="O223" s="12">
        <v>267909</v>
      </c>
      <c r="P223" s="3">
        <f>(1582+4524)/12</f>
        <v>508.83333333333331</v>
      </c>
      <c r="R223" s="3">
        <v>903</v>
      </c>
      <c r="S223" s="12">
        <f t="shared" si="9"/>
        <v>47.766666666666673</v>
      </c>
      <c r="T223" s="3">
        <f t="shared" si="10"/>
        <v>1459.6</v>
      </c>
      <c r="U223" s="2">
        <f t="shared" si="11"/>
        <v>557880</v>
      </c>
    </row>
    <row r="224" spans="1:21" ht="13.8" x14ac:dyDescent="0.3">
      <c r="A224" s="6">
        <v>45444</v>
      </c>
      <c r="B224" s="2" t="s">
        <v>521</v>
      </c>
      <c r="C224" s="2" t="s">
        <v>4</v>
      </c>
      <c r="D224" s="2" t="s">
        <v>227</v>
      </c>
      <c r="E224" s="2" t="s">
        <v>375</v>
      </c>
      <c r="F224" s="2">
        <v>2010</v>
      </c>
      <c r="G224" s="2">
        <v>732</v>
      </c>
      <c r="H224" s="2">
        <v>732</v>
      </c>
      <c r="J224" s="2">
        <v>1</v>
      </c>
      <c r="K224" s="2">
        <v>1</v>
      </c>
      <c r="L224" s="2">
        <v>1</v>
      </c>
      <c r="M224" s="2">
        <v>5</v>
      </c>
      <c r="N224" s="5" t="s">
        <v>232</v>
      </c>
      <c r="O224" s="12">
        <v>269500</v>
      </c>
      <c r="P224" s="3">
        <f>(2239+218+9060)/12</f>
        <v>959.75</v>
      </c>
      <c r="R224" s="3">
        <v>913</v>
      </c>
      <c r="S224" s="12">
        <f t="shared" si="9"/>
        <v>55.70000000000001</v>
      </c>
      <c r="T224" s="3">
        <f t="shared" si="10"/>
        <v>1928.45</v>
      </c>
      <c r="U224" s="2">
        <f t="shared" si="11"/>
        <v>698535</v>
      </c>
    </row>
    <row r="225" spans="1:21" ht="13.8" x14ac:dyDescent="0.3">
      <c r="A225" s="6">
        <v>45444</v>
      </c>
      <c r="B225" s="2" t="s">
        <v>522</v>
      </c>
      <c r="C225" s="2" t="s">
        <v>4</v>
      </c>
      <c r="D225" s="2" t="s">
        <v>227</v>
      </c>
      <c r="E225" s="2" t="s">
        <v>375</v>
      </c>
      <c r="F225" s="2">
        <v>1978</v>
      </c>
      <c r="G225" s="2">
        <v>778</v>
      </c>
      <c r="H225" s="2">
        <v>778</v>
      </c>
      <c r="J225" s="2">
        <v>1</v>
      </c>
      <c r="K225" s="2">
        <v>2</v>
      </c>
      <c r="L225" s="2">
        <v>1</v>
      </c>
      <c r="M225" s="2">
        <v>6</v>
      </c>
      <c r="N225" s="5" t="s">
        <v>233</v>
      </c>
      <c r="O225" s="12">
        <v>299000</v>
      </c>
      <c r="P225" s="3">
        <f>(1936+3372)/12</f>
        <v>442.33333333333331</v>
      </c>
      <c r="R225" s="3">
        <v>1093</v>
      </c>
      <c r="S225" s="12">
        <f t="shared" si="9"/>
        <v>58.383333333333333</v>
      </c>
      <c r="T225" s="3">
        <f t="shared" si="10"/>
        <v>1593.7166666666667</v>
      </c>
      <c r="U225" s="2">
        <f t="shared" si="11"/>
        <v>598115</v>
      </c>
    </row>
    <row r="226" spans="1:21" ht="13.8" x14ac:dyDescent="0.3">
      <c r="A226" s="6">
        <v>45444</v>
      </c>
      <c r="B226" s="2" t="s">
        <v>582</v>
      </c>
      <c r="C226" s="2" t="s">
        <v>4</v>
      </c>
      <c r="D226" s="2" t="s">
        <v>227</v>
      </c>
      <c r="E226" s="2" t="s">
        <v>375</v>
      </c>
      <c r="F226" s="2">
        <v>2018</v>
      </c>
      <c r="G226" s="2">
        <v>707</v>
      </c>
      <c r="H226" s="2">
        <v>707</v>
      </c>
      <c r="J226" s="2">
        <v>1</v>
      </c>
      <c r="K226" s="2">
        <v>1</v>
      </c>
      <c r="L226" s="2">
        <v>1</v>
      </c>
      <c r="M226" s="2">
        <v>4</v>
      </c>
      <c r="N226" s="5" t="s">
        <v>234</v>
      </c>
      <c r="O226" s="12">
        <v>299000</v>
      </c>
      <c r="P226" s="3">
        <f>(3420+1870+170)/12</f>
        <v>455</v>
      </c>
      <c r="R226" s="3">
        <v>1093</v>
      </c>
      <c r="S226" s="12">
        <f t="shared" si="9"/>
        <v>54.241666666666667</v>
      </c>
      <c r="T226" s="3">
        <f t="shared" si="10"/>
        <v>1602.2416666666666</v>
      </c>
      <c r="U226" s="2">
        <f t="shared" si="11"/>
        <v>600672.5</v>
      </c>
    </row>
    <row r="227" spans="1:21" ht="13.8" x14ac:dyDescent="0.3">
      <c r="A227" s="6">
        <v>45444</v>
      </c>
      <c r="B227" s="2" t="s">
        <v>583</v>
      </c>
      <c r="C227" s="2" t="s">
        <v>4</v>
      </c>
      <c r="D227" s="2" t="s">
        <v>227</v>
      </c>
      <c r="E227" s="2" t="s">
        <v>375</v>
      </c>
      <c r="F227" s="2">
        <v>2016</v>
      </c>
      <c r="G227" s="2">
        <v>572</v>
      </c>
      <c r="H227" s="2">
        <v>572</v>
      </c>
      <c r="J227" s="2">
        <v>1</v>
      </c>
      <c r="K227" s="2">
        <v>1</v>
      </c>
      <c r="L227" s="2">
        <v>1</v>
      </c>
      <c r="M227" s="2">
        <v>8</v>
      </c>
      <c r="N227" s="5" t="s">
        <v>235</v>
      </c>
      <c r="O227" s="12">
        <v>299900</v>
      </c>
      <c r="P227" s="3">
        <f>(2106+3780)/12</f>
        <v>490.5</v>
      </c>
      <c r="R227" s="3">
        <v>1098</v>
      </c>
      <c r="S227" s="12">
        <f t="shared" si="9"/>
        <v>46.366666666666667</v>
      </c>
      <c r="T227" s="3">
        <f t="shared" si="10"/>
        <v>1634.8666666666666</v>
      </c>
      <c r="U227" s="2">
        <f t="shared" si="11"/>
        <v>610460</v>
      </c>
    </row>
    <row r="228" spans="1:21" ht="13.8" x14ac:dyDescent="0.3">
      <c r="A228" s="6">
        <v>45444</v>
      </c>
      <c r="B228" s="2" t="s">
        <v>584</v>
      </c>
      <c r="C228" s="2" t="s">
        <v>4</v>
      </c>
      <c r="D228" s="2" t="s">
        <v>227</v>
      </c>
      <c r="E228" s="2" t="s">
        <v>375</v>
      </c>
      <c r="F228" s="2">
        <v>2011</v>
      </c>
      <c r="G228" s="2">
        <v>501</v>
      </c>
      <c r="H228" s="2">
        <v>501</v>
      </c>
      <c r="J228" s="2">
        <v>1</v>
      </c>
      <c r="K228" s="2">
        <v>1</v>
      </c>
      <c r="L228" s="2">
        <v>1</v>
      </c>
      <c r="M228" s="2">
        <v>3</v>
      </c>
      <c r="N228" s="5" t="s">
        <v>236</v>
      </c>
      <c r="O228" s="12">
        <v>305000</v>
      </c>
      <c r="P228" s="3">
        <f>(2017+229*12)/12</f>
        <v>397.08333333333331</v>
      </c>
      <c r="R228" s="3">
        <v>1129</v>
      </c>
      <c r="S228" s="12">
        <f t="shared" si="9"/>
        <v>42.225000000000009</v>
      </c>
      <c r="T228" s="3">
        <f t="shared" si="10"/>
        <v>1568.3083333333332</v>
      </c>
      <c r="U228" s="2">
        <f t="shared" si="11"/>
        <v>590492.5</v>
      </c>
    </row>
    <row r="229" spans="1:21" ht="13.8" x14ac:dyDescent="0.3">
      <c r="A229" s="6">
        <v>45444</v>
      </c>
      <c r="B229" s="2" t="s">
        <v>528</v>
      </c>
      <c r="C229" s="2" t="s">
        <v>4</v>
      </c>
      <c r="D229" s="2" t="s">
        <v>227</v>
      </c>
      <c r="E229" s="2" t="s">
        <v>375</v>
      </c>
      <c r="F229" s="2">
        <v>1977</v>
      </c>
      <c r="G229" s="2">
        <v>833</v>
      </c>
      <c r="H229" s="2">
        <v>833</v>
      </c>
      <c r="J229" s="2">
        <v>1</v>
      </c>
      <c r="K229" s="2">
        <v>2</v>
      </c>
      <c r="L229" s="2">
        <v>1</v>
      </c>
      <c r="M229" s="2">
        <v>5</v>
      </c>
      <c r="N229" s="5" t="s">
        <v>237</v>
      </c>
      <c r="O229" s="12">
        <v>309900</v>
      </c>
      <c r="P229" s="3">
        <f>(1821+5988)/12</f>
        <v>650.75</v>
      </c>
      <c r="R229" s="3">
        <v>1159</v>
      </c>
      <c r="S229" s="12">
        <f t="shared" si="9"/>
        <v>61.591666666666669</v>
      </c>
      <c r="T229" s="3">
        <f t="shared" si="10"/>
        <v>1871.3416666666667</v>
      </c>
      <c r="U229" s="2">
        <f t="shared" si="11"/>
        <v>681402.5</v>
      </c>
    </row>
    <row r="230" spans="1:21" ht="13.8" x14ac:dyDescent="0.3">
      <c r="A230" s="6">
        <v>45444</v>
      </c>
      <c r="B230" s="2" t="s">
        <v>526</v>
      </c>
      <c r="C230" s="2" t="s">
        <v>4</v>
      </c>
      <c r="D230" s="2" t="s">
        <v>227</v>
      </c>
      <c r="E230" s="2" t="s">
        <v>375</v>
      </c>
      <c r="F230" s="2">
        <v>2018</v>
      </c>
      <c r="G230" s="2">
        <v>604</v>
      </c>
      <c r="H230" s="2">
        <v>604</v>
      </c>
      <c r="J230" s="2">
        <v>1</v>
      </c>
      <c r="K230" s="2">
        <v>1</v>
      </c>
      <c r="L230" s="2">
        <v>1</v>
      </c>
      <c r="M230" s="2">
        <v>4</v>
      </c>
      <c r="N230" s="5" t="s">
        <v>238</v>
      </c>
      <c r="O230" s="12">
        <v>315000</v>
      </c>
      <c r="P230" s="3">
        <f>(3060+2230)/12</f>
        <v>440.83333333333331</v>
      </c>
      <c r="R230" s="3">
        <v>1190</v>
      </c>
      <c r="S230" s="12">
        <f t="shared" si="9"/>
        <v>48.233333333333341</v>
      </c>
      <c r="T230" s="3">
        <f t="shared" si="10"/>
        <v>1679.0666666666666</v>
      </c>
      <c r="U230" s="2">
        <f t="shared" si="11"/>
        <v>623720</v>
      </c>
    </row>
    <row r="231" spans="1:21" ht="13.8" x14ac:dyDescent="0.3">
      <c r="A231" s="6">
        <v>45444</v>
      </c>
      <c r="B231" s="2" t="s">
        <v>529</v>
      </c>
      <c r="C231" s="2" t="s">
        <v>4</v>
      </c>
      <c r="D231" s="2" t="s">
        <v>227</v>
      </c>
      <c r="E231" s="2" t="s">
        <v>375</v>
      </c>
      <c r="F231" s="2">
        <v>1978</v>
      </c>
      <c r="G231" s="2">
        <v>995</v>
      </c>
      <c r="H231" s="2">
        <v>995</v>
      </c>
      <c r="J231" s="2">
        <v>1</v>
      </c>
      <c r="K231" s="2">
        <v>3</v>
      </c>
      <c r="L231" s="2">
        <v>1</v>
      </c>
      <c r="M231" s="2">
        <v>8</v>
      </c>
      <c r="N231" s="5" t="s">
        <v>239</v>
      </c>
      <c r="O231" s="12">
        <v>319900</v>
      </c>
      <c r="P231" s="3">
        <f>(2026+185+358*12)/12</f>
        <v>542.25</v>
      </c>
      <c r="R231" s="3">
        <v>1220</v>
      </c>
      <c r="S231" s="12">
        <f t="shared" si="9"/>
        <v>71.041666666666686</v>
      </c>
      <c r="T231" s="3">
        <f t="shared" si="10"/>
        <v>1833.2916666666667</v>
      </c>
      <c r="U231" s="2">
        <f t="shared" si="11"/>
        <v>669987.5</v>
      </c>
    </row>
    <row r="232" spans="1:21" ht="13.8" x14ac:dyDescent="0.3">
      <c r="A232" s="6">
        <v>45444</v>
      </c>
      <c r="B232" s="2" t="s">
        <v>585</v>
      </c>
      <c r="C232" s="2" t="s">
        <v>4</v>
      </c>
      <c r="D232" s="2" t="s">
        <v>227</v>
      </c>
      <c r="E232" s="2" t="s">
        <v>375</v>
      </c>
      <c r="F232" s="2">
        <v>2019</v>
      </c>
      <c r="G232" s="2">
        <v>410</v>
      </c>
      <c r="H232" s="2">
        <v>410</v>
      </c>
      <c r="J232" s="2">
        <v>1</v>
      </c>
      <c r="K232" s="2">
        <v>1</v>
      </c>
      <c r="L232" s="2">
        <v>1</v>
      </c>
      <c r="M232" s="2">
        <v>5</v>
      </c>
      <c r="N232" s="5" t="s">
        <v>240</v>
      </c>
      <c r="O232" s="12">
        <v>326000</v>
      </c>
      <c r="P232" s="3">
        <f>(2353+3000)/12</f>
        <v>446.08333333333331</v>
      </c>
      <c r="R232" s="3">
        <v>1257</v>
      </c>
      <c r="S232" s="12">
        <f t="shared" si="9"/>
        <v>36.916666666666671</v>
      </c>
      <c r="T232" s="3">
        <f t="shared" si="10"/>
        <v>1740</v>
      </c>
      <c r="U232" s="2">
        <f t="shared" si="11"/>
        <v>642000</v>
      </c>
    </row>
    <row r="233" spans="1:21" ht="13.8" x14ac:dyDescent="0.3">
      <c r="A233" s="6">
        <v>45444</v>
      </c>
      <c r="B233" s="2" t="s">
        <v>586</v>
      </c>
      <c r="C233" s="2" t="s">
        <v>4</v>
      </c>
      <c r="D233" s="2" t="s">
        <v>227</v>
      </c>
      <c r="E233" s="2" t="s">
        <v>375</v>
      </c>
      <c r="F233" s="2">
        <v>2010</v>
      </c>
      <c r="G233" s="2">
        <v>703</v>
      </c>
      <c r="H233" s="2">
        <v>703</v>
      </c>
      <c r="J233" s="2">
        <v>1</v>
      </c>
      <c r="K233" s="2">
        <v>1</v>
      </c>
      <c r="L233" s="2">
        <v>1</v>
      </c>
      <c r="M233" s="2">
        <v>5</v>
      </c>
      <c r="N233" s="5" t="s">
        <v>241</v>
      </c>
      <c r="O233" s="12">
        <v>329000</v>
      </c>
      <c r="P233" s="3">
        <f>(2432+2676)/12</f>
        <v>425.66666666666669</v>
      </c>
      <c r="R233" s="3">
        <v>1276</v>
      </c>
      <c r="S233" s="12">
        <f t="shared" si="9"/>
        <v>54.008333333333333</v>
      </c>
      <c r="T233" s="3">
        <f t="shared" si="10"/>
        <v>1755.6750000000002</v>
      </c>
      <c r="U233" s="2">
        <f t="shared" si="11"/>
        <v>646702.5</v>
      </c>
    </row>
    <row r="234" spans="1:21" ht="13.8" x14ac:dyDescent="0.3">
      <c r="A234" s="6">
        <v>45444</v>
      </c>
      <c r="B234" s="2" t="s">
        <v>588</v>
      </c>
      <c r="C234" s="2" t="s">
        <v>4</v>
      </c>
      <c r="D234" s="2" t="s">
        <v>227</v>
      </c>
      <c r="E234" s="2" t="s">
        <v>375</v>
      </c>
      <c r="F234" s="2">
        <v>1987</v>
      </c>
      <c r="G234" s="2">
        <v>829</v>
      </c>
      <c r="H234" s="2">
        <v>829</v>
      </c>
      <c r="J234" s="2">
        <v>1</v>
      </c>
      <c r="K234" s="2">
        <v>2</v>
      </c>
      <c r="L234" s="2">
        <v>1</v>
      </c>
      <c r="M234" s="2">
        <v>7</v>
      </c>
      <c r="N234" s="5" t="s">
        <v>242</v>
      </c>
      <c r="O234" s="12">
        <v>335000</v>
      </c>
      <c r="P234" s="3">
        <f>(2140+222*12)/12</f>
        <v>400.33333333333331</v>
      </c>
      <c r="R234" s="3">
        <v>1312</v>
      </c>
      <c r="S234" s="12">
        <f t="shared" si="9"/>
        <v>61.358333333333341</v>
      </c>
      <c r="T234" s="3">
        <f t="shared" si="10"/>
        <v>1773.6916666666666</v>
      </c>
      <c r="U234" s="2">
        <f t="shared" si="11"/>
        <v>652107.5</v>
      </c>
    </row>
    <row r="235" spans="1:21" ht="13.8" x14ac:dyDescent="0.3">
      <c r="A235" s="6">
        <v>45444</v>
      </c>
      <c r="B235" s="2" t="s">
        <v>589</v>
      </c>
      <c r="C235" s="2" t="s">
        <v>4</v>
      </c>
      <c r="D235" s="2" t="s">
        <v>227</v>
      </c>
      <c r="E235" s="2" t="s">
        <v>375</v>
      </c>
      <c r="F235" s="2">
        <v>1987</v>
      </c>
      <c r="G235" s="2">
        <v>829</v>
      </c>
      <c r="H235" s="2">
        <v>829</v>
      </c>
      <c r="J235" s="2">
        <v>1</v>
      </c>
      <c r="K235" s="2">
        <v>2</v>
      </c>
      <c r="L235" s="2">
        <v>1</v>
      </c>
      <c r="M235" s="2">
        <v>6</v>
      </c>
      <c r="N235" s="5" t="s">
        <v>243</v>
      </c>
      <c r="O235" s="12">
        <v>338000</v>
      </c>
      <c r="P235" s="3">
        <f>(1951+207*12)/12</f>
        <v>369.58333333333331</v>
      </c>
      <c r="R235" s="3">
        <v>1331</v>
      </c>
      <c r="S235" s="12">
        <f t="shared" si="9"/>
        <v>61.358333333333341</v>
      </c>
      <c r="T235" s="3">
        <f t="shared" si="10"/>
        <v>1761.9416666666666</v>
      </c>
      <c r="U235" s="2">
        <f t="shared" si="11"/>
        <v>648582.5</v>
      </c>
    </row>
    <row r="236" spans="1:21" ht="13.8" x14ac:dyDescent="0.3">
      <c r="A236" s="6">
        <v>45444</v>
      </c>
      <c r="B236" s="2" t="s">
        <v>590</v>
      </c>
      <c r="C236" s="2" t="s">
        <v>4</v>
      </c>
      <c r="D236" s="2" t="s">
        <v>227</v>
      </c>
      <c r="E236" s="2" t="s">
        <v>375</v>
      </c>
      <c r="F236" s="2">
        <v>2010</v>
      </c>
      <c r="G236" s="2">
        <v>819</v>
      </c>
      <c r="H236" s="2">
        <v>819</v>
      </c>
      <c r="J236" s="2">
        <v>1</v>
      </c>
      <c r="K236" s="2">
        <v>2</v>
      </c>
      <c r="L236" s="2">
        <v>1</v>
      </c>
      <c r="M236" s="2">
        <v>5</v>
      </c>
      <c r="N236" s="5" t="s">
        <v>244</v>
      </c>
      <c r="O236" s="12">
        <v>339000</v>
      </c>
      <c r="P236" s="3">
        <f>(2299+236*12)/12</f>
        <v>427.58333333333331</v>
      </c>
      <c r="R236" s="3">
        <v>1337</v>
      </c>
      <c r="S236" s="12">
        <f t="shared" si="9"/>
        <v>60.775000000000006</v>
      </c>
      <c r="T236" s="3">
        <f t="shared" si="10"/>
        <v>1825.3583333333333</v>
      </c>
      <c r="U236" s="2">
        <f t="shared" si="11"/>
        <v>667607.5</v>
      </c>
    </row>
    <row r="237" spans="1:21" ht="13.8" x14ac:dyDescent="0.3">
      <c r="A237" s="6">
        <v>45444</v>
      </c>
      <c r="B237" s="2" t="s">
        <v>591</v>
      </c>
      <c r="C237" s="2" t="s">
        <v>4</v>
      </c>
      <c r="D237" s="2" t="s">
        <v>227</v>
      </c>
      <c r="E237" s="2" t="s">
        <v>375</v>
      </c>
      <c r="F237" s="2">
        <v>2011</v>
      </c>
      <c r="G237" s="2">
        <v>904</v>
      </c>
      <c r="H237" s="2">
        <v>904</v>
      </c>
      <c r="J237" s="2">
        <v>1</v>
      </c>
      <c r="K237" s="2">
        <v>2</v>
      </c>
      <c r="L237" s="2">
        <v>1</v>
      </c>
      <c r="M237" s="2">
        <v>4</v>
      </c>
      <c r="N237" s="5" t="s">
        <v>245</v>
      </c>
      <c r="O237" s="12">
        <v>369000</v>
      </c>
      <c r="P237" s="3">
        <f>(2573+5292)/12</f>
        <v>655.41666666666663</v>
      </c>
      <c r="R237" s="3">
        <v>1520</v>
      </c>
      <c r="S237" s="12">
        <f t="shared" si="9"/>
        <v>65.733333333333348</v>
      </c>
      <c r="T237" s="3">
        <f t="shared" si="10"/>
        <v>2241.1499999999996</v>
      </c>
      <c r="U237" s="2">
        <f t="shared" si="11"/>
        <v>792344.99999999988</v>
      </c>
    </row>
    <row r="238" spans="1:21" ht="13.8" x14ac:dyDescent="0.3">
      <c r="A238" s="6">
        <v>45444</v>
      </c>
      <c r="B238" s="2" t="s">
        <v>592</v>
      </c>
      <c r="C238" s="2" t="s">
        <v>4</v>
      </c>
      <c r="D238" s="2" t="s">
        <v>227</v>
      </c>
      <c r="E238" s="2" t="s">
        <v>375</v>
      </c>
      <c r="F238" s="2">
        <v>1984</v>
      </c>
      <c r="G238" s="2">
        <v>656</v>
      </c>
      <c r="H238" s="2">
        <v>656</v>
      </c>
      <c r="J238" s="2">
        <v>1</v>
      </c>
      <c r="K238" s="2">
        <v>1</v>
      </c>
      <c r="L238" s="2">
        <v>1</v>
      </c>
      <c r="M238" s="2">
        <v>6</v>
      </c>
      <c r="N238" s="5" t="s">
        <v>246</v>
      </c>
      <c r="O238" s="12">
        <v>375000</v>
      </c>
      <c r="P238" s="3">
        <f>(1935+2472)/12</f>
        <v>367.25</v>
      </c>
      <c r="R238" s="3">
        <v>1556</v>
      </c>
      <c r="S238" s="12">
        <f t="shared" si="9"/>
        <v>51.266666666666673</v>
      </c>
      <c r="T238" s="3">
        <f t="shared" si="10"/>
        <v>1974.5166666666667</v>
      </c>
      <c r="U238" s="2">
        <f t="shared" si="11"/>
        <v>712355</v>
      </c>
    </row>
    <row r="239" spans="1:21" ht="13.8" x14ac:dyDescent="0.3">
      <c r="A239" s="6">
        <v>45444</v>
      </c>
      <c r="B239" s="2" t="s">
        <v>593</v>
      </c>
      <c r="C239" s="2" t="s">
        <v>4</v>
      </c>
      <c r="D239" s="2" t="s">
        <v>227</v>
      </c>
      <c r="E239" s="2" t="s">
        <v>375</v>
      </c>
      <c r="F239" s="2">
        <v>2011</v>
      </c>
      <c r="G239" s="2">
        <v>938</v>
      </c>
      <c r="H239" s="2">
        <v>938</v>
      </c>
      <c r="J239" s="2">
        <v>1</v>
      </c>
      <c r="K239" s="2">
        <v>2</v>
      </c>
      <c r="L239" s="2">
        <v>1</v>
      </c>
      <c r="M239" s="2">
        <v>4</v>
      </c>
      <c r="N239" s="5" t="s">
        <v>247</v>
      </c>
      <c r="O239" s="12">
        <v>379900</v>
      </c>
      <c r="P239" s="3">
        <f>(2609+5448)/12</f>
        <v>671.41666666666663</v>
      </c>
      <c r="R239" s="3">
        <v>1586</v>
      </c>
      <c r="S239" s="12">
        <f t="shared" si="9"/>
        <v>67.716666666666669</v>
      </c>
      <c r="T239" s="3">
        <f t="shared" si="10"/>
        <v>2325.1333333333332</v>
      </c>
      <c r="U239" s="2">
        <f t="shared" si="11"/>
        <v>817540</v>
      </c>
    </row>
    <row r="240" spans="1:21" ht="13.8" x14ac:dyDescent="0.3">
      <c r="A240" s="6">
        <v>45444</v>
      </c>
      <c r="B240" s="2" t="s">
        <v>594</v>
      </c>
      <c r="C240" s="2" t="s">
        <v>4</v>
      </c>
      <c r="D240" s="2" t="s">
        <v>227</v>
      </c>
      <c r="E240" s="2" t="s">
        <v>375</v>
      </c>
      <c r="F240" s="2">
        <v>2012</v>
      </c>
      <c r="G240" s="2">
        <v>1020</v>
      </c>
      <c r="H240" s="2">
        <v>1020</v>
      </c>
      <c r="J240" s="2">
        <v>1</v>
      </c>
      <c r="K240" s="2">
        <v>3</v>
      </c>
      <c r="L240" s="2">
        <v>1</v>
      </c>
      <c r="M240" s="2">
        <v>9</v>
      </c>
      <c r="N240" s="5" t="s">
        <v>248</v>
      </c>
      <c r="O240" s="12">
        <v>385000</v>
      </c>
      <c r="P240" s="3">
        <f>(6360+2460+239)/12</f>
        <v>754.91666666666663</v>
      </c>
      <c r="R240" s="3">
        <v>1618</v>
      </c>
      <c r="S240" s="12">
        <f t="shared" si="9"/>
        <v>72.5</v>
      </c>
      <c r="T240" s="3">
        <f t="shared" si="10"/>
        <v>2445.4166666666665</v>
      </c>
      <c r="U240" s="2">
        <f t="shared" si="11"/>
        <v>853625</v>
      </c>
    </row>
    <row r="241" spans="1:21" ht="13.8" x14ac:dyDescent="0.3">
      <c r="A241" s="6">
        <v>45444</v>
      </c>
      <c r="B241" s="2" t="s">
        <v>595</v>
      </c>
      <c r="C241" s="2" t="s">
        <v>4</v>
      </c>
      <c r="D241" s="2" t="s">
        <v>227</v>
      </c>
      <c r="E241" s="2" t="s">
        <v>375</v>
      </c>
      <c r="F241" s="2">
        <v>2004</v>
      </c>
      <c r="G241" s="2">
        <v>972</v>
      </c>
      <c r="H241" s="2">
        <v>972</v>
      </c>
      <c r="J241" s="2">
        <v>1</v>
      </c>
      <c r="K241" s="2">
        <v>1</v>
      </c>
      <c r="L241" s="2">
        <v>1</v>
      </c>
      <c r="M241" s="2">
        <v>6</v>
      </c>
      <c r="N241" s="5" t="s">
        <v>249</v>
      </c>
      <c r="O241" s="12">
        <v>399900</v>
      </c>
      <c r="P241" s="3">
        <f>(2988+2907+250)/12</f>
        <v>512.08333333333337</v>
      </c>
      <c r="R241" s="3">
        <v>1708</v>
      </c>
      <c r="S241" s="12">
        <f t="shared" si="9"/>
        <v>69.700000000000017</v>
      </c>
      <c r="T241" s="3">
        <f t="shared" si="10"/>
        <v>2289.7833333333333</v>
      </c>
      <c r="U241" s="2">
        <f t="shared" si="11"/>
        <v>806935</v>
      </c>
    </row>
    <row r="242" spans="1:21" ht="13.8" x14ac:dyDescent="0.3">
      <c r="A242" s="6">
        <v>45444</v>
      </c>
      <c r="B242" s="2" t="s">
        <v>596</v>
      </c>
      <c r="C242" s="2" t="s">
        <v>4</v>
      </c>
      <c r="D242" s="2" t="s">
        <v>227</v>
      </c>
      <c r="E242" s="2" t="s">
        <v>375</v>
      </c>
      <c r="F242" s="2">
        <v>2014</v>
      </c>
      <c r="G242" s="2">
        <v>1013</v>
      </c>
      <c r="H242" s="2">
        <v>1013</v>
      </c>
      <c r="J242" s="2">
        <v>1</v>
      </c>
      <c r="K242" s="2">
        <v>2</v>
      </c>
      <c r="L242" s="2">
        <v>1</v>
      </c>
      <c r="M242" s="2">
        <v>5</v>
      </c>
      <c r="N242" s="5" t="s">
        <v>250</v>
      </c>
      <c r="O242" s="12">
        <v>399900</v>
      </c>
      <c r="P242" s="3">
        <f>(2835+319*12)/12</f>
        <v>555.25</v>
      </c>
      <c r="R242" s="3">
        <v>1708</v>
      </c>
      <c r="S242" s="12">
        <f t="shared" si="9"/>
        <v>72.091666666666669</v>
      </c>
      <c r="T242" s="3">
        <f t="shared" si="10"/>
        <v>2335.3416666666667</v>
      </c>
      <c r="U242" s="2">
        <f t="shared" si="11"/>
        <v>820602.5</v>
      </c>
    </row>
    <row r="243" spans="1:21" ht="13.8" x14ac:dyDescent="0.3">
      <c r="A243" s="6">
        <v>45444</v>
      </c>
      <c r="B243" s="2" t="s">
        <v>597</v>
      </c>
      <c r="C243" s="2" t="s">
        <v>4</v>
      </c>
      <c r="D243" s="2" t="s">
        <v>227</v>
      </c>
      <c r="E243" s="2" t="s">
        <v>375</v>
      </c>
      <c r="F243" s="2">
        <v>2012</v>
      </c>
      <c r="G243" s="2">
        <v>1023</v>
      </c>
      <c r="H243" s="2">
        <v>1023</v>
      </c>
      <c r="J243" s="2">
        <v>1</v>
      </c>
      <c r="K243" s="2">
        <v>3</v>
      </c>
      <c r="L243" s="2">
        <v>1</v>
      </c>
      <c r="M243" s="2">
        <v>5</v>
      </c>
      <c r="N243" s="5" t="s">
        <v>251</v>
      </c>
      <c r="O243" s="12">
        <v>409000</v>
      </c>
      <c r="P243" s="3">
        <f>(2655+6299)/12</f>
        <v>746.16666666666663</v>
      </c>
      <c r="R243" s="3">
        <v>1764</v>
      </c>
      <c r="S243" s="12">
        <f t="shared" si="9"/>
        <v>72.675000000000011</v>
      </c>
      <c r="T243" s="3">
        <f t="shared" si="10"/>
        <v>2582.8416666666667</v>
      </c>
      <c r="U243" s="2">
        <f t="shared" si="11"/>
        <v>894852.5</v>
      </c>
    </row>
    <row r="244" spans="1:21" ht="13.8" x14ac:dyDescent="0.3">
      <c r="A244" s="6">
        <v>45444</v>
      </c>
      <c r="B244" s="2" t="s">
        <v>598</v>
      </c>
      <c r="C244" s="2" t="s">
        <v>4</v>
      </c>
      <c r="D244" s="2" t="s">
        <v>227</v>
      </c>
      <c r="E244" s="2" t="s">
        <v>375</v>
      </c>
      <c r="F244" s="2">
        <v>2012</v>
      </c>
      <c r="G244" s="2">
        <v>1031</v>
      </c>
      <c r="H244" s="2">
        <v>1031</v>
      </c>
      <c r="J244" s="2">
        <v>1</v>
      </c>
      <c r="K244" s="2">
        <v>3</v>
      </c>
      <c r="L244" s="2">
        <v>1</v>
      </c>
      <c r="M244" s="2">
        <v>5</v>
      </c>
      <c r="N244" s="5" t="s">
        <v>252</v>
      </c>
      <c r="O244" s="12">
        <v>419000</v>
      </c>
      <c r="P244" s="3">
        <f>(2825+6443)/12</f>
        <v>772.33333333333337</v>
      </c>
      <c r="R244" s="3">
        <v>1825</v>
      </c>
      <c r="S244" s="12">
        <f t="shared" si="9"/>
        <v>73.14166666666668</v>
      </c>
      <c r="T244" s="3">
        <f t="shared" si="10"/>
        <v>2670.4750000000004</v>
      </c>
      <c r="U244" s="2">
        <f t="shared" si="11"/>
        <v>921142.50000000012</v>
      </c>
    </row>
    <row r="245" spans="1:21" ht="13.8" x14ac:dyDescent="0.3">
      <c r="A245" s="6">
        <v>45444</v>
      </c>
      <c r="B245" s="2" t="s">
        <v>599</v>
      </c>
      <c r="C245" s="2" t="s">
        <v>4</v>
      </c>
      <c r="D245" s="2" t="s">
        <v>227</v>
      </c>
      <c r="E245" s="2" t="s">
        <v>375</v>
      </c>
      <c r="F245" s="2">
        <v>2016</v>
      </c>
      <c r="G245" s="2">
        <v>761</v>
      </c>
      <c r="H245" s="2">
        <v>761</v>
      </c>
      <c r="J245" s="2">
        <v>1</v>
      </c>
      <c r="K245" s="2">
        <v>2</v>
      </c>
      <c r="L245" s="2">
        <v>1</v>
      </c>
      <c r="M245" s="2">
        <v>8</v>
      </c>
      <c r="N245" s="5" t="s">
        <v>253</v>
      </c>
      <c r="O245" s="12">
        <v>419000</v>
      </c>
      <c r="P245" s="3">
        <f>(2295+2400)/12</f>
        <v>391.25</v>
      </c>
      <c r="R245" s="3">
        <v>1825</v>
      </c>
      <c r="S245" s="12">
        <f t="shared" si="9"/>
        <v>57.391666666666673</v>
      </c>
      <c r="T245" s="3">
        <f t="shared" si="10"/>
        <v>2273.6416666666669</v>
      </c>
      <c r="U245" s="2">
        <f t="shared" si="11"/>
        <v>802092.50000000012</v>
      </c>
    </row>
    <row r="246" spans="1:21" ht="13.8" x14ac:dyDescent="0.3">
      <c r="A246" s="6">
        <v>45444</v>
      </c>
      <c r="B246" s="2" t="s">
        <v>600</v>
      </c>
      <c r="C246" s="2" t="s">
        <v>4</v>
      </c>
      <c r="D246" s="2" t="s">
        <v>227</v>
      </c>
      <c r="E246" s="2" t="s">
        <v>375</v>
      </c>
      <c r="F246" s="2">
        <v>2012</v>
      </c>
      <c r="G246" s="2">
        <v>904</v>
      </c>
      <c r="H246" s="2">
        <v>904</v>
      </c>
      <c r="J246" s="2">
        <v>1</v>
      </c>
      <c r="K246" s="2">
        <v>2</v>
      </c>
      <c r="L246" s="2">
        <v>1</v>
      </c>
      <c r="M246" s="2">
        <v>7</v>
      </c>
      <c r="N246" s="5" t="s">
        <v>254</v>
      </c>
      <c r="O246" s="12">
        <v>459000</v>
      </c>
      <c r="P246" s="3">
        <f>(2979+3540)/12</f>
        <v>543.25</v>
      </c>
      <c r="R246" s="3">
        <v>2069</v>
      </c>
      <c r="S246" s="12">
        <f t="shared" si="9"/>
        <v>65.733333333333348</v>
      </c>
      <c r="T246" s="3">
        <f t="shared" si="10"/>
        <v>2677.9833333333336</v>
      </c>
      <c r="U246" s="2">
        <f t="shared" si="11"/>
        <v>923395.00000000012</v>
      </c>
    </row>
    <row r="247" spans="1:21" ht="13.8" x14ac:dyDescent="0.3">
      <c r="A247" s="6">
        <v>45444</v>
      </c>
      <c r="B247" s="2" t="s">
        <v>601</v>
      </c>
      <c r="C247" s="2" t="s">
        <v>4</v>
      </c>
      <c r="D247" s="2" t="s">
        <v>227</v>
      </c>
      <c r="E247" s="2" t="s">
        <v>375</v>
      </c>
      <c r="F247" s="2">
        <v>2015</v>
      </c>
      <c r="G247" s="2">
        <v>1196</v>
      </c>
      <c r="H247" s="2">
        <v>1196</v>
      </c>
      <c r="J247" s="2">
        <v>1</v>
      </c>
      <c r="K247" s="2">
        <v>3</v>
      </c>
      <c r="L247" s="2">
        <v>2</v>
      </c>
      <c r="M247" s="2">
        <v>10</v>
      </c>
      <c r="N247" s="5" t="s">
        <v>255</v>
      </c>
      <c r="O247" s="12">
        <v>499000</v>
      </c>
      <c r="P247" s="3">
        <f>(3160+148*12)/12</f>
        <v>411.33333333333331</v>
      </c>
      <c r="R247" s="3">
        <v>2313</v>
      </c>
      <c r="S247" s="12">
        <f t="shared" si="9"/>
        <v>82.766666666666666</v>
      </c>
      <c r="T247" s="3">
        <f t="shared" si="10"/>
        <v>2807.1000000000004</v>
      </c>
      <c r="U247" s="2">
        <f t="shared" si="11"/>
        <v>962130.00000000012</v>
      </c>
    </row>
    <row r="248" spans="1:21" ht="13.8" x14ac:dyDescent="0.3">
      <c r="A248" s="6">
        <v>45444</v>
      </c>
      <c r="B248" s="2" t="s">
        <v>602</v>
      </c>
      <c r="C248" s="2" t="s">
        <v>4</v>
      </c>
      <c r="D248" s="2" t="s">
        <v>227</v>
      </c>
      <c r="E248" s="2" t="s">
        <v>1734</v>
      </c>
      <c r="F248" s="2">
        <v>1968</v>
      </c>
      <c r="G248" s="7">
        <f>(18*11.4+15*11.3+12.5*11.7+4.6*4.6+11.7*11.9+7.4*8+7.3*14.5+6.9*4.5+15*6.9+15.9*21.5+6.4*20.2)*1.3</f>
        <v>1887.691</v>
      </c>
      <c r="H248" s="2">
        <v>5104</v>
      </c>
      <c r="J248" s="2">
        <v>1</v>
      </c>
      <c r="K248" s="2">
        <v>3</v>
      </c>
      <c r="L248" s="2">
        <v>2</v>
      </c>
      <c r="M248" s="2">
        <v>11</v>
      </c>
      <c r="N248" s="5" t="s">
        <v>256</v>
      </c>
      <c r="O248" s="12">
        <v>499000</v>
      </c>
      <c r="P248" s="3">
        <f>3791/12</f>
        <v>315.91666666666669</v>
      </c>
      <c r="R248" s="3">
        <v>2313</v>
      </c>
      <c r="S248" s="12">
        <f t="shared" si="9"/>
        <v>123.11530833333335</v>
      </c>
      <c r="T248" s="3">
        <f t="shared" si="10"/>
        <v>2752.0319749999999</v>
      </c>
      <c r="U248" s="2">
        <f t="shared" si="11"/>
        <v>945609.59249999991</v>
      </c>
    </row>
    <row r="249" spans="1:21" ht="13.8" x14ac:dyDescent="0.3">
      <c r="A249" s="6">
        <v>45444</v>
      </c>
      <c r="B249" s="2" t="s">
        <v>603</v>
      </c>
      <c r="C249" s="2" t="s">
        <v>4</v>
      </c>
      <c r="D249" s="2" t="s">
        <v>227</v>
      </c>
      <c r="E249" s="2" t="s">
        <v>375</v>
      </c>
      <c r="F249" s="2">
        <v>2003</v>
      </c>
      <c r="G249" s="2">
        <v>1105</v>
      </c>
      <c r="H249" s="2">
        <v>1105</v>
      </c>
      <c r="J249" s="2">
        <v>1</v>
      </c>
      <c r="K249" s="2">
        <v>2</v>
      </c>
      <c r="L249" s="2">
        <v>2</v>
      </c>
      <c r="M249" s="2">
        <v>8</v>
      </c>
      <c r="N249" s="5" t="s">
        <v>257</v>
      </c>
      <c r="O249" s="12">
        <v>549000</v>
      </c>
      <c r="P249" s="3">
        <f>(4656+284+2855)/12</f>
        <v>649.58333333333337</v>
      </c>
      <c r="R249" s="3">
        <v>2619</v>
      </c>
      <c r="S249" s="12">
        <f t="shared" si="9"/>
        <v>77.458333333333343</v>
      </c>
      <c r="T249" s="3">
        <f t="shared" si="10"/>
        <v>3346.041666666667</v>
      </c>
      <c r="U249" s="2">
        <f t="shared" si="11"/>
        <v>1123812.5</v>
      </c>
    </row>
    <row r="250" spans="1:21" ht="13.8" x14ac:dyDescent="0.3">
      <c r="A250" s="6">
        <v>45444</v>
      </c>
      <c r="B250" s="2" t="s">
        <v>604</v>
      </c>
      <c r="C250" s="2" t="s">
        <v>4</v>
      </c>
      <c r="D250" s="2" t="s">
        <v>227</v>
      </c>
      <c r="E250" s="2" t="s">
        <v>375</v>
      </c>
      <c r="F250" s="2">
        <v>2017</v>
      </c>
      <c r="G250" s="2">
        <v>861</v>
      </c>
      <c r="H250" s="2">
        <v>861</v>
      </c>
      <c r="J250" s="2">
        <v>1</v>
      </c>
      <c r="K250" s="2">
        <v>2</v>
      </c>
      <c r="L250" s="2">
        <v>1</v>
      </c>
      <c r="M250" s="2">
        <v>5</v>
      </c>
      <c r="N250" s="5" t="s">
        <v>258</v>
      </c>
      <c r="O250" s="12">
        <v>567500</v>
      </c>
      <c r="P250" s="3">
        <f>(4197+374*12)/12</f>
        <v>723.75</v>
      </c>
      <c r="R250" s="3">
        <v>2732</v>
      </c>
      <c r="S250" s="12">
        <f t="shared" si="9"/>
        <v>63.225000000000001</v>
      </c>
      <c r="T250" s="3">
        <f t="shared" si="10"/>
        <v>3518.9749999999999</v>
      </c>
      <c r="U250" s="2">
        <f t="shared" si="11"/>
        <v>1175692.5</v>
      </c>
    </row>
    <row r="251" spans="1:21" ht="13.8" x14ac:dyDescent="0.3">
      <c r="A251" s="6">
        <v>45444</v>
      </c>
      <c r="B251" s="2" t="s">
        <v>605</v>
      </c>
      <c r="C251" s="2" t="s">
        <v>4</v>
      </c>
      <c r="D251" s="2" t="s">
        <v>227</v>
      </c>
      <c r="E251" s="2" t="s">
        <v>375</v>
      </c>
      <c r="F251" s="2">
        <v>2010</v>
      </c>
      <c r="G251" s="2">
        <v>1079</v>
      </c>
      <c r="H251" s="2">
        <v>1079</v>
      </c>
      <c r="J251" s="2">
        <v>1</v>
      </c>
      <c r="K251" s="2">
        <v>2</v>
      </c>
      <c r="L251" s="2">
        <v>2</v>
      </c>
      <c r="M251" s="2">
        <v>6</v>
      </c>
      <c r="N251" s="5" t="s">
        <v>259</v>
      </c>
      <c r="O251" s="12">
        <v>575000</v>
      </c>
      <c r="P251" s="3">
        <f>8725/12</f>
        <v>727.08333333333337</v>
      </c>
      <c r="R251" s="3">
        <v>2777</v>
      </c>
      <c r="S251" s="12">
        <f t="shared" si="9"/>
        <v>75.941666666666663</v>
      </c>
      <c r="T251" s="3">
        <f t="shared" si="10"/>
        <v>3580.0250000000001</v>
      </c>
      <c r="U251" s="2">
        <f t="shared" si="11"/>
        <v>1194007.5</v>
      </c>
    </row>
    <row r="252" spans="1:21" ht="13.8" x14ac:dyDescent="0.3">
      <c r="A252" s="6">
        <v>45444</v>
      </c>
      <c r="B252" s="2" t="s">
        <v>606</v>
      </c>
      <c r="C252" s="2" t="s">
        <v>4</v>
      </c>
      <c r="D252" s="2" t="s">
        <v>227</v>
      </c>
      <c r="E252" s="2" t="s">
        <v>375</v>
      </c>
      <c r="F252" s="2">
        <v>2009</v>
      </c>
      <c r="G252" s="2">
        <v>1124</v>
      </c>
      <c r="H252" s="2">
        <v>1124</v>
      </c>
      <c r="J252" s="2">
        <v>1</v>
      </c>
      <c r="K252" s="2">
        <v>2</v>
      </c>
      <c r="L252" s="2">
        <v>1</v>
      </c>
      <c r="M252" s="2">
        <v>6</v>
      </c>
      <c r="N252" s="5" t="s">
        <v>260</v>
      </c>
      <c r="O252" s="12">
        <v>599000</v>
      </c>
      <c r="P252" s="3">
        <f>(5244+3293+313)/12</f>
        <v>737.5</v>
      </c>
      <c r="R252" s="3">
        <v>2924</v>
      </c>
      <c r="S252" s="12">
        <f t="shared" si="9"/>
        <v>78.566666666666677</v>
      </c>
      <c r="T252" s="3">
        <f t="shared" si="10"/>
        <v>3740.0666666666666</v>
      </c>
      <c r="U252" s="2">
        <f t="shared" si="11"/>
        <v>1242020</v>
      </c>
    </row>
    <row r="253" spans="1:21" ht="13.8" x14ac:dyDescent="0.3">
      <c r="A253" s="6">
        <v>45444</v>
      </c>
      <c r="B253" s="2" t="s">
        <v>607</v>
      </c>
      <c r="C253" s="2" t="s">
        <v>4</v>
      </c>
      <c r="D253" s="2" t="s">
        <v>227</v>
      </c>
      <c r="E253" s="2" t="s">
        <v>1734</v>
      </c>
      <c r="F253" s="2">
        <v>1955</v>
      </c>
      <c r="G253" s="2">
        <f>(3.8*3.4+11.1*14.5+11.1*15.5+13.3*10+9.9*13.5+8*9.9+5.3*10+10.7*7.7+22.9*22.8+11.1*13.9+6.2*9.6+11.1*16)*1.3</f>
        <v>2262.8969999999999</v>
      </c>
      <c r="H253" s="2">
        <v>4250</v>
      </c>
      <c r="J253" s="2">
        <v>1</v>
      </c>
      <c r="K253" s="2">
        <v>3</v>
      </c>
      <c r="L253" s="2">
        <v>2</v>
      </c>
      <c r="M253" s="2">
        <v>11</v>
      </c>
      <c r="N253" s="5" t="s">
        <v>261</v>
      </c>
      <c r="O253" s="12">
        <v>599000</v>
      </c>
      <c r="P253" s="3">
        <f>3405/12</f>
        <v>283.75</v>
      </c>
      <c r="R253" s="3">
        <v>2924</v>
      </c>
      <c r="S253" s="12">
        <f t="shared" si="9"/>
        <v>145.00232500000001</v>
      </c>
      <c r="T253" s="3">
        <f t="shared" si="10"/>
        <v>3352.7523249999999</v>
      </c>
      <c r="U253" s="2">
        <f t="shared" si="11"/>
        <v>1125825.6975</v>
      </c>
    </row>
    <row r="254" spans="1:21" ht="13.8" x14ac:dyDescent="0.3">
      <c r="A254" s="6">
        <v>45444</v>
      </c>
      <c r="B254" s="2" t="s">
        <v>608</v>
      </c>
      <c r="C254" s="2" t="s">
        <v>4</v>
      </c>
      <c r="D254" s="2" t="s">
        <v>262</v>
      </c>
      <c r="E254" s="2" t="s">
        <v>375</v>
      </c>
      <c r="F254" s="2">
        <v>1993</v>
      </c>
      <c r="G254" s="2">
        <v>622</v>
      </c>
      <c r="H254" s="2">
        <v>622</v>
      </c>
      <c r="J254" s="2">
        <v>1</v>
      </c>
      <c r="K254" s="2">
        <v>1</v>
      </c>
      <c r="L254" s="2">
        <v>1</v>
      </c>
      <c r="M254" s="2">
        <v>6</v>
      </c>
      <c r="N254" s="5" t="s">
        <v>263</v>
      </c>
      <c r="O254" s="12">
        <v>289000</v>
      </c>
      <c r="P254" s="3">
        <f>(1681+2532)/12</f>
        <v>351.08333333333331</v>
      </c>
      <c r="R254" s="3">
        <v>1032</v>
      </c>
      <c r="S254" s="12">
        <f t="shared" si="9"/>
        <v>49.283333333333339</v>
      </c>
      <c r="T254" s="3">
        <f t="shared" si="10"/>
        <v>1432.3666666666666</v>
      </c>
      <c r="U254" s="2">
        <f t="shared" si="11"/>
        <v>549710</v>
      </c>
    </row>
    <row r="255" spans="1:21" ht="13.8" x14ac:dyDescent="0.3">
      <c r="A255" s="6">
        <v>45444</v>
      </c>
      <c r="B255" s="2" t="s">
        <v>609</v>
      </c>
      <c r="C255" s="2" t="s">
        <v>4</v>
      </c>
      <c r="D255" s="2" t="s">
        <v>262</v>
      </c>
      <c r="E255" s="2" t="s">
        <v>375</v>
      </c>
      <c r="F255" s="2">
        <v>2007</v>
      </c>
      <c r="G255" s="2">
        <v>900</v>
      </c>
      <c r="H255" s="2">
        <v>900</v>
      </c>
      <c r="J255" s="2">
        <v>1</v>
      </c>
      <c r="K255" s="2">
        <v>2</v>
      </c>
      <c r="L255" s="2">
        <v>1</v>
      </c>
      <c r="M255" s="2">
        <v>6</v>
      </c>
      <c r="N255" s="5" t="s">
        <v>264</v>
      </c>
      <c r="O255" s="12">
        <v>329000</v>
      </c>
      <c r="P255" s="3">
        <f>(2359+1152)/12</f>
        <v>292.58333333333331</v>
      </c>
      <c r="R255" s="3">
        <v>1276</v>
      </c>
      <c r="S255" s="12">
        <f t="shared" si="9"/>
        <v>65.5</v>
      </c>
      <c r="T255" s="3">
        <f t="shared" si="10"/>
        <v>1634.0833333333333</v>
      </c>
      <c r="U255" s="2">
        <f t="shared" si="11"/>
        <v>610225</v>
      </c>
    </row>
    <row r="256" spans="1:21" ht="13.8" x14ac:dyDescent="0.3">
      <c r="A256" s="6">
        <v>45444</v>
      </c>
      <c r="B256" s="2" t="s">
        <v>610</v>
      </c>
      <c r="C256" s="2" t="s">
        <v>4</v>
      </c>
      <c r="D256" s="2" t="s">
        <v>262</v>
      </c>
      <c r="E256" s="2" t="s">
        <v>375</v>
      </c>
      <c r="F256" s="2">
        <v>2007</v>
      </c>
      <c r="G256" s="2">
        <v>835</v>
      </c>
      <c r="H256" s="2">
        <v>835</v>
      </c>
      <c r="J256" s="2">
        <v>1</v>
      </c>
      <c r="K256" s="2">
        <v>2</v>
      </c>
      <c r="L256" s="2">
        <v>1</v>
      </c>
      <c r="M256" s="2">
        <v>8</v>
      </c>
      <c r="N256" s="5" t="s">
        <v>265</v>
      </c>
      <c r="O256" s="12">
        <v>344900</v>
      </c>
      <c r="P256" s="3">
        <f>(260+1939+182)/12</f>
        <v>198.41666666666666</v>
      </c>
      <c r="R256" s="3">
        <v>1373</v>
      </c>
      <c r="S256" s="12">
        <f t="shared" si="9"/>
        <v>61.708333333333336</v>
      </c>
      <c r="T256" s="3">
        <f t="shared" si="10"/>
        <v>1633.125</v>
      </c>
      <c r="U256" s="2">
        <f t="shared" si="11"/>
        <v>609937.5</v>
      </c>
    </row>
    <row r="257" spans="1:21" ht="13.8" x14ac:dyDescent="0.3">
      <c r="A257" s="6">
        <v>45444</v>
      </c>
      <c r="B257" s="2" t="s">
        <v>611</v>
      </c>
      <c r="C257" s="2" t="s">
        <v>4</v>
      </c>
      <c r="D257" s="2" t="s">
        <v>262</v>
      </c>
      <c r="E257" s="2" t="s">
        <v>375</v>
      </c>
      <c r="F257" s="2">
        <v>2007</v>
      </c>
      <c r="G257" s="2">
        <v>750</v>
      </c>
      <c r="H257" s="2">
        <v>750</v>
      </c>
      <c r="J257" s="2">
        <v>1</v>
      </c>
      <c r="K257" s="2">
        <v>2</v>
      </c>
      <c r="L257" s="2">
        <v>1</v>
      </c>
      <c r="M257" s="2">
        <v>7</v>
      </c>
      <c r="N257" s="5" t="s">
        <v>266</v>
      </c>
      <c r="O257" s="12">
        <v>379900</v>
      </c>
      <c r="P257" s="3">
        <f>(2105+1800)/12</f>
        <v>325.41666666666669</v>
      </c>
      <c r="R257" s="3">
        <v>1586</v>
      </c>
      <c r="S257" s="12">
        <f t="shared" si="9"/>
        <v>56.75</v>
      </c>
      <c r="T257" s="3">
        <f t="shared" si="10"/>
        <v>1968.1666666666667</v>
      </c>
      <c r="U257" s="2">
        <f t="shared" si="11"/>
        <v>710450</v>
      </c>
    </row>
    <row r="258" spans="1:21" ht="13.8" x14ac:dyDescent="0.3">
      <c r="A258" s="6">
        <v>45444</v>
      </c>
      <c r="B258" s="2" t="s">
        <v>612</v>
      </c>
      <c r="C258" s="2" t="s">
        <v>4</v>
      </c>
      <c r="D258" s="2" t="s">
        <v>262</v>
      </c>
      <c r="E258" s="2" t="s">
        <v>375</v>
      </c>
      <c r="F258" s="2">
        <v>2010</v>
      </c>
      <c r="G258" s="2">
        <v>930</v>
      </c>
      <c r="H258" s="2">
        <v>930</v>
      </c>
      <c r="J258" s="2">
        <v>1</v>
      </c>
      <c r="K258" s="2">
        <v>2</v>
      </c>
      <c r="L258" s="2">
        <v>1</v>
      </c>
      <c r="M258" s="2">
        <v>6</v>
      </c>
      <c r="N258" s="5" t="s">
        <v>267</v>
      </c>
      <c r="O258" s="12">
        <v>398000</v>
      </c>
      <c r="P258" s="3">
        <f>4912/12</f>
        <v>409.33333333333331</v>
      </c>
      <c r="R258" s="3">
        <v>1697</v>
      </c>
      <c r="S258" s="12">
        <f t="shared" ref="S258:S321" si="12">13+(G258*10*0.07)/12</f>
        <v>67.25</v>
      </c>
      <c r="T258" s="3">
        <f t="shared" ref="T258:T321" si="13">P258+R258+S258</f>
        <v>2173.5833333333335</v>
      </c>
      <c r="U258" s="2">
        <f t="shared" ref="U258:U321" si="14">120000+T258*12*25</f>
        <v>772075</v>
      </c>
    </row>
    <row r="259" spans="1:21" ht="13.8" x14ac:dyDescent="0.3">
      <c r="A259" s="6">
        <v>45444</v>
      </c>
      <c r="B259" s="2" t="s">
        <v>613</v>
      </c>
      <c r="C259" s="2" t="s">
        <v>4</v>
      </c>
      <c r="D259" s="2" t="s">
        <v>262</v>
      </c>
      <c r="E259" s="2" t="s">
        <v>375</v>
      </c>
      <c r="F259" s="2">
        <v>2014</v>
      </c>
      <c r="G259" s="2">
        <v>957</v>
      </c>
      <c r="H259" s="2">
        <v>957</v>
      </c>
      <c r="J259" s="2">
        <v>1</v>
      </c>
      <c r="K259" s="2">
        <v>2</v>
      </c>
      <c r="L259" s="2">
        <v>1</v>
      </c>
      <c r="M259" s="2">
        <v>7</v>
      </c>
      <c r="N259" s="5" t="s">
        <v>268</v>
      </c>
      <c r="O259" s="12">
        <v>409000</v>
      </c>
      <c r="P259" s="3">
        <f>(1068+1140+2560+264)/12</f>
        <v>419.33333333333331</v>
      </c>
      <c r="R259" s="3">
        <v>1764</v>
      </c>
      <c r="S259" s="12">
        <f t="shared" si="12"/>
        <v>68.825000000000017</v>
      </c>
      <c r="T259" s="3">
        <f t="shared" si="13"/>
        <v>2252.1583333333333</v>
      </c>
      <c r="U259" s="2">
        <f t="shared" si="14"/>
        <v>795647.5</v>
      </c>
    </row>
    <row r="260" spans="1:21" ht="13.8" x14ac:dyDescent="0.3">
      <c r="A260" s="6">
        <v>45444</v>
      </c>
      <c r="B260" s="2" t="s">
        <v>614</v>
      </c>
      <c r="C260" s="2" t="s">
        <v>4</v>
      </c>
      <c r="D260" s="2" t="s">
        <v>262</v>
      </c>
      <c r="E260" s="2" t="s">
        <v>1734</v>
      </c>
      <c r="F260" s="2">
        <v>1982</v>
      </c>
      <c r="G260" s="7">
        <f>(10*4.2+15*13+15.7*11.7+15.7*11.7+8.9*6.5+12.7*9.6+12.7*11+7.4*5.2+9.6*8)*1.3</f>
        <v>1350.8689999999999</v>
      </c>
      <c r="H260" s="2">
        <v>7500</v>
      </c>
      <c r="J260" s="2">
        <v>1</v>
      </c>
      <c r="K260" s="2">
        <v>2</v>
      </c>
      <c r="L260" s="2">
        <v>2</v>
      </c>
      <c r="M260" s="2">
        <v>8</v>
      </c>
      <c r="N260" s="5" t="s">
        <v>269</v>
      </c>
      <c r="O260" s="12">
        <v>449900</v>
      </c>
      <c r="P260" s="3">
        <f>(3398+1380)/12</f>
        <v>398.16666666666669</v>
      </c>
      <c r="R260" s="3">
        <v>2014</v>
      </c>
      <c r="S260" s="12">
        <f t="shared" si="12"/>
        <v>91.800691666666665</v>
      </c>
      <c r="T260" s="3">
        <f t="shared" si="13"/>
        <v>2503.9673583333333</v>
      </c>
      <c r="U260" s="2">
        <f t="shared" si="14"/>
        <v>871190.20750000002</v>
      </c>
    </row>
    <row r="261" spans="1:21" ht="13.8" x14ac:dyDescent="0.3">
      <c r="A261" s="6">
        <v>45444</v>
      </c>
      <c r="B261" s="2" t="s">
        <v>615</v>
      </c>
      <c r="C261" s="2" t="s">
        <v>4</v>
      </c>
      <c r="D261" s="2" t="s">
        <v>262</v>
      </c>
      <c r="E261" s="2" t="s">
        <v>375</v>
      </c>
      <c r="F261" s="2">
        <v>2005</v>
      </c>
      <c r="G261" s="2">
        <v>1207</v>
      </c>
      <c r="H261" s="2">
        <v>1207</v>
      </c>
      <c r="J261" s="2">
        <v>1</v>
      </c>
      <c r="K261" s="2">
        <v>2</v>
      </c>
      <c r="L261" s="2">
        <v>2</v>
      </c>
      <c r="M261" s="2">
        <v>8</v>
      </c>
      <c r="N261" s="5" t="s">
        <v>270</v>
      </c>
      <c r="O261" s="12">
        <v>469000</v>
      </c>
      <c r="P261" s="3">
        <f>(2945+4872)/12</f>
        <v>651.41666666666663</v>
      </c>
      <c r="R261" s="3">
        <v>2130</v>
      </c>
      <c r="S261" s="12">
        <f t="shared" si="12"/>
        <v>83.408333333333346</v>
      </c>
      <c r="T261" s="3">
        <f t="shared" si="13"/>
        <v>2864.8249999999998</v>
      </c>
      <c r="U261" s="2">
        <f t="shared" si="14"/>
        <v>979447.49999999988</v>
      </c>
    </row>
    <row r="262" spans="1:21" ht="13.8" x14ac:dyDescent="0.3">
      <c r="A262" s="6">
        <v>45444</v>
      </c>
      <c r="B262" s="2" t="s">
        <v>616</v>
      </c>
      <c r="C262" s="2" t="s">
        <v>4</v>
      </c>
      <c r="D262" s="2" t="s">
        <v>262</v>
      </c>
      <c r="E262" s="2" t="s">
        <v>1734</v>
      </c>
      <c r="F262" s="2">
        <v>2008</v>
      </c>
      <c r="G262" s="2">
        <f>(4*2+13.2*12.8+12.8*10.4+15.4*10.8+4.8+4.8+13.3*10.1+10*8+13*8.4+9.8*8.9)*1.3</f>
        <v>1165.7750000000003</v>
      </c>
      <c r="H262" s="2">
        <v>1193</v>
      </c>
      <c r="J262" s="2">
        <v>1</v>
      </c>
      <c r="K262" s="2">
        <v>3</v>
      </c>
      <c r="L262" s="2">
        <v>1</v>
      </c>
      <c r="M262" s="2">
        <v>9</v>
      </c>
      <c r="N262" s="5" t="s">
        <v>271</v>
      </c>
      <c r="O262" s="12">
        <v>479000</v>
      </c>
      <c r="P262" s="3">
        <f>(3200+3264)/12</f>
        <v>538.66666666666663</v>
      </c>
      <c r="R262" s="3">
        <v>2191</v>
      </c>
      <c r="S262" s="12">
        <f t="shared" si="12"/>
        <v>81.003541666666692</v>
      </c>
      <c r="T262" s="3">
        <f t="shared" si="13"/>
        <v>2810.670208333333</v>
      </c>
      <c r="U262" s="2">
        <f t="shared" si="14"/>
        <v>963201.06249999988</v>
      </c>
    </row>
    <row r="263" spans="1:21" ht="13.8" x14ac:dyDescent="0.3">
      <c r="A263" s="6">
        <v>45444</v>
      </c>
      <c r="B263" s="2" t="s">
        <v>617</v>
      </c>
      <c r="C263" s="2" t="s">
        <v>4</v>
      </c>
      <c r="D263" s="2" t="s">
        <v>262</v>
      </c>
      <c r="E263" s="2" t="s">
        <v>375</v>
      </c>
      <c r="F263" s="2">
        <v>2014</v>
      </c>
      <c r="G263" s="2">
        <v>974</v>
      </c>
      <c r="H263" s="2">
        <v>974</v>
      </c>
      <c r="J263" s="2">
        <v>1</v>
      </c>
      <c r="K263" s="2">
        <v>3</v>
      </c>
      <c r="L263" s="2">
        <v>1</v>
      </c>
      <c r="M263" s="2">
        <v>7</v>
      </c>
      <c r="N263" s="5" t="s">
        <v>272</v>
      </c>
      <c r="O263" s="12">
        <v>479000</v>
      </c>
      <c r="P263" s="3">
        <f>(1068+1140+2827+301)/12</f>
        <v>444.66666666666669</v>
      </c>
      <c r="R263" s="3">
        <v>2191</v>
      </c>
      <c r="S263" s="12">
        <f t="shared" si="12"/>
        <v>69.816666666666663</v>
      </c>
      <c r="T263" s="3">
        <f t="shared" si="13"/>
        <v>2705.4833333333331</v>
      </c>
      <c r="U263" s="2">
        <f t="shared" si="14"/>
        <v>931644.99999999988</v>
      </c>
    </row>
    <row r="264" spans="1:21" ht="13.8" x14ac:dyDescent="0.3">
      <c r="A264" s="6">
        <v>45444</v>
      </c>
      <c r="B264" s="2" t="s">
        <v>618</v>
      </c>
      <c r="C264" s="2" t="s">
        <v>4</v>
      </c>
      <c r="D264" s="2" t="s">
        <v>262</v>
      </c>
      <c r="E264" s="2" t="s">
        <v>1734</v>
      </c>
      <c r="F264" s="2">
        <v>1940</v>
      </c>
      <c r="G264" s="2">
        <f>(5.5*11.5+11.5*31+11.1*19.5+11*9+7.9*9.3+12.7*7.9+5.7*9.5+7*9.9)*1.3</f>
        <v>1342.1850000000002</v>
      </c>
      <c r="H264" s="2">
        <v>5000</v>
      </c>
      <c r="J264" s="2">
        <v>1</v>
      </c>
      <c r="K264" s="2">
        <v>2</v>
      </c>
      <c r="L264" s="2">
        <v>1</v>
      </c>
      <c r="M264" s="2">
        <v>8</v>
      </c>
      <c r="N264" s="5" t="s">
        <v>273</v>
      </c>
      <c r="O264" s="12">
        <v>479000</v>
      </c>
      <c r="P264" s="3">
        <f>6351/12</f>
        <v>529.25</v>
      </c>
      <c r="R264" s="3">
        <v>2191</v>
      </c>
      <c r="S264" s="12">
        <f t="shared" si="12"/>
        <v>91.294125000000022</v>
      </c>
      <c r="T264" s="3">
        <f t="shared" si="13"/>
        <v>2811.5441249999999</v>
      </c>
      <c r="U264" s="2">
        <f t="shared" si="14"/>
        <v>963463.23749999993</v>
      </c>
    </row>
    <row r="265" spans="1:21" ht="13.8" x14ac:dyDescent="0.3">
      <c r="A265" s="6">
        <v>45444</v>
      </c>
      <c r="B265" s="2" t="s">
        <v>619</v>
      </c>
      <c r="C265" s="2" t="s">
        <v>4</v>
      </c>
      <c r="D265" s="2" t="s">
        <v>262</v>
      </c>
      <c r="E265" s="2" t="s">
        <v>375</v>
      </c>
      <c r="F265" s="2">
        <v>2010</v>
      </c>
      <c r="G265" s="2">
        <v>1166</v>
      </c>
      <c r="H265" s="2">
        <v>1166</v>
      </c>
      <c r="J265" s="2">
        <v>1</v>
      </c>
      <c r="K265" s="2">
        <v>2</v>
      </c>
      <c r="L265" s="2">
        <v>1</v>
      </c>
      <c r="M265" s="2">
        <v>8</v>
      </c>
      <c r="N265" s="5" t="s">
        <v>274</v>
      </c>
      <c r="O265" s="12">
        <v>460000</v>
      </c>
      <c r="P265" s="3">
        <f>(3084+2877)/12</f>
        <v>496.75</v>
      </c>
      <c r="R265" s="3">
        <v>2197</v>
      </c>
      <c r="S265" s="12">
        <f t="shared" si="12"/>
        <v>81.016666666666666</v>
      </c>
      <c r="T265" s="3">
        <f t="shared" si="13"/>
        <v>2774.7666666666669</v>
      </c>
      <c r="U265" s="2">
        <f t="shared" si="14"/>
        <v>952430.00000000012</v>
      </c>
    </row>
    <row r="266" spans="1:21" ht="13.8" x14ac:dyDescent="0.3">
      <c r="A266" s="6">
        <v>45444</v>
      </c>
      <c r="B266" s="2" t="s">
        <v>620</v>
      </c>
      <c r="C266" s="2" t="s">
        <v>4</v>
      </c>
      <c r="D266" s="2" t="s">
        <v>262</v>
      </c>
      <c r="E266" s="2" t="s">
        <v>1734</v>
      </c>
      <c r="F266" s="2">
        <v>1966</v>
      </c>
      <c r="G266" s="2">
        <f>(4.2*6.2+16.8*17.9+13.8*9.1+11.9*10.9+11.9*7.9+10.9*8.9+7.9*4.9+21.3*15.6+4.7*4.4+11.5*10.6+14.8*12.9)*1.3</f>
        <v>1920.8280000000002</v>
      </c>
      <c r="H266" s="2">
        <v>5527</v>
      </c>
      <c r="J266" s="2">
        <v>1</v>
      </c>
      <c r="K266" s="2">
        <v>3</v>
      </c>
      <c r="L266" s="2">
        <v>1</v>
      </c>
      <c r="M266" s="2">
        <v>6</v>
      </c>
      <c r="N266" s="5" t="s">
        <v>275</v>
      </c>
      <c r="O266" s="12">
        <v>499000</v>
      </c>
      <c r="P266" s="3">
        <f>(3006+311)/12</f>
        <v>276.41666666666669</v>
      </c>
      <c r="R266" s="3">
        <v>2313</v>
      </c>
      <c r="S266" s="12">
        <f t="shared" si="12"/>
        <v>125.04830000000003</v>
      </c>
      <c r="T266" s="3">
        <f t="shared" si="13"/>
        <v>2714.4649666666664</v>
      </c>
      <c r="U266" s="2">
        <f t="shared" si="14"/>
        <v>934339.49</v>
      </c>
    </row>
    <row r="267" spans="1:21" ht="13.8" x14ac:dyDescent="0.3">
      <c r="A267" s="6">
        <v>45444</v>
      </c>
      <c r="B267" s="2" t="s">
        <v>621</v>
      </c>
      <c r="C267" s="2" t="s">
        <v>4</v>
      </c>
      <c r="D267" s="2" t="s">
        <v>262</v>
      </c>
      <c r="E267" s="2" t="s">
        <v>1734</v>
      </c>
      <c r="F267" s="2">
        <v>1954</v>
      </c>
      <c r="G267" s="2">
        <f>(16.9*13.4+10.6*11.5+10.2*15.2+11.5*12.1+11.5*12.1+11.5*10.6+11.6*8.1+5.3*9.8+16.4*9.4)*1.3</f>
        <v>1564.7580000000003</v>
      </c>
      <c r="H267" s="2">
        <v>6428</v>
      </c>
      <c r="J267" s="2">
        <v>1</v>
      </c>
      <c r="K267" s="2">
        <v>3</v>
      </c>
      <c r="L267" s="2">
        <v>1</v>
      </c>
      <c r="M267" s="2">
        <v>8</v>
      </c>
      <c r="N267" s="5" t="s">
        <v>276</v>
      </c>
      <c r="O267" s="12">
        <v>499000</v>
      </c>
      <c r="P267" s="3">
        <f>2631/12</f>
        <v>219.25</v>
      </c>
      <c r="R267" s="3">
        <v>2313</v>
      </c>
      <c r="S267" s="12">
        <f t="shared" si="12"/>
        <v>104.27755000000002</v>
      </c>
      <c r="T267" s="3">
        <f t="shared" si="13"/>
        <v>2636.5275499999998</v>
      </c>
      <c r="U267" s="2">
        <f t="shared" si="14"/>
        <v>910958.2649999999</v>
      </c>
    </row>
    <row r="268" spans="1:21" ht="13.8" x14ac:dyDescent="0.3">
      <c r="A268" s="6">
        <v>45444</v>
      </c>
      <c r="B268" s="2" t="s">
        <v>622</v>
      </c>
      <c r="C268" s="2" t="s">
        <v>4</v>
      </c>
      <c r="D268" s="2" t="s">
        <v>262</v>
      </c>
      <c r="E268" s="2" t="s">
        <v>1734</v>
      </c>
      <c r="F268" s="2">
        <v>1954</v>
      </c>
      <c r="G268" s="2">
        <f>(3.96*3.66+3.45*2.95+3.35*3.15+3.66*2.57+4.7*3.66+2.03*1.52+3.66*3.05+3.66*2.74+3.53*2.82+3.25*0.94+2.82*2.13)*3.28^2*1.3</f>
        <v>1470.2698399999999</v>
      </c>
      <c r="H268" s="2">
        <v>6641</v>
      </c>
      <c r="J268" s="2">
        <v>1</v>
      </c>
      <c r="K268" s="2">
        <v>5</v>
      </c>
      <c r="L268" s="2">
        <v>2</v>
      </c>
      <c r="M268" s="2">
        <v>9</v>
      </c>
      <c r="N268" s="5" t="s">
        <v>277</v>
      </c>
      <c r="O268" s="12">
        <v>509000</v>
      </c>
      <c r="P268" s="3">
        <f>(3229/12)</f>
        <v>269.08333333333331</v>
      </c>
      <c r="R268" s="3">
        <v>2374</v>
      </c>
      <c r="S268" s="12">
        <f t="shared" si="12"/>
        <v>98.765740666666673</v>
      </c>
      <c r="T268" s="3">
        <f t="shared" si="13"/>
        <v>2741.8490740000002</v>
      </c>
      <c r="U268" s="2">
        <f t="shared" si="14"/>
        <v>942554.72220000008</v>
      </c>
    </row>
    <row r="269" spans="1:21" ht="13.8" x14ac:dyDescent="0.3">
      <c r="A269" s="6">
        <v>45444</v>
      </c>
      <c r="B269" s="2" t="s">
        <v>623</v>
      </c>
      <c r="C269" s="2" t="s">
        <v>4</v>
      </c>
      <c r="D269" s="2" t="s">
        <v>262</v>
      </c>
      <c r="E269" s="2" t="s">
        <v>375</v>
      </c>
      <c r="F269" s="2">
        <v>2012</v>
      </c>
      <c r="G269" s="2">
        <v>1299</v>
      </c>
      <c r="H269" s="2">
        <v>1299</v>
      </c>
      <c r="J269" s="2">
        <v>1</v>
      </c>
      <c r="K269" s="2">
        <v>2</v>
      </c>
      <c r="L269" s="2">
        <v>1</v>
      </c>
      <c r="M269" s="2">
        <v>7</v>
      </c>
      <c r="N269" s="5" t="s">
        <v>278</v>
      </c>
      <c r="O269" s="12">
        <v>519900</v>
      </c>
      <c r="P269" s="3">
        <f>(3577+5205)/12</f>
        <v>731.83333333333337</v>
      </c>
      <c r="R269" s="3">
        <v>2441</v>
      </c>
      <c r="S269" s="12">
        <f t="shared" si="12"/>
        <v>88.775000000000006</v>
      </c>
      <c r="T269" s="3">
        <f t="shared" si="13"/>
        <v>3261.6083333333336</v>
      </c>
      <c r="U269" s="2">
        <f t="shared" si="14"/>
        <v>1098482.5</v>
      </c>
    </row>
    <row r="270" spans="1:21" ht="13.8" x14ac:dyDescent="0.3">
      <c r="A270" s="6">
        <v>45444</v>
      </c>
      <c r="B270" s="2" t="s">
        <v>624</v>
      </c>
      <c r="C270" s="2" t="s">
        <v>4</v>
      </c>
      <c r="D270" s="2" t="s">
        <v>262</v>
      </c>
      <c r="E270" s="2" t="s">
        <v>1734</v>
      </c>
      <c r="F270" s="2">
        <v>1974</v>
      </c>
      <c r="G270" s="2">
        <f>(3*3+21*14+14*8+12*12+5*5+12*9+8*9+13*11+11*9+14*11+22*14+11*7+8*8)*1.3</f>
        <v>2091.7000000000003</v>
      </c>
      <c r="H270" s="2">
        <v>4156</v>
      </c>
      <c r="J270" s="2">
        <v>1</v>
      </c>
      <c r="K270" s="2">
        <v>3</v>
      </c>
      <c r="L270" s="2">
        <v>1</v>
      </c>
      <c r="M270" s="2">
        <v>9</v>
      </c>
      <c r="N270" s="5" t="s">
        <v>279</v>
      </c>
      <c r="O270" s="12">
        <v>524900</v>
      </c>
      <c r="P270" s="3">
        <f>3384/12</f>
        <v>282</v>
      </c>
      <c r="R270" s="3">
        <v>2471</v>
      </c>
      <c r="S270" s="12">
        <f t="shared" si="12"/>
        <v>135.01583333333338</v>
      </c>
      <c r="T270" s="3">
        <f t="shared" si="13"/>
        <v>2888.0158333333334</v>
      </c>
      <c r="U270" s="2">
        <f t="shared" si="14"/>
        <v>986404.75</v>
      </c>
    </row>
    <row r="271" spans="1:21" ht="13.8" x14ac:dyDescent="0.3">
      <c r="A271" s="6">
        <v>45444</v>
      </c>
      <c r="B271" s="2" t="s">
        <v>625</v>
      </c>
      <c r="C271" s="2" t="s">
        <v>4</v>
      </c>
      <c r="D271" s="2" t="s">
        <v>262</v>
      </c>
      <c r="E271" s="2" t="s">
        <v>1734</v>
      </c>
      <c r="F271" s="2">
        <v>1965</v>
      </c>
      <c r="G271" s="2">
        <f>(7.8*3.3+18.7*13+17.9*11+19.8*10.3+8.4*9.3+17.4*13.3+10*13.3+12*12.3+10*5.9+19.9*13+7*6.8+24.1*21.1)*1.3</f>
        <v>2773.7189999999996</v>
      </c>
      <c r="H271" s="2">
        <v>5246</v>
      </c>
      <c r="J271" s="2">
        <v>1</v>
      </c>
      <c r="K271" s="2">
        <v>4</v>
      </c>
      <c r="L271" s="2">
        <v>2</v>
      </c>
      <c r="M271" s="2">
        <v>9</v>
      </c>
      <c r="N271" s="5" t="s">
        <v>280</v>
      </c>
      <c r="O271" s="12">
        <v>529999</v>
      </c>
      <c r="P271" s="3">
        <f>(373+3576)/12</f>
        <v>329.08333333333331</v>
      </c>
      <c r="R271" s="3">
        <v>2503</v>
      </c>
      <c r="S271" s="12">
        <f t="shared" si="12"/>
        <v>174.80027499999997</v>
      </c>
      <c r="T271" s="3">
        <f t="shared" si="13"/>
        <v>3006.8836083333335</v>
      </c>
      <c r="U271" s="2">
        <f t="shared" si="14"/>
        <v>1022065.0825</v>
      </c>
    </row>
    <row r="272" spans="1:21" ht="13.8" x14ac:dyDescent="0.3">
      <c r="A272" s="6">
        <v>45444</v>
      </c>
      <c r="B272" s="2" t="s">
        <v>626</v>
      </c>
      <c r="C272" s="2" t="s">
        <v>4</v>
      </c>
      <c r="D272" s="2" t="s">
        <v>262</v>
      </c>
      <c r="E272" s="2" t="s">
        <v>1734</v>
      </c>
      <c r="F272" s="2">
        <v>1957</v>
      </c>
      <c r="G272" s="2">
        <f>(5.9*5.1+13*10.8+15.1*10.9+10.9*13.7+10.6*7.7+10.6*7.7+10.4*5.9+20.9*14.7+11*9.6+12.4*9.5+12.3*10.9+13*12.4)*1.3</f>
        <v>1995.3829999999998</v>
      </c>
      <c r="H272" s="2">
        <v>7059</v>
      </c>
      <c r="J272" s="2">
        <v>1</v>
      </c>
      <c r="K272" s="2">
        <v>5</v>
      </c>
      <c r="L272" s="2">
        <v>2</v>
      </c>
      <c r="M272" s="2">
        <v>10</v>
      </c>
      <c r="N272" s="5" t="s">
        <v>281</v>
      </c>
      <c r="O272" s="12">
        <v>535000</v>
      </c>
      <c r="P272" s="3">
        <f>3991/12</f>
        <v>332.58333333333331</v>
      </c>
      <c r="R272" s="3">
        <v>2533</v>
      </c>
      <c r="S272" s="12">
        <f t="shared" si="12"/>
        <v>129.39734166666665</v>
      </c>
      <c r="T272" s="3">
        <f t="shared" si="13"/>
        <v>2994.9806750000002</v>
      </c>
      <c r="U272" s="2">
        <f t="shared" si="14"/>
        <v>1018494.2025</v>
      </c>
    </row>
    <row r="273" spans="1:21" ht="13.8" x14ac:dyDescent="0.3">
      <c r="A273" s="6">
        <v>45444</v>
      </c>
      <c r="B273" s="2" t="s">
        <v>627</v>
      </c>
      <c r="C273" s="2" t="s">
        <v>4</v>
      </c>
      <c r="D273" s="2" t="s">
        <v>262</v>
      </c>
      <c r="E273" s="2" t="s">
        <v>1734</v>
      </c>
      <c r="F273" s="2">
        <v>1966</v>
      </c>
      <c r="G273" s="2">
        <f>(11*15+10*9+10*10+12*11+10*10+10*9+21*13+18*9+5*7+7*7)*1.3</f>
        <v>1554.8</v>
      </c>
      <c r="H273" s="2">
        <v>7497</v>
      </c>
      <c r="J273" s="2">
        <v>1</v>
      </c>
      <c r="K273" s="2">
        <v>3</v>
      </c>
      <c r="L273" s="2">
        <v>2</v>
      </c>
      <c r="M273" s="2">
        <v>10</v>
      </c>
      <c r="N273" s="5" t="s">
        <v>282</v>
      </c>
      <c r="O273" s="12">
        <v>549000</v>
      </c>
      <c r="P273" s="3">
        <f>3854/12</f>
        <v>321.16666666666669</v>
      </c>
      <c r="R273" s="3">
        <v>2619</v>
      </c>
      <c r="S273" s="12">
        <f t="shared" si="12"/>
        <v>103.69666666666667</v>
      </c>
      <c r="T273" s="3">
        <f t="shared" si="13"/>
        <v>3043.8633333333332</v>
      </c>
      <c r="U273" s="2">
        <f t="shared" si="14"/>
        <v>1033159</v>
      </c>
    </row>
    <row r="274" spans="1:21" ht="13.8" x14ac:dyDescent="0.3">
      <c r="A274" s="6">
        <v>45444</v>
      </c>
      <c r="B274" s="2" t="s">
        <v>628</v>
      </c>
      <c r="C274" s="2" t="s">
        <v>4</v>
      </c>
      <c r="D274" s="2" t="s">
        <v>262</v>
      </c>
      <c r="E274" s="2" t="s">
        <v>1734</v>
      </c>
      <c r="F274" s="2">
        <v>1938</v>
      </c>
      <c r="G274" s="2">
        <f>(8.9*12.3+11.6*10.4+13.3*9.9+6.8*8.2+11.1*12.5+11*11.2)*1.5</f>
        <v>1019.235</v>
      </c>
      <c r="H274" s="2">
        <v>3724</v>
      </c>
      <c r="J274" s="2">
        <v>1</v>
      </c>
      <c r="K274" s="2">
        <v>2</v>
      </c>
      <c r="L274" s="2">
        <v>1</v>
      </c>
      <c r="M274" s="2">
        <v>6</v>
      </c>
      <c r="N274" s="5" t="s">
        <v>283</v>
      </c>
      <c r="O274" s="12">
        <v>550000</v>
      </c>
      <c r="P274" s="3">
        <f>1746/12</f>
        <v>145.5</v>
      </c>
      <c r="R274" s="3">
        <v>2625</v>
      </c>
      <c r="S274" s="12">
        <f t="shared" si="12"/>
        <v>72.455375000000004</v>
      </c>
      <c r="T274" s="3">
        <f t="shared" si="13"/>
        <v>2842.955375</v>
      </c>
      <c r="U274" s="2">
        <f t="shared" si="14"/>
        <v>972886.61250000005</v>
      </c>
    </row>
    <row r="275" spans="1:21" ht="13.8" x14ac:dyDescent="0.3">
      <c r="A275" s="6">
        <v>45444</v>
      </c>
      <c r="B275" s="2" t="s">
        <v>629</v>
      </c>
      <c r="C275" s="2" t="s">
        <v>4</v>
      </c>
      <c r="D275" s="2" t="s">
        <v>262</v>
      </c>
      <c r="E275" s="2" t="s">
        <v>1734</v>
      </c>
      <c r="F275" s="2">
        <v>1939</v>
      </c>
      <c r="G275" s="2">
        <f>(11*18+9.8*10.6+11.4*11.9+6.8*6.8+9*11+16.9*21+13*21+8*13+6*13)*1.3</f>
        <v>1810.4839999999999</v>
      </c>
      <c r="H275" s="2">
        <v>5654</v>
      </c>
      <c r="J275" s="2">
        <v>1</v>
      </c>
      <c r="K275" s="2">
        <v>2</v>
      </c>
      <c r="L275" s="2">
        <v>2</v>
      </c>
      <c r="M275" s="2">
        <v>8</v>
      </c>
      <c r="N275" s="5" t="s">
        <v>284</v>
      </c>
      <c r="O275" s="12">
        <v>559000</v>
      </c>
      <c r="P275" s="3">
        <f>2581/12</f>
        <v>215.08333333333334</v>
      </c>
      <c r="R275" s="3">
        <v>2680</v>
      </c>
      <c r="S275" s="12">
        <f t="shared" si="12"/>
        <v>118.61156666666669</v>
      </c>
      <c r="T275" s="3">
        <f t="shared" si="13"/>
        <v>3013.6949</v>
      </c>
      <c r="U275" s="2">
        <f t="shared" si="14"/>
        <v>1024108.47</v>
      </c>
    </row>
    <row r="276" spans="1:21" ht="13.8" x14ac:dyDescent="0.3">
      <c r="A276" s="6">
        <v>45444</v>
      </c>
      <c r="B276" s="2" t="s">
        <v>630</v>
      </c>
      <c r="C276" s="2" t="s">
        <v>4</v>
      </c>
      <c r="D276" s="2" t="s">
        <v>262</v>
      </c>
      <c r="E276" s="2" t="s">
        <v>1734</v>
      </c>
      <c r="F276" s="2">
        <v>1957</v>
      </c>
      <c r="G276" s="2">
        <f>(3.3*8.1+9.8*8.4+15.9*19.2+11.1*13.8+8.9*11.5+9.1*13.9+11.4*7.7+14.4*27.1+12.9*7.7+9.1*8.2+15.2*8.4)*1.3</f>
        <v>2048.7999999999997</v>
      </c>
      <c r="H276" s="2">
        <v>4517</v>
      </c>
      <c r="J276" s="2">
        <v>1</v>
      </c>
      <c r="K276" s="2">
        <v>4</v>
      </c>
      <c r="L276" s="2">
        <v>2</v>
      </c>
      <c r="M276" s="2">
        <v>11</v>
      </c>
      <c r="N276" s="5" t="s">
        <v>285</v>
      </c>
      <c r="O276" s="12">
        <v>564800</v>
      </c>
      <c r="P276" s="3">
        <f>3349/12</f>
        <v>279.08333333333331</v>
      </c>
      <c r="R276" s="3">
        <v>2715</v>
      </c>
      <c r="S276" s="12">
        <f t="shared" si="12"/>
        <v>132.51333333333332</v>
      </c>
      <c r="T276" s="3">
        <f t="shared" si="13"/>
        <v>3126.5966666666668</v>
      </c>
      <c r="U276" s="2">
        <f t="shared" si="14"/>
        <v>1057979</v>
      </c>
    </row>
    <row r="277" spans="1:21" ht="13.8" x14ac:dyDescent="0.3">
      <c r="A277" s="6">
        <v>45444</v>
      </c>
      <c r="B277" s="2" t="s">
        <v>631</v>
      </c>
      <c r="C277" s="2" t="s">
        <v>4</v>
      </c>
      <c r="D277" s="2" t="s">
        <v>262</v>
      </c>
      <c r="E277" s="2" t="s">
        <v>1734</v>
      </c>
      <c r="F277" s="2">
        <v>1964</v>
      </c>
      <c r="G277" s="2">
        <f>(3.9*4.9+15*12.9+14.5*11.9+10.2*10.5+10.9*13.6+9.9*9.5+10.9*12.2+7.4*5.6+27.3*13.9+21.9*11.2+6.6*3.9+18.1*24.9)*1.3</f>
        <v>2613.1950000000002</v>
      </c>
      <c r="H277" s="2">
        <v>10032</v>
      </c>
      <c r="J277" s="2">
        <v>1</v>
      </c>
      <c r="K277" s="2">
        <v>4</v>
      </c>
      <c r="L277" s="2">
        <v>1</v>
      </c>
      <c r="M277" s="2">
        <v>12</v>
      </c>
      <c r="N277" s="5" t="s">
        <v>286</v>
      </c>
      <c r="O277" s="12">
        <v>574000</v>
      </c>
      <c r="P277" s="3">
        <f>(3448+378)/12</f>
        <v>318.83333333333331</v>
      </c>
      <c r="R277" s="3">
        <v>2771</v>
      </c>
      <c r="S277" s="12">
        <f t="shared" si="12"/>
        <v>165.43637500000003</v>
      </c>
      <c r="T277" s="3">
        <f t="shared" si="13"/>
        <v>3255.2697083333337</v>
      </c>
      <c r="U277" s="2">
        <f t="shared" si="14"/>
        <v>1096580.9125000001</v>
      </c>
    </row>
    <row r="278" spans="1:21" ht="13.8" x14ac:dyDescent="0.3">
      <c r="A278" s="6">
        <v>45444</v>
      </c>
      <c r="B278" s="2" t="s">
        <v>632</v>
      </c>
      <c r="C278" s="2" t="s">
        <v>4</v>
      </c>
      <c r="D278" s="2" t="s">
        <v>262</v>
      </c>
      <c r="E278" s="2" t="s">
        <v>1734</v>
      </c>
      <c r="F278" s="2">
        <v>1962</v>
      </c>
      <c r="G278" s="2">
        <f>(10.9*19.3+10.4*12.7+10.9*10.4+9.7*10.4+6.4*3.5+11.1*14.6+4.9*8.6+11.2*9.3+11.1*8.6+18.8*23.5+5.3*11+11.5*19.2+14.2*17.6)*1.3</f>
        <v>2539.8490000000002</v>
      </c>
      <c r="H278" s="2">
        <v>5001</v>
      </c>
      <c r="J278" s="2">
        <v>1</v>
      </c>
      <c r="K278" s="2">
        <v>4</v>
      </c>
      <c r="L278" s="2">
        <v>2</v>
      </c>
      <c r="M278" s="2">
        <v>13</v>
      </c>
      <c r="N278" s="5" t="s">
        <v>287</v>
      </c>
      <c r="O278" s="12">
        <v>595000</v>
      </c>
      <c r="P278" s="3">
        <f>6272/12</f>
        <v>522.66666666666663</v>
      </c>
      <c r="R278" s="3">
        <v>2899</v>
      </c>
      <c r="S278" s="12">
        <f t="shared" si="12"/>
        <v>161.15785833333337</v>
      </c>
      <c r="T278" s="3">
        <f t="shared" si="13"/>
        <v>3582.824525</v>
      </c>
      <c r="U278" s="2">
        <f t="shared" si="14"/>
        <v>1194847.3574999999</v>
      </c>
    </row>
    <row r="279" spans="1:21" ht="13.8" x14ac:dyDescent="0.3">
      <c r="A279" s="6">
        <v>45444</v>
      </c>
      <c r="B279" s="2" t="s">
        <v>633</v>
      </c>
      <c r="C279" s="2" t="s">
        <v>4</v>
      </c>
      <c r="D279" s="2" t="s">
        <v>288</v>
      </c>
      <c r="E279" s="2" t="s">
        <v>375</v>
      </c>
      <c r="F279" s="2">
        <v>1985</v>
      </c>
      <c r="G279" s="2">
        <v>371</v>
      </c>
      <c r="H279" s="2">
        <v>371</v>
      </c>
      <c r="J279" s="2">
        <v>1</v>
      </c>
      <c r="K279" s="2">
        <v>1</v>
      </c>
      <c r="L279" s="2">
        <v>1</v>
      </c>
      <c r="M279" s="2">
        <v>5</v>
      </c>
      <c r="N279" s="5" t="s">
        <v>289</v>
      </c>
      <c r="O279" s="12">
        <v>189900</v>
      </c>
      <c r="P279" s="3">
        <f>2760/12</f>
        <v>230</v>
      </c>
      <c r="R279" s="3">
        <v>427</v>
      </c>
      <c r="S279" s="12">
        <f t="shared" si="12"/>
        <v>34.641666666666666</v>
      </c>
      <c r="T279" s="3">
        <f t="shared" si="13"/>
        <v>691.64166666666665</v>
      </c>
      <c r="U279" s="2">
        <f t="shared" si="14"/>
        <v>327492.5</v>
      </c>
    </row>
    <row r="280" spans="1:21" ht="13.8" x14ac:dyDescent="0.3">
      <c r="A280" s="6">
        <v>45444</v>
      </c>
      <c r="B280" s="2" t="s">
        <v>634</v>
      </c>
      <c r="C280" s="2" t="s">
        <v>4</v>
      </c>
      <c r="D280" s="2" t="s">
        <v>288</v>
      </c>
      <c r="E280" s="2" t="s">
        <v>1734</v>
      </c>
      <c r="F280" s="2">
        <v>1950</v>
      </c>
      <c r="G280" s="2">
        <f>(9.5*8.8+10*13+9.6*11.5+9.6*9.5+7*4.3)*1.5</f>
        <v>667.95</v>
      </c>
      <c r="H280" s="2">
        <v>2694</v>
      </c>
      <c r="J280" s="2">
        <v>1</v>
      </c>
      <c r="K280" s="2">
        <v>2</v>
      </c>
      <c r="L280" s="2">
        <v>1</v>
      </c>
      <c r="M280" s="2">
        <v>5</v>
      </c>
      <c r="N280" s="5" t="s">
        <v>290</v>
      </c>
      <c r="O280" s="12">
        <v>394900</v>
      </c>
      <c r="P280" s="3">
        <f>(1881+168)/12</f>
        <v>170.75</v>
      </c>
      <c r="R280" s="3">
        <v>1678</v>
      </c>
      <c r="S280" s="12">
        <f t="shared" si="12"/>
        <v>51.963750000000005</v>
      </c>
      <c r="T280" s="3">
        <f t="shared" si="13"/>
        <v>1900.7137499999999</v>
      </c>
      <c r="U280" s="2">
        <f t="shared" si="14"/>
        <v>690214.125</v>
      </c>
    </row>
    <row r="281" spans="1:21" ht="13.8" x14ac:dyDescent="0.3">
      <c r="A281" s="6">
        <v>45444</v>
      </c>
      <c r="B281" s="2" t="s">
        <v>635</v>
      </c>
      <c r="C281" s="2" t="s">
        <v>4</v>
      </c>
      <c r="D281" s="2" t="s">
        <v>288</v>
      </c>
      <c r="E281" s="2" t="s">
        <v>375</v>
      </c>
      <c r="F281" s="2">
        <v>2011</v>
      </c>
      <c r="G281" s="2">
        <v>809</v>
      </c>
      <c r="H281" s="2">
        <v>809</v>
      </c>
      <c r="J281" s="2">
        <v>1</v>
      </c>
      <c r="K281" s="2">
        <v>2</v>
      </c>
      <c r="L281" s="2">
        <v>1</v>
      </c>
      <c r="M281" s="2">
        <v>6</v>
      </c>
      <c r="N281" s="5" t="s">
        <v>291</v>
      </c>
      <c r="O281" s="12">
        <v>438000</v>
      </c>
      <c r="P281" s="3">
        <f>(3900+2353+230)/12</f>
        <v>540.25</v>
      </c>
      <c r="R281" s="3">
        <v>1941</v>
      </c>
      <c r="S281" s="12">
        <f t="shared" si="12"/>
        <v>60.19166666666667</v>
      </c>
      <c r="T281" s="3">
        <f t="shared" si="13"/>
        <v>2541.4416666666666</v>
      </c>
      <c r="U281" s="2">
        <f t="shared" si="14"/>
        <v>882432.5</v>
      </c>
    </row>
    <row r="282" spans="1:21" ht="13.8" x14ac:dyDescent="0.3">
      <c r="A282" s="6">
        <v>45444</v>
      </c>
      <c r="B282" s="2" t="s">
        <v>636</v>
      </c>
      <c r="C282" s="2" t="s">
        <v>4</v>
      </c>
      <c r="D282" s="2" t="s">
        <v>288</v>
      </c>
      <c r="E282" s="2" t="s">
        <v>1734</v>
      </c>
      <c r="F282" s="2">
        <v>2012</v>
      </c>
      <c r="G282" s="2">
        <v>1932</v>
      </c>
      <c r="H282" s="2">
        <v>565</v>
      </c>
      <c r="J282" s="2">
        <v>1</v>
      </c>
      <c r="K282" s="2">
        <v>2</v>
      </c>
      <c r="L282" s="2">
        <v>2</v>
      </c>
      <c r="M282" s="2">
        <v>7</v>
      </c>
      <c r="N282" s="5" t="s">
        <v>292</v>
      </c>
      <c r="O282" s="12">
        <v>469000</v>
      </c>
      <c r="P282" s="3">
        <f>(3200+1452)/12</f>
        <v>387.66666666666669</v>
      </c>
      <c r="R282" s="3">
        <v>2130</v>
      </c>
      <c r="S282" s="12">
        <f t="shared" si="12"/>
        <v>125.7</v>
      </c>
      <c r="T282" s="3">
        <f t="shared" si="13"/>
        <v>2643.3666666666663</v>
      </c>
      <c r="U282" s="2">
        <f t="shared" si="14"/>
        <v>913009.99999999988</v>
      </c>
    </row>
    <row r="283" spans="1:21" ht="13.8" x14ac:dyDescent="0.3">
      <c r="A283" s="6">
        <v>45444</v>
      </c>
      <c r="B283" s="2" t="s">
        <v>637</v>
      </c>
      <c r="C283" s="2" t="s">
        <v>4</v>
      </c>
      <c r="D283" s="2" t="s">
        <v>288</v>
      </c>
      <c r="E283" s="2" t="s">
        <v>375</v>
      </c>
      <c r="F283" s="2">
        <v>1988</v>
      </c>
      <c r="G283" s="2">
        <v>970</v>
      </c>
      <c r="H283" s="2">
        <v>970</v>
      </c>
      <c r="J283" s="2">
        <v>1</v>
      </c>
      <c r="K283" s="2">
        <v>2</v>
      </c>
      <c r="L283" s="2">
        <v>1</v>
      </c>
      <c r="M283" s="2">
        <v>8</v>
      </c>
      <c r="N283" s="5" t="s">
        <v>293</v>
      </c>
      <c r="O283" s="12">
        <v>475000</v>
      </c>
      <c r="P283" s="3">
        <f>(2856+4116)/12</f>
        <v>581</v>
      </c>
      <c r="R283" s="3">
        <v>2167</v>
      </c>
      <c r="S283" s="12">
        <f t="shared" si="12"/>
        <v>69.583333333333343</v>
      </c>
      <c r="T283" s="3">
        <f t="shared" si="13"/>
        <v>2817.5833333333335</v>
      </c>
      <c r="U283" s="2">
        <f t="shared" si="14"/>
        <v>965275</v>
      </c>
    </row>
    <row r="284" spans="1:21" ht="13.8" x14ac:dyDescent="0.3">
      <c r="A284" s="6">
        <v>45444</v>
      </c>
      <c r="B284" s="2" t="s">
        <v>638</v>
      </c>
      <c r="C284" s="2" t="s">
        <v>4</v>
      </c>
      <c r="D284" s="2" t="s">
        <v>288</v>
      </c>
      <c r="E284" s="2" t="s">
        <v>1734</v>
      </c>
      <c r="F284" s="2">
        <v>1930</v>
      </c>
      <c r="G284" s="2">
        <f>(4.4*4.3+14.1*13.9+13.7*11.5+10*8.9+7.9*5.1+11.3*10.6+14.9*13.8+10*8.5+13*4.6+29.6*13.6+11.1*9.7+7.3*6.4+17*15)*1.3</f>
        <v>2319.0700000000002</v>
      </c>
      <c r="H284" s="2">
        <v>5322</v>
      </c>
      <c r="J284" s="2">
        <v>2</v>
      </c>
      <c r="K284" s="2">
        <v>4</v>
      </c>
      <c r="L284" s="2">
        <v>2</v>
      </c>
      <c r="M284" s="2">
        <v>9</v>
      </c>
      <c r="N284" s="5" t="s">
        <v>294</v>
      </c>
      <c r="O284" s="12">
        <v>525000</v>
      </c>
      <c r="P284" s="3">
        <f>(3075+4096+284)/12</f>
        <v>621.25</v>
      </c>
      <c r="R284" s="3">
        <v>2472</v>
      </c>
      <c r="S284" s="12">
        <f t="shared" si="12"/>
        <v>148.27908333333335</v>
      </c>
      <c r="T284" s="3">
        <f t="shared" si="13"/>
        <v>3241.5290833333333</v>
      </c>
      <c r="U284" s="2">
        <f t="shared" si="14"/>
        <v>1092458.7250000001</v>
      </c>
    </row>
    <row r="285" spans="1:21" ht="13.8" x14ac:dyDescent="0.3">
      <c r="A285" s="6">
        <v>45444</v>
      </c>
      <c r="B285" s="2" t="s">
        <v>639</v>
      </c>
      <c r="C285" s="2" t="s">
        <v>4</v>
      </c>
      <c r="D285" s="2" t="s">
        <v>288</v>
      </c>
      <c r="E285" s="2" t="s">
        <v>375</v>
      </c>
      <c r="F285" s="2">
        <v>2017</v>
      </c>
      <c r="G285" s="2">
        <v>1004</v>
      </c>
      <c r="H285" s="2">
        <v>1004</v>
      </c>
      <c r="J285" s="2">
        <v>1</v>
      </c>
      <c r="K285" s="2">
        <v>1</v>
      </c>
      <c r="L285" s="2">
        <v>2</v>
      </c>
      <c r="M285" s="2">
        <v>6</v>
      </c>
      <c r="N285" s="5" t="s">
        <v>295</v>
      </c>
      <c r="O285" s="12">
        <v>549000</v>
      </c>
      <c r="P285" s="3">
        <f>(4166+5520)/12</f>
        <v>807.16666666666663</v>
      </c>
      <c r="R285" s="3">
        <v>2619</v>
      </c>
      <c r="S285" s="12">
        <f t="shared" si="12"/>
        <v>71.566666666666663</v>
      </c>
      <c r="T285" s="3">
        <f t="shared" si="13"/>
        <v>3497.7333333333331</v>
      </c>
      <c r="U285" s="2">
        <f t="shared" si="14"/>
        <v>1169320</v>
      </c>
    </row>
    <row r="286" spans="1:21" ht="13.8" x14ac:dyDescent="0.3">
      <c r="A286" s="6">
        <v>45444</v>
      </c>
      <c r="B286" s="2" t="s">
        <v>640</v>
      </c>
      <c r="C286" s="2" t="s">
        <v>4</v>
      </c>
      <c r="D286" s="2" t="s">
        <v>288</v>
      </c>
      <c r="E286" s="2" t="s">
        <v>375</v>
      </c>
      <c r="F286" s="2">
        <v>2017</v>
      </c>
      <c r="G286" s="2">
        <v>1105</v>
      </c>
      <c r="H286" s="2">
        <v>1105</v>
      </c>
      <c r="J286" s="2">
        <v>1</v>
      </c>
      <c r="K286" s="2">
        <v>2</v>
      </c>
      <c r="L286" s="2">
        <v>2</v>
      </c>
      <c r="M286" s="2">
        <v>4</v>
      </c>
      <c r="N286" s="5" t="s">
        <v>296</v>
      </c>
      <c r="O286" s="12">
        <v>595000</v>
      </c>
      <c r="P286" s="3">
        <f>(6660+3857+422)/12</f>
        <v>911.58333333333337</v>
      </c>
      <c r="R286" s="3">
        <v>2899</v>
      </c>
      <c r="S286" s="12">
        <f t="shared" si="12"/>
        <v>77.458333333333343</v>
      </c>
      <c r="T286" s="3">
        <f t="shared" si="13"/>
        <v>3888.041666666667</v>
      </c>
      <c r="U286" s="2">
        <f t="shared" si="14"/>
        <v>1286412.5</v>
      </c>
    </row>
    <row r="287" spans="1:21" ht="13.8" x14ac:dyDescent="0.3">
      <c r="A287" s="6">
        <v>45444</v>
      </c>
      <c r="B287" s="2" t="s">
        <v>641</v>
      </c>
      <c r="C287" s="2" t="s">
        <v>4</v>
      </c>
      <c r="D287" s="2" t="s">
        <v>297</v>
      </c>
      <c r="E287" s="2" t="s">
        <v>375</v>
      </c>
      <c r="F287" s="2">
        <v>2016</v>
      </c>
      <c r="G287" s="2">
        <v>643</v>
      </c>
      <c r="H287" s="2">
        <v>643</v>
      </c>
      <c r="J287" s="2">
        <v>1</v>
      </c>
      <c r="K287" s="2">
        <v>1</v>
      </c>
      <c r="L287" s="2">
        <v>1</v>
      </c>
      <c r="M287" s="2">
        <v>5</v>
      </c>
      <c r="N287" s="5" t="s">
        <v>298</v>
      </c>
      <c r="O287" s="12">
        <v>299900</v>
      </c>
      <c r="P287" s="3">
        <f>(1945+2280)/12</f>
        <v>352.08333333333331</v>
      </c>
      <c r="R287" s="3">
        <v>1098</v>
      </c>
      <c r="S287" s="12">
        <f t="shared" si="12"/>
        <v>50.508333333333333</v>
      </c>
      <c r="T287" s="3">
        <f t="shared" si="13"/>
        <v>1500.5916666666667</v>
      </c>
      <c r="U287" s="2">
        <f t="shared" si="14"/>
        <v>570177.5</v>
      </c>
    </row>
    <row r="288" spans="1:21" ht="13.8" x14ac:dyDescent="0.3">
      <c r="A288" s="6">
        <v>45444</v>
      </c>
      <c r="B288" s="2" t="s">
        <v>642</v>
      </c>
      <c r="C288" s="2" t="s">
        <v>4</v>
      </c>
      <c r="D288" s="2" t="s">
        <v>297</v>
      </c>
      <c r="E288" s="2" t="s">
        <v>375</v>
      </c>
      <c r="F288" s="2">
        <v>2021</v>
      </c>
      <c r="G288" s="2">
        <v>455</v>
      </c>
      <c r="H288" s="2">
        <v>455</v>
      </c>
      <c r="J288" s="2">
        <v>1</v>
      </c>
      <c r="K288" s="2">
        <v>1</v>
      </c>
      <c r="L288" s="2">
        <v>1</v>
      </c>
      <c r="M288" s="2">
        <v>3</v>
      </c>
      <c r="N288" s="5" t="s">
        <v>299</v>
      </c>
      <c r="O288" s="12">
        <v>324900</v>
      </c>
      <c r="P288" s="3">
        <f>(1714+210)/12</f>
        <v>160.33333333333334</v>
      </c>
      <c r="R288" s="3">
        <v>1251</v>
      </c>
      <c r="S288" s="12">
        <f t="shared" si="12"/>
        <v>39.541666666666671</v>
      </c>
      <c r="T288" s="3">
        <f t="shared" si="13"/>
        <v>1450.875</v>
      </c>
      <c r="U288" s="2">
        <f t="shared" si="14"/>
        <v>555262.5</v>
      </c>
    </row>
    <row r="289" spans="1:21" ht="13.8" x14ac:dyDescent="0.3">
      <c r="A289" s="6">
        <v>45444</v>
      </c>
      <c r="B289" s="2" t="s">
        <v>643</v>
      </c>
      <c r="C289" s="2" t="s">
        <v>4</v>
      </c>
      <c r="D289" s="2" t="s">
        <v>297</v>
      </c>
      <c r="E289" s="2" t="s">
        <v>375</v>
      </c>
      <c r="F289" s="2">
        <v>2023</v>
      </c>
      <c r="G289" s="2">
        <v>509</v>
      </c>
      <c r="H289" s="2">
        <v>509</v>
      </c>
      <c r="J289" s="2">
        <v>1</v>
      </c>
      <c r="K289" s="2">
        <v>1</v>
      </c>
      <c r="L289" s="2">
        <v>1</v>
      </c>
      <c r="M289" s="2">
        <v>3</v>
      </c>
      <c r="N289" s="5" t="s">
        <v>300</v>
      </c>
      <c r="O289" s="12">
        <v>325000</v>
      </c>
      <c r="P289" s="3">
        <f>(2374+2640)/12</f>
        <v>417.83333333333331</v>
      </c>
      <c r="R289" s="3">
        <v>1251</v>
      </c>
      <c r="S289" s="12">
        <f t="shared" si="12"/>
        <v>42.691666666666663</v>
      </c>
      <c r="T289" s="3">
        <f t="shared" si="13"/>
        <v>1711.5249999999999</v>
      </c>
      <c r="U289" s="2">
        <f t="shared" si="14"/>
        <v>633457.5</v>
      </c>
    </row>
    <row r="290" spans="1:21" ht="13.8" x14ac:dyDescent="0.3">
      <c r="A290" s="6">
        <v>45444</v>
      </c>
      <c r="B290" s="2" t="s">
        <v>644</v>
      </c>
      <c r="C290" s="2" t="s">
        <v>4</v>
      </c>
      <c r="D290" s="2" t="s">
        <v>297</v>
      </c>
      <c r="E290" s="2" t="s">
        <v>375</v>
      </c>
      <c r="F290" s="2">
        <v>2023</v>
      </c>
      <c r="G290" s="2">
        <v>580</v>
      </c>
      <c r="H290" s="2">
        <v>580</v>
      </c>
      <c r="J290" s="2">
        <v>1</v>
      </c>
      <c r="K290" s="2">
        <v>1</v>
      </c>
      <c r="L290" s="2">
        <v>1</v>
      </c>
      <c r="M290" s="2">
        <v>5</v>
      </c>
      <c r="N290" s="5" t="s">
        <v>301</v>
      </c>
      <c r="O290" s="12">
        <v>327210</v>
      </c>
      <c r="P290" s="3">
        <v>418</v>
      </c>
      <c r="Q290" s="2" t="s">
        <v>25</v>
      </c>
      <c r="R290" s="3">
        <v>1265</v>
      </c>
      <c r="S290" s="12">
        <f t="shared" si="12"/>
        <v>46.833333333333336</v>
      </c>
      <c r="T290" s="3">
        <f t="shared" si="13"/>
        <v>1729.8333333333333</v>
      </c>
      <c r="U290" s="2">
        <f t="shared" si="14"/>
        <v>638950</v>
      </c>
    </row>
    <row r="291" spans="1:21" ht="13.8" x14ac:dyDescent="0.3">
      <c r="A291" s="6">
        <v>45444</v>
      </c>
      <c r="B291" s="2" t="s">
        <v>645</v>
      </c>
      <c r="C291" s="2" t="s">
        <v>4</v>
      </c>
      <c r="D291" s="2" t="s">
        <v>297</v>
      </c>
      <c r="E291" s="2" t="s">
        <v>375</v>
      </c>
      <c r="F291" s="2">
        <v>2010</v>
      </c>
      <c r="G291" s="2">
        <v>1180</v>
      </c>
      <c r="H291" s="2">
        <v>1180</v>
      </c>
      <c r="J291" s="2">
        <v>1</v>
      </c>
      <c r="K291" s="2">
        <v>2</v>
      </c>
      <c r="L291" s="2">
        <v>1</v>
      </c>
      <c r="M291" s="2">
        <v>9</v>
      </c>
      <c r="N291" s="5" t="s">
        <v>302</v>
      </c>
      <c r="O291" s="12">
        <v>339900</v>
      </c>
      <c r="P291" s="3">
        <f>(2036+2220)/12</f>
        <v>354.66666666666669</v>
      </c>
      <c r="R291" s="3">
        <v>1342</v>
      </c>
      <c r="S291" s="12">
        <f t="shared" si="12"/>
        <v>81.833333333333343</v>
      </c>
      <c r="T291" s="3">
        <f t="shared" si="13"/>
        <v>1778.5</v>
      </c>
      <c r="U291" s="2">
        <f t="shared" si="14"/>
        <v>653550</v>
      </c>
    </row>
    <row r="292" spans="1:21" ht="13.8" x14ac:dyDescent="0.3">
      <c r="A292" s="6">
        <v>45444</v>
      </c>
      <c r="B292" s="2" t="s">
        <v>646</v>
      </c>
      <c r="C292" s="2" t="s">
        <v>4</v>
      </c>
      <c r="D292" s="2" t="s">
        <v>297</v>
      </c>
      <c r="E292" s="2" t="s">
        <v>375</v>
      </c>
      <c r="F292" s="2">
        <v>2021</v>
      </c>
      <c r="G292" s="2">
        <v>553</v>
      </c>
      <c r="H292" s="2">
        <v>553</v>
      </c>
      <c r="J292" s="2">
        <v>1</v>
      </c>
      <c r="K292" s="2">
        <v>1</v>
      </c>
      <c r="L292" s="2">
        <v>1</v>
      </c>
      <c r="M292" s="2">
        <v>5</v>
      </c>
      <c r="N292" s="5" t="s">
        <v>303</v>
      </c>
      <c r="O292" s="12">
        <v>349000</v>
      </c>
      <c r="P292" s="3">
        <f>(2208+21*12)/12</f>
        <v>205</v>
      </c>
      <c r="R292" s="3">
        <v>1398</v>
      </c>
      <c r="S292" s="12">
        <f t="shared" si="12"/>
        <v>45.258333333333333</v>
      </c>
      <c r="T292" s="3">
        <f t="shared" si="13"/>
        <v>1648.2583333333334</v>
      </c>
      <c r="U292" s="2">
        <f t="shared" si="14"/>
        <v>614477.5</v>
      </c>
    </row>
    <row r="293" spans="1:21" ht="13.8" x14ac:dyDescent="0.3">
      <c r="A293" s="6">
        <v>45444</v>
      </c>
      <c r="B293" s="2" t="s">
        <v>647</v>
      </c>
      <c r="C293" s="2" t="s">
        <v>4</v>
      </c>
      <c r="D293" s="2" t="s">
        <v>297</v>
      </c>
      <c r="E293" s="2" t="s">
        <v>375</v>
      </c>
      <c r="F293" s="2">
        <v>2010</v>
      </c>
      <c r="G293" s="2">
        <v>789</v>
      </c>
      <c r="H293" s="2">
        <v>789</v>
      </c>
      <c r="J293" s="2">
        <v>1</v>
      </c>
      <c r="K293" s="2">
        <v>1</v>
      </c>
      <c r="L293" s="2">
        <v>1</v>
      </c>
      <c r="M293" s="2">
        <v>5</v>
      </c>
      <c r="N293" s="5" t="s">
        <v>304</v>
      </c>
      <c r="O293" s="12">
        <v>359500</v>
      </c>
      <c r="P293" s="3">
        <f>(2287+2028)/12</f>
        <v>359.58333333333331</v>
      </c>
      <c r="R293" s="3">
        <v>1462</v>
      </c>
      <c r="S293" s="12">
        <f t="shared" si="12"/>
        <v>59.025000000000006</v>
      </c>
      <c r="T293" s="3">
        <f t="shared" si="13"/>
        <v>1880.6083333333333</v>
      </c>
      <c r="U293" s="2">
        <f t="shared" si="14"/>
        <v>684182.5</v>
      </c>
    </row>
    <row r="294" spans="1:21" ht="13.8" x14ac:dyDescent="0.3">
      <c r="A294" s="6">
        <v>45444</v>
      </c>
      <c r="B294" s="2" t="s">
        <v>648</v>
      </c>
      <c r="C294" s="2" t="s">
        <v>4</v>
      </c>
      <c r="D294" s="2" t="s">
        <v>297</v>
      </c>
      <c r="E294" s="2" t="s">
        <v>375</v>
      </c>
      <c r="F294" s="2">
        <v>2009</v>
      </c>
      <c r="G294" s="2">
        <v>781</v>
      </c>
      <c r="H294" s="2">
        <v>781</v>
      </c>
      <c r="J294" s="2">
        <v>1</v>
      </c>
      <c r="K294" s="2">
        <v>1</v>
      </c>
      <c r="L294" s="2">
        <v>1</v>
      </c>
      <c r="M294" s="2">
        <v>5</v>
      </c>
      <c r="N294" s="5" t="s">
        <v>305</v>
      </c>
      <c r="O294" s="12">
        <v>359999</v>
      </c>
      <c r="P294" s="3">
        <f>(2217+2124)/12</f>
        <v>361.75</v>
      </c>
      <c r="R294" s="3">
        <v>1465</v>
      </c>
      <c r="S294" s="12">
        <f t="shared" si="12"/>
        <v>58.558333333333337</v>
      </c>
      <c r="T294" s="3">
        <f t="shared" si="13"/>
        <v>1885.3083333333334</v>
      </c>
      <c r="U294" s="2">
        <f t="shared" si="14"/>
        <v>685592.5</v>
      </c>
    </row>
    <row r="295" spans="1:21" ht="13.8" x14ac:dyDescent="0.3">
      <c r="A295" s="6">
        <v>45444</v>
      </c>
      <c r="B295" s="2" t="s">
        <v>649</v>
      </c>
      <c r="C295" s="2" t="s">
        <v>4</v>
      </c>
      <c r="D295" s="2" t="s">
        <v>297</v>
      </c>
      <c r="E295" s="2" t="s">
        <v>375</v>
      </c>
      <c r="F295" s="2">
        <v>2023</v>
      </c>
      <c r="G295" s="2">
        <v>645</v>
      </c>
      <c r="H295" s="2">
        <v>645</v>
      </c>
      <c r="J295" s="2">
        <v>1</v>
      </c>
      <c r="K295" s="2">
        <v>1</v>
      </c>
      <c r="L295" s="2">
        <v>1</v>
      </c>
      <c r="M295" s="2">
        <v>5</v>
      </c>
      <c r="N295" s="5" t="s">
        <v>306</v>
      </c>
      <c r="O295" s="12">
        <v>373477</v>
      </c>
      <c r="P295" s="3">
        <f>150+160+20</f>
        <v>330</v>
      </c>
      <c r="Q295" s="2" t="s">
        <v>25</v>
      </c>
      <c r="R295" s="3">
        <v>1547</v>
      </c>
      <c r="S295" s="12">
        <f t="shared" si="12"/>
        <v>50.625000000000007</v>
      </c>
      <c r="T295" s="3">
        <f t="shared" si="13"/>
        <v>1927.625</v>
      </c>
      <c r="U295" s="2">
        <f t="shared" si="14"/>
        <v>698287.5</v>
      </c>
    </row>
    <row r="296" spans="1:21" ht="13.8" x14ac:dyDescent="0.3">
      <c r="A296" s="6">
        <v>45444</v>
      </c>
      <c r="B296" s="2" t="s">
        <v>650</v>
      </c>
      <c r="C296" s="2" t="s">
        <v>4</v>
      </c>
      <c r="D296" s="2" t="s">
        <v>297</v>
      </c>
      <c r="E296" s="2" t="s">
        <v>375</v>
      </c>
      <c r="F296" s="2">
        <v>2000</v>
      </c>
      <c r="G296" s="2">
        <v>1047</v>
      </c>
      <c r="H296" s="2">
        <v>1047</v>
      </c>
      <c r="J296" s="2">
        <v>1</v>
      </c>
      <c r="K296" s="2">
        <v>2</v>
      </c>
      <c r="L296" s="2">
        <v>1</v>
      </c>
      <c r="M296" s="2">
        <v>4</v>
      </c>
      <c r="N296" s="5" t="s">
        <v>307</v>
      </c>
      <c r="O296" s="12">
        <v>389900</v>
      </c>
      <c r="P296" s="3">
        <f>(2258+3960)/12</f>
        <v>518.16666666666663</v>
      </c>
      <c r="R296" s="3">
        <v>1647</v>
      </c>
      <c r="S296" s="12">
        <f t="shared" si="12"/>
        <v>74.075000000000017</v>
      </c>
      <c r="T296" s="3">
        <f t="shared" si="13"/>
        <v>2239.2416666666663</v>
      </c>
      <c r="U296" s="2">
        <f t="shared" si="14"/>
        <v>791772.49999999988</v>
      </c>
    </row>
    <row r="297" spans="1:21" ht="13.8" x14ac:dyDescent="0.3">
      <c r="A297" s="6">
        <v>45444</v>
      </c>
      <c r="B297" s="2" t="s">
        <v>651</v>
      </c>
      <c r="C297" s="2" t="s">
        <v>4</v>
      </c>
      <c r="D297" s="2" t="s">
        <v>297</v>
      </c>
      <c r="E297" s="2" t="s">
        <v>375</v>
      </c>
      <c r="F297" s="2">
        <v>2001</v>
      </c>
      <c r="G297" s="2">
        <v>1031</v>
      </c>
      <c r="H297" s="2">
        <v>1031</v>
      </c>
      <c r="J297" s="2">
        <v>1</v>
      </c>
      <c r="K297" s="2">
        <v>2</v>
      </c>
      <c r="L297" s="2">
        <v>1</v>
      </c>
      <c r="M297" s="2">
        <v>10</v>
      </c>
      <c r="N297" s="5" t="s">
        <v>308</v>
      </c>
      <c r="O297" s="12">
        <v>389900</v>
      </c>
      <c r="P297" s="3">
        <f>(4140+2043+197)/12</f>
        <v>531.66666666666663</v>
      </c>
      <c r="R297" s="3">
        <v>1647</v>
      </c>
      <c r="S297" s="12">
        <f t="shared" si="12"/>
        <v>73.14166666666668</v>
      </c>
      <c r="T297" s="3">
        <f t="shared" si="13"/>
        <v>2251.8083333333334</v>
      </c>
      <c r="U297" s="2">
        <f t="shared" si="14"/>
        <v>795542.5</v>
      </c>
    </row>
    <row r="298" spans="1:21" ht="13.8" x14ac:dyDescent="0.3">
      <c r="A298" s="6">
        <v>45444</v>
      </c>
      <c r="B298" s="2" t="s">
        <v>652</v>
      </c>
      <c r="C298" s="2" t="s">
        <v>4</v>
      </c>
      <c r="D298" s="2" t="s">
        <v>297</v>
      </c>
      <c r="E298" s="2" t="s">
        <v>375</v>
      </c>
      <c r="F298" s="2">
        <v>2023</v>
      </c>
      <c r="G298" s="2">
        <v>768</v>
      </c>
      <c r="H298" s="2">
        <v>768</v>
      </c>
      <c r="J298" s="2">
        <v>1</v>
      </c>
      <c r="K298" s="2">
        <v>2</v>
      </c>
      <c r="L298" s="2">
        <v>1</v>
      </c>
      <c r="M298" s="2">
        <v>5</v>
      </c>
      <c r="N298" s="5" t="s">
        <v>309</v>
      </c>
      <c r="O298" s="12">
        <v>414303</v>
      </c>
      <c r="P298" s="3">
        <f>3432/12+200</f>
        <v>486</v>
      </c>
      <c r="R298" s="3">
        <v>1796</v>
      </c>
      <c r="S298" s="12">
        <f t="shared" si="12"/>
        <v>57.800000000000004</v>
      </c>
      <c r="T298" s="3">
        <f t="shared" si="13"/>
        <v>2339.8000000000002</v>
      </c>
      <c r="U298" s="2">
        <f t="shared" si="14"/>
        <v>821940</v>
      </c>
    </row>
    <row r="299" spans="1:21" ht="13.8" x14ac:dyDescent="0.3">
      <c r="A299" s="6">
        <v>45444</v>
      </c>
      <c r="B299" s="2" t="s">
        <v>653</v>
      </c>
      <c r="C299" s="2" t="s">
        <v>4</v>
      </c>
      <c r="D299" s="2" t="s">
        <v>297</v>
      </c>
      <c r="E299" s="2" t="s">
        <v>375</v>
      </c>
      <c r="F299" s="2">
        <v>2021</v>
      </c>
      <c r="G299" s="2">
        <v>729</v>
      </c>
      <c r="H299" s="2">
        <v>729</v>
      </c>
      <c r="J299" s="2">
        <v>1</v>
      </c>
      <c r="K299" s="2">
        <v>2</v>
      </c>
      <c r="L299" s="2">
        <v>1</v>
      </c>
      <c r="M299" s="2">
        <v>7</v>
      </c>
      <c r="N299" s="5" t="s">
        <v>310</v>
      </c>
      <c r="O299" s="12">
        <v>419900</v>
      </c>
      <c r="P299" s="3">
        <f>(2468+3641)/12</f>
        <v>509.08333333333331</v>
      </c>
      <c r="R299" s="3">
        <v>1831</v>
      </c>
      <c r="S299" s="12">
        <f t="shared" si="12"/>
        <v>55.525000000000006</v>
      </c>
      <c r="T299" s="3">
        <f t="shared" si="13"/>
        <v>2395.6083333333336</v>
      </c>
      <c r="U299" s="2">
        <f t="shared" si="14"/>
        <v>838682.50000000012</v>
      </c>
    </row>
    <row r="300" spans="1:21" ht="13.8" x14ac:dyDescent="0.3">
      <c r="A300" s="6">
        <v>45444</v>
      </c>
      <c r="B300" s="2" t="s">
        <v>654</v>
      </c>
      <c r="C300" s="2" t="s">
        <v>4</v>
      </c>
      <c r="D300" s="2" t="s">
        <v>297</v>
      </c>
      <c r="E300" s="2" t="s">
        <v>375</v>
      </c>
      <c r="F300" s="2">
        <v>2015</v>
      </c>
      <c r="G300" s="2">
        <v>1127</v>
      </c>
      <c r="H300" s="2">
        <v>1127</v>
      </c>
      <c r="J300" s="2">
        <v>1</v>
      </c>
      <c r="K300" s="2">
        <v>2</v>
      </c>
      <c r="L300" s="2">
        <v>1</v>
      </c>
      <c r="M300" s="2">
        <v>6</v>
      </c>
      <c r="N300" s="5" t="s">
        <v>311</v>
      </c>
      <c r="O300" s="12">
        <v>449000</v>
      </c>
      <c r="P300" s="3">
        <f>(2907+2436)/12</f>
        <v>445.25</v>
      </c>
      <c r="R300" s="3">
        <v>2008</v>
      </c>
      <c r="S300" s="12">
        <f t="shared" si="12"/>
        <v>78.741666666666674</v>
      </c>
      <c r="T300" s="3">
        <f t="shared" si="13"/>
        <v>2531.9916666666668</v>
      </c>
      <c r="U300" s="2">
        <f t="shared" si="14"/>
        <v>879597.5</v>
      </c>
    </row>
    <row r="301" spans="1:21" ht="13.8" x14ac:dyDescent="0.3">
      <c r="A301" s="6">
        <v>45444</v>
      </c>
      <c r="B301" s="2" t="s">
        <v>655</v>
      </c>
      <c r="C301" s="2" t="s">
        <v>4</v>
      </c>
      <c r="D301" s="2" t="s">
        <v>297</v>
      </c>
      <c r="E301" s="2" t="s">
        <v>375</v>
      </c>
      <c r="F301" s="2">
        <v>1982</v>
      </c>
      <c r="G301" s="2">
        <v>1287</v>
      </c>
      <c r="H301" s="2">
        <v>1287</v>
      </c>
      <c r="J301" s="2">
        <v>1</v>
      </c>
      <c r="K301" s="2">
        <v>3</v>
      </c>
      <c r="L301" s="2">
        <v>2</v>
      </c>
      <c r="M301" s="2">
        <v>11</v>
      </c>
      <c r="N301" s="5" t="s">
        <v>312</v>
      </c>
      <c r="O301" s="12">
        <v>449000</v>
      </c>
      <c r="P301" s="3">
        <f>(3142+346+681*12)/12</f>
        <v>971.66666666666663</v>
      </c>
      <c r="R301" s="3">
        <v>2008</v>
      </c>
      <c r="S301" s="12">
        <f t="shared" si="12"/>
        <v>88.075000000000003</v>
      </c>
      <c r="T301" s="3">
        <f t="shared" si="13"/>
        <v>3067.7416666666663</v>
      </c>
      <c r="U301" s="2">
        <f t="shared" si="14"/>
        <v>1040322.4999999999</v>
      </c>
    </row>
    <row r="302" spans="1:21" ht="13.8" x14ac:dyDescent="0.3">
      <c r="A302" s="6">
        <v>45444</v>
      </c>
      <c r="B302" s="2" t="s">
        <v>656</v>
      </c>
      <c r="C302" s="2" t="s">
        <v>4</v>
      </c>
      <c r="D302" s="2" t="s">
        <v>297</v>
      </c>
      <c r="E302" s="2" t="s">
        <v>375</v>
      </c>
      <c r="F302" s="2">
        <v>2022</v>
      </c>
      <c r="G302" s="2">
        <v>807</v>
      </c>
      <c r="H302" s="2">
        <v>807</v>
      </c>
      <c r="J302" s="2">
        <v>1</v>
      </c>
      <c r="K302" s="2">
        <v>2</v>
      </c>
      <c r="L302" s="2">
        <v>1</v>
      </c>
      <c r="M302" s="2">
        <v>4</v>
      </c>
      <c r="N302" s="5" t="s">
        <v>313</v>
      </c>
      <c r="O302" s="12">
        <v>450000</v>
      </c>
      <c r="P302" s="3">
        <f>5960/12</f>
        <v>496.66666666666669</v>
      </c>
      <c r="R302" s="3">
        <v>2014</v>
      </c>
      <c r="S302" s="12">
        <f t="shared" si="12"/>
        <v>60.07500000000001</v>
      </c>
      <c r="T302" s="3">
        <f t="shared" si="13"/>
        <v>2570.7416666666663</v>
      </c>
      <c r="U302" s="2">
        <f t="shared" si="14"/>
        <v>891222.49999999988</v>
      </c>
    </row>
    <row r="303" spans="1:21" ht="13.8" x14ac:dyDescent="0.3">
      <c r="A303" s="6">
        <v>45444</v>
      </c>
      <c r="B303" s="2" t="s">
        <v>657</v>
      </c>
      <c r="C303" s="2" t="s">
        <v>4</v>
      </c>
      <c r="D303" s="2" t="s">
        <v>297</v>
      </c>
      <c r="E303" s="2" t="s">
        <v>1734</v>
      </c>
      <c r="F303" s="2">
        <v>1898</v>
      </c>
      <c r="G303" s="2">
        <f>(2.5*2.2+5.05*2.87+3.43*3.43+1.65*1.65+3.35*3.05+2.5*1.35+2.72*2.54+9.14*3.48+3.35*3.05+2.13*2.13+3.42*2.8+4.56*3.05)*1.2*3.28^2</f>
        <v>1614.1189002239996</v>
      </c>
      <c r="H303" s="2">
        <v>10000</v>
      </c>
      <c r="J303" s="2">
        <v>1</v>
      </c>
      <c r="K303" s="2">
        <v>4</v>
      </c>
      <c r="L303" s="2">
        <v>1</v>
      </c>
      <c r="M303" s="2">
        <v>12</v>
      </c>
      <c r="N303" s="5" t="s">
        <v>314</v>
      </c>
      <c r="O303" s="12">
        <v>450000</v>
      </c>
      <c r="P303" s="3">
        <f>2485/12</f>
        <v>207.08333333333334</v>
      </c>
      <c r="R303" s="3">
        <v>2014</v>
      </c>
      <c r="S303" s="12">
        <f t="shared" si="12"/>
        <v>107.1569358464</v>
      </c>
      <c r="T303" s="3">
        <f t="shared" si="13"/>
        <v>2328.2402691797333</v>
      </c>
      <c r="U303" s="2">
        <f t="shared" si="14"/>
        <v>818472.08075392002</v>
      </c>
    </row>
    <row r="304" spans="1:21" ht="13.8" x14ac:dyDescent="0.3">
      <c r="A304" s="6">
        <v>45444</v>
      </c>
      <c r="B304" s="2" t="s">
        <v>658</v>
      </c>
      <c r="C304" s="2" t="s">
        <v>4</v>
      </c>
      <c r="D304" s="2" t="s">
        <v>297</v>
      </c>
      <c r="E304" s="2" t="s">
        <v>375</v>
      </c>
      <c r="F304" s="2">
        <v>2007</v>
      </c>
      <c r="G304" s="2">
        <v>1000</v>
      </c>
      <c r="H304" s="2">
        <v>1000</v>
      </c>
      <c r="J304" s="2">
        <v>1</v>
      </c>
      <c r="K304" s="2">
        <v>2</v>
      </c>
      <c r="L304" s="2">
        <v>1</v>
      </c>
      <c r="M304" s="2">
        <v>7</v>
      </c>
      <c r="N304" s="5" t="s">
        <v>315</v>
      </c>
      <c r="O304" s="12">
        <v>455000</v>
      </c>
      <c r="P304" s="3">
        <f>(2779+3804)/12</f>
        <v>548.58333333333337</v>
      </c>
      <c r="R304" s="3">
        <v>2045</v>
      </c>
      <c r="S304" s="12">
        <f t="shared" si="12"/>
        <v>71.333333333333343</v>
      </c>
      <c r="T304" s="3">
        <f t="shared" si="13"/>
        <v>2664.916666666667</v>
      </c>
      <c r="U304" s="2">
        <f t="shared" si="14"/>
        <v>919475.00000000012</v>
      </c>
    </row>
    <row r="305" spans="1:21" ht="13.8" x14ac:dyDescent="0.3">
      <c r="A305" s="6">
        <v>45444</v>
      </c>
      <c r="B305" s="2" t="s">
        <v>659</v>
      </c>
      <c r="C305" s="2" t="s">
        <v>4</v>
      </c>
      <c r="D305" s="2" t="s">
        <v>297</v>
      </c>
      <c r="E305" s="2" t="s">
        <v>375</v>
      </c>
      <c r="F305" s="2">
        <v>2008</v>
      </c>
      <c r="G305" s="2">
        <v>1202</v>
      </c>
      <c r="H305" s="2">
        <v>1202</v>
      </c>
      <c r="J305" s="2">
        <v>1</v>
      </c>
      <c r="K305" s="2">
        <v>3</v>
      </c>
      <c r="L305" s="2">
        <v>1</v>
      </c>
      <c r="M305" s="2">
        <v>9</v>
      </c>
      <c r="N305" s="5" t="s">
        <v>316</v>
      </c>
      <c r="O305" s="12">
        <v>465000</v>
      </c>
      <c r="P305" s="3">
        <f>(2668+2352)/12</f>
        <v>418.33333333333331</v>
      </c>
      <c r="R305" s="3">
        <v>2106</v>
      </c>
      <c r="S305" s="12">
        <f t="shared" si="12"/>
        <v>83.116666666666674</v>
      </c>
      <c r="T305" s="3">
        <f t="shared" si="13"/>
        <v>2607.4500000000003</v>
      </c>
      <c r="U305" s="2">
        <f t="shared" si="14"/>
        <v>902235</v>
      </c>
    </row>
    <row r="306" spans="1:21" ht="13.8" x14ac:dyDescent="0.3">
      <c r="A306" s="6">
        <v>45444</v>
      </c>
      <c r="B306" s="2" t="s">
        <v>660</v>
      </c>
      <c r="C306" s="2" t="s">
        <v>4</v>
      </c>
      <c r="D306" s="2" t="s">
        <v>297</v>
      </c>
      <c r="E306" s="2" t="s">
        <v>1734</v>
      </c>
      <c r="F306" s="2">
        <v>1870</v>
      </c>
      <c r="G306" s="2">
        <f>(13*3.4+12.9*14.9+13.3*9.8+13*13+9.9*11.6+10.9*13.1+8.1*12.6+26*27.4)*1.3</f>
        <v>2090.192</v>
      </c>
      <c r="H306" s="2">
        <v>37490</v>
      </c>
      <c r="J306" s="2">
        <v>1</v>
      </c>
      <c r="K306" s="2">
        <v>2</v>
      </c>
      <c r="L306" s="2">
        <v>1</v>
      </c>
      <c r="M306" s="2">
        <v>7</v>
      </c>
      <c r="N306" s="5" t="s">
        <v>317</v>
      </c>
      <c r="O306" s="12">
        <v>469900</v>
      </c>
      <c r="P306" s="3">
        <f>4158/12</f>
        <v>346.5</v>
      </c>
      <c r="R306" s="3">
        <v>2135.7600000000002</v>
      </c>
      <c r="S306" s="12">
        <f t="shared" si="12"/>
        <v>134.92786666666666</v>
      </c>
      <c r="T306" s="3">
        <f t="shared" si="13"/>
        <v>2617.1878666666671</v>
      </c>
      <c r="U306" s="2">
        <f t="shared" si="14"/>
        <v>905156.3600000001</v>
      </c>
    </row>
    <row r="307" spans="1:21" ht="13.8" x14ac:dyDescent="0.3">
      <c r="A307" s="6">
        <v>45444</v>
      </c>
      <c r="B307" s="2" t="s">
        <v>661</v>
      </c>
      <c r="C307" s="2" t="s">
        <v>4</v>
      </c>
      <c r="D307" s="2" t="s">
        <v>297</v>
      </c>
      <c r="E307" s="2" t="s">
        <v>375</v>
      </c>
      <c r="F307" s="2">
        <v>2023</v>
      </c>
      <c r="G307" s="2">
        <v>877</v>
      </c>
      <c r="H307" s="2">
        <v>877</v>
      </c>
      <c r="J307" s="2">
        <v>1</v>
      </c>
      <c r="K307" s="2">
        <v>2</v>
      </c>
      <c r="L307" s="2">
        <v>1</v>
      </c>
      <c r="M307" s="2">
        <v>5</v>
      </c>
      <c r="N307" s="5" t="s">
        <v>318</v>
      </c>
      <c r="O307" s="12">
        <v>474941</v>
      </c>
      <c r="P307" s="3">
        <f>4020/12+200</f>
        <v>535</v>
      </c>
      <c r="Q307" s="2" t="s">
        <v>25</v>
      </c>
      <c r="R307" s="3">
        <v>2167</v>
      </c>
      <c r="S307" s="12">
        <f t="shared" si="12"/>
        <v>64.158333333333331</v>
      </c>
      <c r="T307" s="3">
        <f t="shared" si="13"/>
        <v>2766.1583333333333</v>
      </c>
      <c r="U307" s="2">
        <f t="shared" si="14"/>
        <v>949847.5</v>
      </c>
    </row>
    <row r="308" spans="1:21" ht="13.8" x14ac:dyDescent="0.3">
      <c r="A308" s="6">
        <v>45444</v>
      </c>
      <c r="B308" s="2" t="s">
        <v>662</v>
      </c>
      <c r="C308" s="2" t="s">
        <v>4</v>
      </c>
      <c r="D308" s="2" t="s">
        <v>297</v>
      </c>
      <c r="E308" s="2" t="s">
        <v>375</v>
      </c>
      <c r="F308" s="2">
        <v>2021</v>
      </c>
      <c r="G308" s="2">
        <v>1011</v>
      </c>
      <c r="H308" s="2">
        <v>1011</v>
      </c>
      <c r="J308" s="2">
        <v>1</v>
      </c>
      <c r="K308" s="2">
        <v>3</v>
      </c>
      <c r="L308" s="2">
        <v>2</v>
      </c>
      <c r="M308" s="2">
        <v>8</v>
      </c>
      <c r="N308" s="5" t="s">
        <v>319</v>
      </c>
      <c r="O308" s="12">
        <v>475000</v>
      </c>
      <c r="P308" s="3">
        <f>(3061+4620)/12</f>
        <v>640.08333333333337</v>
      </c>
      <c r="R308" s="3">
        <v>2167</v>
      </c>
      <c r="S308" s="12">
        <f t="shared" si="12"/>
        <v>71.974999999999994</v>
      </c>
      <c r="T308" s="3">
        <f t="shared" si="13"/>
        <v>2879.0583333333334</v>
      </c>
      <c r="U308" s="2">
        <f t="shared" si="14"/>
        <v>983717.49999999988</v>
      </c>
    </row>
    <row r="309" spans="1:21" ht="13.8" x14ac:dyDescent="0.3">
      <c r="A309" s="6">
        <v>45444</v>
      </c>
      <c r="B309" s="2" t="s">
        <v>663</v>
      </c>
      <c r="C309" s="2" t="s">
        <v>4</v>
      </c>
      <c r="D309" s="2" t="s">
        <v>297</v>
      </c>
      <c r="E309" s="2" t="s">
        <v>1734</v>
      </c>
      <c r="F309" s="2">
        <v>1900</v>
      </c>
      <c r="G309" s="2">
        <f>(10.1*21.1+14*17+8*9+6*9+11*15+16.1*9+15*5)*1.3</f>
        <v>1250.6130000000001</v>
      </c>
      <c r="H309" s="2">
        <v>11375</v>
      </c>
      <c r="J309" s="2">
        <v>1</v>
      </c>
      <c r="K309" s="2">
        <v>3</v>
      </c>
      <c r="L309" s="2">
        <v>2</v>
      </c>
      <c r="M309" s="2">
        <v>7</v>
      </c>
      <c r="N309" s="5" t="s">
        <v>320</v>
      </c>
      <c r="O309" s="12">
        <v>475000</v>
      </c>
      <c r="P309" s="3">
        <f>(2123)/12</f>
        <v>176.91666666666666</v>
      </c>
      <c r="R309" s="3">
        <v>2167</v>
      </c>
      <c r="S309" s="12">
        <f t="shared" si="12"/>
        <v>85.952425000000019</v>
      </c>
      <c r="T309" s="3">
        <f t="shared" si="13"/>
        <v>2429.8690916666665</v>
      </c>
      <c r="U309" s="2">
        <f t="shared" si="14"/>
        <v>848960.72749999992</v>
      </c>
    </row>
    <row r="310" spans="1:21" ht="13.8" x14ac:dyDescent="0.3">
      <c r="A310" s="6">
        <v>45444</v>
      </c>
      <c r="B310" s="2" t="s">
        <v>664</v>
      </c>
      <c r="C310" s="2" t="s">
        <v>4</v>
      </c>
      <c r="D310" s="2" t="s">
        <v>297</v>
      </c>
      <c r="E310" s="2" t="s">
        <v>375</v>
      </c>
      <c r="F310" s="2">
        <v>1982</v>
      </c>
      <c r="G310" s="2">
        <v>1197</v>
      </c>
      <c r="H310" s="2">
        <v>1197</v>
      </c>
      <c r="J310" s="2">
        <v>1</v>
      </c>
      <c r="K310" s="2">
        <v>2</v>
      </c>
      <c r="L310" s="2">
        <v>2</v>
      </c>
      <c r="M310" s="2">
        <v>9</v>
      </c>
      <c r="N310" s="5" t="s">
        <v>321</v>
      </c>
      <c r="O310" s="12">
        <v>489000</v>
      </c>
      <c r="P310" s="3">
        <f>(2786+564*12)/12</f>
        <v>796.16666666666663</v>
      </c>
      <c r="R310" s="3">
        <v>2252</v>
      </c>
      <c r="S310" s="12">
        <f t="shared" si="12"/>
        <v>82.825000000000003</v>
      </c>
      <c r="T310" s="3">
        <f t="shared" si="13"/>
        <v>3130.9916666666663</v>
      </c>
      <c r="U310" s="2">
        <f t="shared" si="14"/>
        <v>1059297.5</v>
      </c>
    </row>
    <row r="311" spans="1:21" ht="13.8" x14ac:dyDescent="0.3">
      <c r="A311" s="6">
        <v>45444</v>
      </c>
      <c r="B311" s="2" t="s">
        <v>665</v>
      </c>
      <c r="C311" s="2" t="s">
        <v>4</v>
      </c>
      <c r="D311" s="2" t="s">
        <v>297</v>
      </c>
      <c r="E311" s="2" t="s">
        <v>375</v>
      </c>
      <c r="F311" s="2">
        <v>2013</v>
      </c>
      <c r="G311" s="2">
        <v>1087</v>
      </c>
      <c r="H311" s="2">
        <v>1087</v>
      </c>
      <c r="J311" s="2">
        <v>1</v>
      </c>
      <c r="K311" s="2">
        <v>2</v>
      </c>
      <c r="L311" s="2">
        <v>1</v>
      </c>
      <c r="M311" s="2">
        <v>6</v>
      </c>
      <c r="N311" s="5" t="s">
        <v>322</v>
      </c>
      <c r="O311" s="12">
        <v>495000</v>
      </c>
      <c r="P311" s="3">
        <f>(3130+2196)/12</f>
        <v>443.83333333333331</v>
      </c>
      <c r="R311" s="3">
        <v>2289</v>
      </c>
      <c r="S311" s="12">
        <f t="shared" si="12"/>
        <v>76.408333333333331</v>
      </c>
      <c r="T311" s="3">
        <f t="shared" si="13"/>
        <v>2809.2416666666668</v>
      </c>
      <c r="U311" s="2">
        <f t="shared" si="14"/>
        <v>962772.5</v>
      </c>
    </row>
    <row r="312" spans="1:21" ht="13.8" x14ac:dyDescent="0.3">
      <c r="A312" s="6">
        <v>45444</v>
      </c>
      <c r="B312" s="2" t="s">
        <v>666</v>
      </c>
      <c r="C312" s="2" t="s">
        <v>4</v>
      </c>
      <c r="D312" s="2" t="s">
        <v>297</v>
      </c>
      <c r="E312" s="2" t="s">
        <v>1734</v>
      </c>
      <c r="F312" s="2">
        <v>2011</v>
      </c>
      <c r="G312" s="2">
        <f>(8.6*12+12*10.5+4*4+16*15+8.2*10.4+8*12+14.9*11.4+8*8+11*19)*1.3</f>
        <v>1442.1420000000003</v>
      </c>
      <c r="H312" s="2">
        <v>1759.9</v>
      </c>
      <c r="J312" s="2">
        <v>1</v>
      </c>
      <c r="K312" s="2">
        <v>3</v>
      </c>
      <c r="L312" s="2">
        <v>1</v>
      </c>
      <c r="M312" s="2">
        <v>9</v>
      </c>
      <c r="N312" s="5" t="s">
        <v>323</v>
      </c>
      <c r="O312" s="12">
        <v>499000</v>
      </c>
      <c r="P312" s="3">
        <f>(346+2928)/12</f>
        <v>272.83333333333331</v>
      </c>
      <c r="R312" s="3">
        <v>2313</v>
      </c>
      <c r="S312" s="12">
        <f t="shared" si="12"/>
        <v>97.124950000000027</v>
      </c>
      <c r="T312" s="3">
        <f t="shared" si="13"/>
        <v>2682.9582833333334</v>
      </c>
      <c r="U312" s="2">
        <f t="shared" si="14"/>
        <v>924887.48499999999</v>
      </c>
    </row>
    <row r="313" spans="1:21" ht="13.8" x14ac:dyDescent="0.3">
      <c r="A313" s="6">
        <v>45444</v>
      </c>
      <c r="B313" s="2" t="s">
        <v>667</v>
      </c>
      <c r="C313" s="2" t="s">
        <v>4</v>
      </c>
      <c r="D313" s="2" t="s">
        <v>297</v>
      </c>
      <c r="E313" s="2" t="s">
        <v>375</v>
      </c>
      <c r="F313" s="2">
        <v>2012</v>
      </c>
      <c r="G313" s="2">
        <v>1100</v>
      </c>
      <c r="H313" s="2">
        <v>1100</v>
      </c>
      <c r="J313" s="2">
        <v>1</v>
      </c>
      <c r="K313" s="2">
        <v>2</v>
      </c>
      <c r="L313" s="2">
        <v>1</v>
      </c>
      <c r="M313" s="2">
        <v>9</v>
      </c>
      <c r="N313" s="5" t="s">
        <v>324</v>
      </c>
      <c r="O313" s="12">
        <v>499000</v>
      </c>
      <c r="P313" s="3">
        <f>(3218+4464)/12</f>
        <v>640.16666666666663</v>
      </c>
      <c r="R313" s="3">
        <v>2313</v>
      </c>
      <c r="S313" s="12">
        <f t="shared" si="12"/>
        <v>77.166666666666671</v>
      </c>
      <c r="T313" s="3">
        <f t="shared" si="13"/>
        <v>3030.333333333333</v>
      </c>
      <c r="U313" s="2">
        <f t="shared" si="14"/>
        <v>1029100</v>
      </c>
    </row>
    <row r="314" spans="1:21" ht="13.8" x14ac:dyDescent="0.3">
      <c r="A314" s="6">
        <v>45444</v>
      </c>
      <c r="B314" s="2" t="s">
        <v>668</v>
      </c>
      <c r="C314" s="2" t="s">
        <v>4</v>
      </c>
      <c r="D314" s="2" t="s">
        <v>297</v>
      </c>
      <c r="E314" s="2" t="s">
        <v>375</v>
      </c>
      <c r="F314" s="2">
        <v>2015</v>
      </c>
      <c r="G314" s="2">
        <v>989</v>
      </c>
      <c r="H314" s="2">
        <v>989</v>
      </c>
      <c r="J314" s="2">
        <v>1</v>
      </c>
      <c r="K314" s="2">
        <v>2</v>
      </c>
      <c r="L314" s="2">
        <v>1</v>
      </c>
      <c r="M314" s="2">
        <v>8</v>
      </c>
      <c r="N314" s="5" t="s">
        <v>325</v>
      </c>
      <c r="O314" s="12">
        <v>499000</v>
      </c>
      <c r="P314" s="3">
        <f>(2807+2856)/12</f>
        <v>471.91666666666669</v>
      </c>
      <c r="R314" s="3">
        <v>2313</v>
      </c>
      <c r="S314" s="12">
        <f t="shared" si="12"/>
        <v>70.691666666666663</v>
      </c>
      <c r="T314" s="3">
        <f t="shared" si="13"/>
        <v>2855.6083333333331</v>
      </c>
      <c r="U314" s="2">
        <f t="shared" si="14"/>
        <v>976682.49999999988</v>
      </c>
    </row>
    <row r="315" spans="1:21" ht="13.8" x14ac:dyDescent="0.3">
      <c r="A315" s="6">
        <v>45444</v>
      </c>
      <c r="B315" s="2" t="s">
        <v>669</v>
      </c>
      <c r="C315" s="2" t="s">
        <v>4</v>
      </c>
      <c r="D315" s="2" t="s">
        <v>297</v>
      </c>
      <c r="E315" s="2" t="s">
        <v>1734</v>
      </c>
      <c r="F315" s="2">
        <v>2008</v>
      </c>
      <c r="G315" s="2">
        <f>(13.6*11.4+10.9*6.7+10.5*8.7+7.7*7.4+5.1*4.6+13.7*11.5+4.9*4.1+9.8*9.3+9.3*9+11.2*6.9+12.6*11.2+12.2*11.6+14.9*8.6+5.3*3.9)*1.3</f>
        <v>1639.3910000000003</v>
      </c>
      <c r="H315" s="2">
        <v>3069</v>
      </c>
      <c r="J315" s="2">
        <v>1</v>
      </c>
      <c r="K315" s="2">
        <v>4</v>
      </c>
      <c r="L315" s="2">
        <v>1</v>
      </c>
      <c r="M315" s="2">
        <v>10</v>
      </c>
      <c r="N315" s="5" t="s">
        <v>326</v>
      </c>
      <c r="O315" s="12">
        <v>499000</v>
      </c>
      <c r="P315" s="3">
        <f>(272+2779)/12</f>
        <v>254.25</v>
      </c>
      <c r="R315" s="3">
        <v>2313</v>
      </c>
      <c r="S315" s="12">
        <f t="shared" si="12"/>
        <v>108.63114166666669</v>
      </c>
      <c r="T315" s="3">
        <f t="shared" si="13"/>
        <v>2675.8811416666667</v>
      </c>
      <c r="U315" s="2">
        <f t="shared" si="14"/>
        <v>922764.34250000003</v>
      </c>
    </row>
    <row r="316" spans="1:21" ht="13.8" x14ac:dyDescent="0.3">
      <c r="A316" s="6">
        <v>45444</v>
      </c>
      <c r="B316" s="2" t="s">
        <v>670</v>
      </c>
      <c r="C316" s="2" t="s">
        <v>4</v>
      </c>
      <c r="D316" s="2" t="s">
        <v>297</v>
      </c>
      <c r="E316" s="2" t="s">
        <v>375</v>
      </c>
      <c r="F316" s="2">
        <v>2023</v>
      </c>
      <c r="G316" s="2">
        <v>1038</v>
      </c>
      <c r="H316" s="2">
        <v>1038</v>
      </c>
      <c r="J316" s="2">
        <v>1</v>
      </c>
      <c r="K316" s="2">
        <v>3</v>
      </c>
      <c r="L316" s="2">
        <v>2</v>
      </c>
      <c r="M316" s="2">
        <v>5</v>
      </c>
      <c r="N316" s="5" t="s">
        <v>327</v>
      </c>
      <c r="O316" s="12">
        <v>511323</v>
      </c>
      <c r="P316" s="3">
        <f>4212/12+200</f>
        <v>551</v>
      </c>
      <c r="Q316" s="2" t="s">
        <v>25</v>
      </c>
      <c r="R316" s="3">
        <v>2389</v>
      </c>
      <c r="S316" s="12">
        <f t="shared" si="12"/>
        <v>73.550000000000011</v>
      </c>
      <c r="T316" s="3">
        <f t="shared" si="13"/>
        <v>3013.55</v>
      </c>
      <c r="U316" s="2">
        <f t="shared" si="14"/>
        <v>1024065.0000000001</v>
      </c>
    </row>
    <row r="317" spans="1:21" ht="13.8" x14ac:dyDescent="0.3">
      <c r="A317" s="6">
        <v>45444</v>
      </c>
      <c r="B317" s="2" t="s">
        <v>671</v>
      </c>
      <c r="C317" s="2" t="s">
        <v>4</v>
      </c>
      <c r="D317" s="2" t="s">
        <v>297</v>
      </c>
      <c r="E317" s="2" t="s">
        <v>1734</v>
      </c>
      <c r="F317" s="2">
        <v>2015</v>
      </c>
      <c r="G317" s="2">
        <f>(4.2*6.2+14.7*18.8+10.5*12.1+11.8*9.1+10.9*14.6+8.4*10.3+7.9*12.3+8.9*9.3+11.9*17.1+3.1*5.7)*1.3</f>
        <v>1538.6670000000001</v>
      </c>
      <c r="H317" s="2">
        <v>1390</v>
      </c>
      <c r="J317" s="2">
        <v>1</v>
      </c>
      <c r="K317" s="2">
        <v>3</v>
      </c>
      <c r="L317" s="2">
        <v>1</v>
      </c>
      <c r="M317" s="2">
        <v>10</v>
      </c>
      <c r="N317" s="5" t="s">
        <v>328</v>
      </c>
      <c r="O317" s="12">
        <v>519990</v>
      </c>
      <c r="P317" s="3">
        <f>(1044+2886+299)/12</f>
        <v>352.41666666666669</v>
      </c>
      <c r="R317" s="3">
        <v>2442</v>
      </c>
      <c r="S317" s="12">
        <f t="shared" si="12"/>
        <v>102.75557500000002</v>
      </c>
      <c r="T317" s="3">
        <f t="shared" si="13"/>
        <v>2897.1722416666667</v>
      </c>
      <c r="U317" s="2">
        <f t="shared" si="14"/>
        <v>989151.67249999999</v>
      </c>
    </row>
    <row r="318" spans="1:21" ht="13.8" x14ac:dyDescent="0.3">
      <c r="A318" s="6">
        <v>45444</v>
      </c>
      <c r="B318" s="2" t="s">
        <v>672</v>
      </c>
      <c r="C318" s="2" t="s">
        <v>4</v>
      </c>
      <c r="D318" s="2" t="s">
        <v>297</v>
      </c>
      <c r="E318" s="2" t="s">
        <v>375</v>
      </c>
      <c r="F318" s="2">
        <v>2022</v>
      </c>
      <c r="G318" s="2">
        <v>1087</v>
      </c>
      <c r="H318" s="2">
        <v>1087</v>
      </c>
      <c r="J318" s="2">
        <v>1</v>
      </c>
      <c r="K318" s="2">
        <v>3</v>
      </c>
      <c r="L318" s="2">
        <v>2</v>
      </c>
      <c r="M318" s="2">
        <v>10</v>
      </c>
      <c r="N318" s="5" t="s">
        <v>329</v>
      </c>
      <c r="O318" s="12">
        <v>524800</v>
      </c>
      <c r="P318" s="3">
        <f>(2722+291+4092)/12</f>
        <v>592.08333333333337</v>
      </c>
      <c r="R318" s="3">
        <v>2471</v>
      </c>
      <c r="S318" s="12">
        <f t="shared" si="12"/>
        <v>76.408333333333331</v>
      </c>
      <c r="T318" s="3">
        <f t="shared" si="13"/>
        <v>3139.4916666666668</v>
      </c>
      <c r="U318" s="2">
        <f t="shared" si="14"/>
        <v>1061847.5</v>
      </c>
    </row>
    <row r="319" spans="1:21" ht="13.8" x14ac:dyDescent="0.3">
      <c r="A319" s="6">
        <v>45444</v>
      </c>
      <c r="B319" s="2" t="s">
        <v>673</v>
      </c>
      <c r="C319" s="2" t="s">
        <v>4</v>
      </c>
      <c r="D319" s="2" t="s">
        <v>297</v>
      </c>
      <c r="E319" s="2" t="s">
        <v>1734</v>
      </c>
      <c r="F319" s="2">
        <v>1930</v>
      </c>
      <c r="G319" s="2">
        <f>(3*4+12.8*11.6+11.8*11.2+11.8*11.8+12.8*10.9+14.6*11.2+8.4*12.4+12.3*10.7+10*10.7+14*5.6)*1.3</f>
        <v>1502.9170000000001</v>
      </c>
      <c r="H319" s="2">
        <v>6230</v>
      </c>
      <c r="J319" s="2">
        <v>1</v>
      </c>
      <c r="K319" s="2">
        <v>3</v>
      </c>
      <c r="L319" s="2">
        <v>2</v>
      </c>
      <c r="M319" s="2">
        <v>10</v>
      </c>
      <c r="N319" s="5" t="s">
        <v>330</v>
      </c>
      <c r="O319" s="12">
        <v>549900</v>
      </c>
      <c r="P319" s="3">
        <f>3146/12</f>
        <v>262.16666666666669</v>
      </c>
      <c r="R319" s="3">
        <v>2624</v>
      </c>
      <c r="S319" s="12">
        <f t="shared" si="12"/>
        <v>100.67015833333335</v>
      </c>
      <c r="T319" s="3">
        <f t="shared" si="13"/>
        <v>2986.8368249999999</v>
      </c>
      <c r="U319" s="2">
        <f t="shared" si="14"/>
        <v>1016051.0474999999</v>
      </c>
    </row>
    <row r="320" spans="1:21" ht="13.8" x14ac:dyDescent="0.3">
      <c r="A320" s="6">
        <v>45444</v>
      </c>
      <c r="B320" s="2" t="s">
        <v>674</v>
      </c>
      <c r="C320" s="2" t="s">
        <v>4</v>
      </c>
      <c r="D320" s="2" t="s">
        <v>297</v>
      </c>
      <c r="E320" s="2" t="s">
        <v>375</v>
      </c>
      <c r="F320" s="2">
        <v>1982</v>
      </c>
      <c r="G320" s="2">
        <v>1283</v>
      </c>
      <c r="H320" s="2">
        <v>1283</v>
      </c>
      <c r="J320" s="2">
        <v>1</v>
      </c>
      <c r="K320" s="2">
        <v>3</v>
      </c>
      <c r="L320" s="2">
        <v>2</v>
      </c>
      <c r="M320" s="2">
        <v>9</v>
      </c>
      <c r="N320" s="5" t="s">
        <v>331</v>
      </c>
      <c r="O320" s="12">
        <v>549900</v>
      </c>
      <c r="P320" s="3">
        <f>(3489+7980)/12</f>
        <v>955.75</v>
      </c>
      <c r="R320" s="3">
        <v>2624</v>
      </c>
      <c r="S320" s="12">
        <f t="shared" si="12"/>
        <v>87.841666666666683</v>
      </c>
      <c r="T320" s="3">
        <f t="shared" si="13"/>
        <v>3667.5916666666667</v>
      </c>
      <c r="U320" s="2">
        <f t="shared" si="14"/>
        <v>1220277.5</v>
      </c>
    </row>
    <row r="321" spans="1:21" ht="13.8" x14ac:dyDescent="0.3">
      <c r="A321" s="6">
        <v>45444</v>
      </c>
      <c r="B321" s="2" t="s">
        <v>675</v>
      </c>
      <c r="C321" s="2" t="s">
        <v>4</v>
      </c>
      <c r="D321" s="2" t="s">
        <v>297</v>
      </c>
      <c r="E321" s="2" t="s">
        <v>375</v>
      </c>
      <c r="F321" s="2">
        <v>2012</v>
      </c>
      <c r="G321" s="2">
        <v>1203</v>
      </c>
      <c r="H321" s="2">
        <v>1203</v>
      </c>
      <c r="J321" s="2">
        <v>1</v>
      </c>
      <c r="K321" s="2">
        <v>3</v>
      </c>
      <c r="L321" s="2">
        <v>2</v>
      </c>
      <c r="M321" s="2">
        <v>10</v>
      </c>
      <c r="N321" s="5" t="s">
        <v>332</v>
      </c>
      <c r="O321" s="12">
        <v>557000</v>
      </c>
      <c r="P321" s="3">
        <f>(4680+3247+336)/12</f>
        <v>688.58333333333337</v>
      </c>
      <c r="R321" s="3">
        <v>2667</v>
      </c>
      <c r="S321" s="12">
        <f t="shared" si="12"/>
        <v>83.175000000000011</v>
      </c>
      <c r="T321" s="3">
        <f t="shared" si="13"/>
        <v>3438.7583333333337</v>
      </c>
      <c r="U321" s="2">
        <f t="shared" si="14"/>
        <v>1151627.5</v>
      </c>
    </row>
    <row r="322" spans="1:21" ht="13.8" x14ac:dyDescent="0.3">
      <c r="A322" s="6">
        <v>45444</v>
      </c>
      <c r="B322" s="2" t="s">
        <v>676</v>
      </c>
      <c r="C322" s="2" t="s">
        <v>4</v>
      </c>
      <c r="D322" s="2" t="s">
        <v>297</v>
      </c>
      <c r="E322" s="2" t="s">
        <v>375</v>
      </c>
      <c r="F322" s="2">
        <v>1988</v>
      </c>
      <c r="G322" s="2">
        <v>1236</v>
      </c>
      <c r="H322" s="2">
        <v>1236</v>
      </c>
      <c r="J322" s="2">
        <v>1</v>
      </c>
      <c r="K322" s="2">
        <v>2</v>
      </c>
      <c r="L322" s="2">
        <v>2</v>
      </c>
      <c r="M322" s="2">
        <v>5</v>
      </c>
      <c r="N322" s="5" t="s">
        <v>333</v>
      </c>
      <c r="O322" s="12">
        <v>559000</v>
      </c>
      <c r="P322" s="3">
        <f>(6708+3267)/12</f>
        <v>831.25</v>
      </c>
      <c r="R322" s="3">
        <v>2680</v>
      </c>
      <c r="S322" s="12">
        <f t="shared" ref="S322:S385" si="15">13+(G322*10*0.07)/12</f>
        <v>85.100000000000009</v>
      </c>
      <c r="T322" s="3">
        <f t="shared" ref="T322:T385" si="16">P322+R322+S322</f>
        <v>3596.35</v>
      </c>
      <c r="U322" s="2">
        <f t="shared" ref="U322:U385" si="17">120000+T322*12*25</f>
        <v>1198905</v>
      </c>
    </row>
    <row r="323" spans="1:21" ht="13.8" x14ac:dyDescent="0.3">
      <c r="A323" s="6">
        <v>45444</v>
      </c>
      <c r="B323" s="2" t="s">
        <v>677</v>
      </c>
      <c r="C323" s="2" t="s">
        <v>4</v>
      </c>
      <c r="D323" s="2" t="s">
        <v>297</v>
      </c>
      <c r="E323" s="2" t="s">
        <v>1734</v>
      </c>
      <c r="F323" s="2">
        <v>1956</v>
      </c>
      <c r="G323" s="2">
        <f>(15.6*11+16.9*8+10.4*10.9+8*10.9+12*9+11.6*7.8+25*11.8+12*9+11.4*6)*1.3</f>
        <v>1530.412</v>
      </c>
      <c r="H323" s="2">
        <v>8625</v>
      </c>
      <c r="J323" s="2">
        <v>1</v>
      </c>
      <c r="K323" s="2">
        <v>3</v>
      </c>
      <c r="L323" s="2">
        <v>2</v>
      </c>
      <c r="M323" s="2">
        <v>9</v>
      </c>
      <c r="N323" s="5" t="s">
        <v>334</v>
      </c>
      <c r="O323" s="12">
        <v>569900</v>
      </c>
      <c r="P323" s="3">
        <f>(3326+346)/12</f>
        <v>306</v>
      </c>
      <c r="R323" s="3">
        <v>2746</v>
      </c>
      <c r="S323" s="12">
        <f t="shared" si="15"/>
        <v>102.27403333333335</v>
      </c>
      <c r="T323" s="3">
        <f t="shared" si="16"/>
        <v>3154.2740333333331</v>
      </c>
      <c r="U323" s="2">
        <f t="shared" si="17"/>
        <v>1066282.21</v>
      </c>
    </row>
    <row r="324" spans="1:21" ht="13.8" x14ac:dyDescent="0.3">
      <c r="A324" s="6">
        <v>45444</v>
      </c>
      <c r="B324" s="2" t="s">
        <v>678</v>
      </c>
      <c r="C324" s="2" t="s">
        <v>4</v>
      </c>
      <c r="D324" s="2" t="s">
        <v>297</v>
      </c>
      <c r="E324" s="2" t="s">
        <v>1734</v>
      </c>
      <c r="F324" s="2">
        <v>1967</v>
      </c>
      <c r="G324" s="2">
        <f>(4.9*3.7+19.6*12.4+9.9*8.9+15.3*8.9+4.9*3.9+15.4*10.3+13.3*11.5+11.9*9.9+10.9*4.9+18.5*12.5+15*8.2+7.9*7.3)*1.3</f>
        <v>1819.0509999999999</v>
      </c>
      <c r="H324" s="2">
        <v>4177</v>
      </c>
      <c r="J324" s="2">
        <v>1</v>
      </c>
      <c r="K324" s="2">
        <v>4</v>
      </c>
      <c r="L324" s="2">
        <v>2</v>
      </c>
      <c r="M324" s="2">
        <v>8</v>
      </c>
      <c r="N324" s="5" t="s">
        <v>335</v>
      </c>
      <c r="O324" s="12">
        <v>569900</v>
      </c>
      <c r="P324" s="3">
        <f>300</f>
        <v>300</v>
      </c>
      <c r="Q324" s="2" t="s">
        <v>25</v>
      </c>
      <c r="R324" s="3">
        <v>2746</v>
      </c>
      <c r="S324" s="12">
        <f t="shared" si="15"/>
        <v>119.11130833333334</v>
      </c>
      <c r="T324" s="3">
        <f t="shared" si="16"/>
        <v>3165.1113083333335</v>
      </c>
      <c r="U324" s="2">
        <f t="shared" si="17"/>
        <v>1069533.3925000001</v>
      </c>
    </row>
    <row r="325" spans="1:21" ht="13.8" x14ac:dyDescent="0.3">
      <c r="A325" s="6">
        <v>45444</v>
      </c>
      <c r="B325" s="2" t="s">
        <v>679</v>
      </c>
      <c r="C325" s="2" t="s">
        <v>4</v>
      </c>
      <c r="D325" s="2" t="s">
        <v>297</v>
      </c>
      <c r="E325" s="2" t="s">
        <v>1734</v>
      </c>
      <c r="F325" s="2">
        <v>1955</v>
      </c>
      <c r="G325" s="2">
        <f>(22.7*10.8+11.4*6.2+11*11.1+4.7*6.8+13.7*11.2+15.6*11.7+11.8*7.5+11.3*11.1+11.1*8.8+4.9*7.9+22.5*13.3+11*9.9)*1.3</f>
        <v>2033.6290000000004</v>
      </c>
      <c r="H325" s="2">
        <v>5604</v>
      </c>
      <c r="J325" s="2">
        <v>1</v>
      </c>
      <c r="K325" s="2">
        <v>3</v>
      </c>
      <c r="L325" s="2">
        <v>2</v>
      </c>
      <c r="M325" s="2">
        <v>8</v>
      </c>
      <c r="N325" s="5" t="s">
        <v>336</v>
      </c>
      <c r="O325" s="12">
        <v>579000</v>
      </c>
      <c r="P325" s="3">
        <f>(3353+305)/12</f>
        <v>304.83333333333331</v>
      </c>
      <c r="R325" s="3">
        <v>2802</v>
      </c>
      <c r="S325" s="12">
        <f t="shared" si="15"/>
        <v>131.62835833333338</v>
      </c>
      <c r="T325" s="3">
        <f t="shared" si="16"/>
        <v>3238.4616916666669</v>
      </c>
      <c r="U325" s="2">
        <f t="shared" si="17"/>
        <v>1091538.5075000001</v>
      </c>
    </row>
    <row r="326" spans="1:21" ht="13.8" x14ac:dyDescent="0.3">
      <c r="A326" s="6">
        <v>45444</v>
      </c>
      <c r="B326" s="2" t="s">
        <v>680</v>
      </c>
      <c r="C326" s="2" t="s">
        <v>4</v>
      </c>
      <c r="D326" s="2" t="s">
        <v>297</v>
      </c>
      <c r="E326" s="2" t="s">
        <v>1734</v>
      </c>
      <c r="F326" s="2">
        <v>2017</v>
      </c>
      <c r="G326" s="2">
        <f>(14.5*14.9+18.6*15.6+4.9*4.5+13.9*11.4+9.4*8.3+9.9*11.1+8.3*12.7+17*15.2)*1.3</f>
        <v>1609.9720000000002</v>
      </c>
      <c r="H326" s="2">
        <v>1390</v>
      </c>
      <c r="J326" s="2">
        <v>1</v>
      </c>
      <c r="K326" s="2">
        <v>3</v>
      </c>
      <c r="L326" s="2">
        <v>1</v>
      </c>
      <c r="M326" s="2">
        <v>8</v>
      </c>
      <c r="N326" s="5" t="s">
        <v>337</v>
      </c>
      <c r="O326" s="12">
        <v>579000</v>
      </c>
      <c r="P326" s="3">
        <v>350</v>
      </c>
      <c r="Q326" s="2" t="s">
        <v>25</v>
      </c>
      <c r="R326" s="3">
        <v>2802</v>
      </c>
      <c r="S326" s="12">
        <f t="shared" si="15"/>
        <v>106.91503333333334</v>
      </c>
      <c r="T326" s="3">
        <f t="shared" si="16"/>
        <v>3258.9150333333332</v>
      </c>
      <c r="U326" s="2">
        <f t="shared" si="17"/>
        <v>1097674.51</v>
      </c>
    </row>
    <row r="327" spans="1:21" ht="13.8" x14ac:dyDescent="0.3">
      <c r="A327" s="6">
        <v>45444</v>
      </c>
      <c r="B327" s="2" t="s">
        <v>681</v>
      </c>
      <c r="C327" s="2" t="s">
        <v>4</v>
      </c>
      <c r="D327" s="2" t="s">
        <v>297</v>
      </c>
      <c r="E327" s="2" t="s">
        <v>1734</v>
      </c>
      <c r="F327" s="2">
        <v>1959</v>
      </c>
      <c r="G327" s="2">
        <f>(4*4+19.8*18.2+12*11.3+14.9*19.5+15*7.9+11.5*10.6+13.9*8.9+11.1*6.4+7.6*8.8+22.8*28.9)*1.3</f>
        <v>2552.498</v>
      </c>
      <c r="H327" s="2">
        <v>6175</v>
      </c>
      <c r="J327" s="2">
        <v>1</v>
      </c>
      <c r="K327" s="2">
        <v>3</v>
      </c>
      <c r="L327" s="2">
        <v>1</v>
      </c>
      <c r="M327" s="2">
        <v>7</v>
      </c>
      <c r="N327" s="5" t="s">
        <v>338</v>
      </c>
      <c r="O327" s="12">
        <v>589900</v>
      </c>
      <c r="P327" s="3">
        <f>(4464/12)</f>
        <v>372</v>
      </c>
      <c r="R327" s="3">
        <v>2868</v>
      </c>
      <c r="S327" s="12">
        <f t="shared" si="15"/>
        <v>161.89571666666669</v>
      </c>
      <c r="T327" s="3">
        <f t="shared" si="16"/>
        <v>3401.8957166666669</v>
      </c>
      <c r="U327" s="2">
        <f t="shared" si="17"/>
        <v>1140568.7150000003</v>
      </c>
    </row>
    <row r="328" spans="1:21" ht="13.8" x14ac:dyDescent="0.3">
      <c r="A328" s="6">
        <v>45444</v>
      </c>
      <c r="B328" s="2" t="s">
        <v>682</v>
      </c>
      <c r="C328" s="2" t="s">
        <v>4</v>
      </c>
      <c r="D328" s="2" t="s">
        <v>297</v>
      </c>
      <c r="E328" s="2" t="s">
        <v>1734</v>
      </c>
      <c r="F328" s="2">
        <v>1960</v>
      </c>
      <c r="G328" s="2">
        <f>(3.8+7.1+16*12.5+13.6*12.1+13.3*9.8+9.8*4.1+11.8*13.9+14.1*9.1+22.1*12.9+16.3*12.3+12.5*9.9+8.9*4.8+5.1*7.7)*1.3</f>
        <v>1988.5190000000002</v>
      </c>
      <c r="H328" s="2">
        <v>6882</v>
      </c>
      <c r="J328" s="2">
        <v>1</v>
      </c>
      <c r="K328" s="2">
        <v>4</v>
      </c>
      <c r="L328" s="2">
        <v>2</v>
      </c>
      <c r="M328" s="2">
        <v>12</v>
      </c>
      <c r="N328" s="5" t="s">
        <v>339</v>
      </c>
      <c r="O328" s="12">
        <v>595000</v>
      </c>
      <c r="P328" s="3">
        <f>3410/12</f>
        <v>284.16666666666669</v>
      </c>
      <c r="R328" s="3">
        <v>2899</v>
      </c>
      <c r="S328" s="12">
        <f t="shared" si="15"/>
        <v>128.99694166666671</v>
      </c>
      <c r="T328" s="3">
        <f t="shared" si="16"/>
        <v>3312.1636083333333</v>
      </c>
      <c r="U328" s="2">
        <f t="shared" si="17"/>
        <v>1113649.0825</v>
      </c>
    </row>
    <row r="329" spans="1:21" ht="13.8" x14ac:dyDescent="0.3">
      <c r="A329" s="6">
        <v>45444</v>
      </c>
      <c r="B329" s="2" t="s">
        <v>683</v>
      </c>
      <c r="C329" s="2" t="s">
        <v>4</v>
      </c>
      <c r="D329" s="2" t="s">
        <v>297</v>
      </c>
      <c r="E329" s="2" t="s">
        <v>1734</v>
      </c>
      <c r="F329" s="2">
        <v>1963</v>
      </c>
      <c r="G329" s="2">
        <f>(16.3*10.6+14.6*11.7+9.4*7.8+13.6*11.9+11.1*10+10.1*9.9+17*10+13.4*10.1+10.2*9.1+18*13.1+12*8+10*8)*1.3</f>
        <v>2079.623</v>
      </c>
      <c r="H329" s="2">
        <v>7127</v>
      </c>
      <c r="J329" s="2">
        <v>1</v>
      </c>
      <c r="K329" s="2">
        <v>3</v>
      </c>
      <c r="L329" s="2">
        <v>2</v>
      </c>
      <c r="M329" s="2">
        <v>12</v>
      </c>
      <c r="N329" s="5" t="s">
        <v>340</v>
      </c>
      <c r="O329" s="12">
        <v>599500</v>
      </c>
      <c r="P329" s="3">
        <f>3870/12</f>
        <v>322.5</v>
      </c>
      <c r="R329" s="3">
        <v>2927</v>
      </c>
      <c r="S329" s="12">
        <f t="shared" si="15"/>
        <v>134.31134166666669</v>
      </c>
      <c r="T329" s="3">
        <f t="shared" si="16"/>
        <v>3383.8113416666665</v>
      </c>
      <c r="U329" s="2">
        <f t="shared" si="17"/>
        <v>1135143.4024999999</v>
      </c>
    </row>
    <row r="330" spans="1:21" ht="13.8" x14ac:dyDescent="0.3">
      <c r="A330" s="6">
        <v>45444</v>
      </c>
      <c r="B330" s="2" t="s">
        <v>684</v>
      </c>
      <c r="C330" s="2" t="s">
        <v>4</v>
      </c>
      <c r="D330" s="2" t="s">
        <v>297</v>
      </c>
      <c r="E330" s="2" t="s">
        <v>1734</v>
      </c>
      <c r="F330" s="2">
        <v>2003</v>
      </c>
      <c r="G330" s="2">
        <f>(4*5+17*16+10*12.5+10*12.5+4.7*5.2+14*11.6+7.5*5.4+12.2*9.9+12.5*8.6+5*6.3+11.6*11)*1.3</f>
        <v>1503.7359999999999</v>
      </c>
      <c r="H330" s="2">
        <v>3200</v>
      </c>
      <c r="J330" s="2">
        <v>1</v>
      </c>
      <c r="K330" s="2">
        <v>3</v>
      </c>
      <c r="L330" s="2">
        <v>1</v>
      </c>
      <c r="M330" s="2">
        <v>10</v>
      </c>
      <c r="N330" s="5" t="s">
        <v>341</v>
      </c>
      <c r="O330" s="12">
        <v>599500</v>
      </c>
      <c r="P330" s="3">
        <f>(127+3183+325)/12</f>
        <v>302.91666666666669</v>
      </c>
      <c r="R330" s="3">
        <v>2927</v>
      </c>
      <c r="S330" s="12">
        <f t="shared" si="15"/>
        <v>100.71793333333333</v>
      </c>
      <c r="T330" s="3">
        <f t="shared" si="16"/>
        <v>3330.6345999999999</v>
      </c>
      <c r="U330" s="2">
        <f t="shared" si="17"/>
        <v>1119190.3799999999</v>
      </c>
    </row>
    <row r="331" spans="1:21" ht="13.8" x14ac:dyDescent="0.3">
      <c r="A331" s="6">
        <v>45444</v>
      </c>
      <c r="B331" s="2" t="s">
        <v>685</v>
      </c>
      <c r="C331" s="2" t="s">
        <v>4</v>
      </c>
      <c r="D331" s="2" t="s">
        <v>342</v>
      </c>
      <c r="E331" s="2" t="s">
        <v>375</v>
      </c>
      <c r="F331" s="2">
        <v>1986</v>
      </c>
      <c r="G331" s="2">
        <v>383</v>
      </c>
      <c r="H331" s="2">
        <v>383</v>
      </c>
      <c r="J331" s="2">
        <v>1</v>
      </c>
      <c r="K331" s="2">
        <v>1</v>
      </c>
      <c r="L331" s="2">
        <v>1</v>
      </c>
      <c r="M331" s="2">
        <v>4</v>
      </c>
      <c r="N331" s="5" t="s">
        <v>343</v>
      </c>
      <c r="O331" s="12">
        <v>199000</v>
      </c>
      <c r="P331" s="3">
        <f>(1157+1500)/12</f>
        <v>221.41666666666666</v>
      </c>
      <c r="R331" s="3">
        <v>482</v>
      </c>
      <c r="S331" s="12">
        <f t="shared" si="15"/>
        <v>35.341666666666669</v>
      </c>
      <c r="T331" s="3">
        <f t="shared" si="16"/>
        <v>738.75833333333333</v>
      </c>
      <c r="U331" s="2">
        <f t="shared" si="17"/>
        <v>341627.5</v>
      </c>
    </row>
    <row r="332" spans="1:21" ht="13.8" x14ac:dyDescent="0.3">
      <c r="A332" s="6">
        <v>45444</v>
      </c>
      <c r="B332" s="2" t="s">
        <v>686</v>
      </c>
      <c r="C332" s="2" t="s">
        <v>4</v>
      </c>
      <c r="D332" s="2" t="s">
        <v>342</v>
      </c>
      <c r="E332" s="2" t="s">
        <v>375</v>
      </c>
      <c r="F332" s="2">
        <v>2005</v>
      </c>
      <c r="G332" s="2">
        <v>1103</v>
      </c>
      <c r="H332" s="2">
        <v>1103</v>
      </c>
      <c r="J332" s="2">
        <v>1</v>
      </c>
      <c r="K332" s="2">
        <v>2</v>
      </c>
      <c r="L332" s="2">
        <v>1</v>
      </c>
      <c r="M332" s="2">
        <v>5</v>
      </c>
      <c r="N332" s="5" t="s">
        <v>344</v>
      </c>
      <c r="O332" s="12">
        <v>314999</v>
      </c>
      <c r="P332" s="3">
        <f>(2353+6732)/12</f>
        <v>757.08333333333337</v>
      </c>
      <c r="R332" s="3">
        <v>1190</v>
      </c>
      <c r="S332" s="12">
        <f t="shared" si="15"/>
        <v>77.341666666666669</v>
      </c>
      <c r="T332" s="3">
        <f t="shared" si="16"/>
        <v>2024.4250000000002</v>
      </c>
      <c r="U332" s="2">
        <f t="shared" si="17"/>
        <v>727327.5</v>
      </c>
    </row>
    <row r="333" spans="1:21" ht="13.8" x14ac:dyDescent="0.3">
      <c r="A333" s="6">
        <v>45444</v>
      </c>
      <c r="B333" s="2" t="s">
        <v>687</v>
      </c>
      <c r="C333" s="2" t="s">
        <v>4</v>
      </c>
      <c r="D333" s="2" t="s">
        <v>342</v>
      </c>
      <c r="E333" s="2" t="s">
        <v>375</v>
      </c>
      <c r="F333" s="2">
        <v>2018</v>
      </c>
      <c r="G333" s="2">
        <v>775</v>
      </c>
      <c r="H333" s="2">
        <v>775</v>
      </c>
      <c r="J333" s="2">
        <v>1</v>
      </c>
      <c r="K333" s="2">
        <v>2</v>
      </c>
      <c r="L333" s="2">
        <v>1</v>
      </c>
      <c r="M333" s="2">
        <v>5</v>
      </c>
      <c r="N333" s="5" t="s">
        <v>345</v>
      </c>
      <c r="O333" s="12">
        <v>349000</v>
      </c>
      <c r="P333" s="3">
        <f>(1284+1725+155)/12</f>
        <v>263.66666666666669</v>
      </c>
      <c r="R333" s="3">
        <v>1398</v>
      </c>
      <c r="S333" s="12">
        <f t="shared" si="15"/>
        <v>58.208333333333336</v>
      </c>
      <c r="T333" s="3">
        <f t="shared" si="16"/>
        <v>1719.875</v>
      </c>
      <c r="U333" s="2">
        <f t="shared" si="17"/>
        <v>635962.5</v>
      </c>
    </row>
    <row r="334" spans="1:21" ht="13.8" x14ac:dyDescent="0.3">
      <c r="A334" s="6">
        <v>45444</v>
      </c>
      <c r="B334" s="2" t="s">
        <v>688</v>
      </c>
      <c r="C334" s="2" t="s">
        <v>4</v>
      </c>
      <c r="D334" s="2" t="s">
        <v>342</v>
      </c>
      <c r="E334" s="2" t="s">
        <v>375</v>
      </c>
      <c r="F334" s="2">
        <v>1990</v>
      </c>
      <c r="G334" s="2">
        <v>924</v>
      </c>
      <c r="H334" s="2">
        <v>924</v>
      </c>
      <c r="J334" s="2">
        <v>1</v>
      </c>
      <c r="K334" s="2">
        <v>3</v>
      </c>
      <c r="L334" s="2">
        <v>1</v>
      </c>
      <c r="M334" s="2">
        <v>7</v>
      </c>
      <c r="N334" s="5" t="s">
        <v>346</v>
      </c>
      <c r="O334" s="12">
        <v>349900</v>
      </c>
      <c r="P334" s="3">
        <f>(1782+386*12)/12</f>
        <v>534.5</v>
      </c>
      <c r="R334" s="3">
        <v>1403</v>
      </c>
      <c r="S334" s="12">
        <f t="shared" si="15"/>
        <v>66.900000000000006</v>
      </c>
      <c r="T334" s="3">
        <f t="shared" si="16"/>
        <v>2004.4</v>
      </c>
      <c r="U334" s="2">
        <f t="shared" si="17"/>
        <v>721320.00000000012</v>
      </c>
    </row>
    <row r="335" spans="1:21" ht="13.8" x14ac:dyDescent="0.3">
      <c r="A335" s="6">
        <v>45444</v>
      </c>
      <c r="B335" s="2" t="s">
        <v>689</v>
      </c>
      <c r="C335" s="2" t="s">
        <v>4</v>
      </c>
      <c r="D335" s="2" t="s">
        <v>342</v>
      </c>
      <c r="E335" s="2" t="s">
        <v>375</v>
      </c>
      <c r="F335" s="2">
        <v>2001</v>
      </c>
      <c r="G335" s="2">
        <v>914</v>
      </c>
      <c r="H335" s="2">
        <v>914</v>
      </c>
      <c r="J335" s="2">
        <v>1</v>
      </c>
      <c r="K335" s="2">
        <v>2</v>
      </c>
      <c r="L335" s="2">
        <v>1</v>
      </c>
      <c r="M335" s="2">
        <v>7</v>
      </c>
      <c r="N335" s="5" t="s">
        <v>347</v>
      </c>
      <c r="O335" s="12">
        <v>349900</v>
      </c>
      <c r="P335" s="3">
        <f>(2188+2400)/12</f>
        <v>382.33333333333331</v>
      </c>
      <c r="R335" s="3">
        <v>1403</v>
      </c>
      <c r="S335" s="12">
        <f t="shared" si="15"/>
        <v>66.316666666666663</v>
      </c>
      <c r="T335" s="3">
        <f t="shared" si="16"/>
        <v>1851.6499999999999</v>
      </c>
      <c r="U335" s="2">
        <f t="shared" si="17"/>
        <v>675495</v>
      </c>
    </row>
    <row r="336" spans="1:21" ht="13.8" x14ac:dyDescent="0.3">
      <c r="A336" s="6">
        <v>45444</v>
      </c>
      <c r="B336" s="2" t="s">
        <v>690</v>
      </c>
      <c r="C336" s="2" t="s">
        <v>4</v>
      </c>
      <c r="D336" s="2" t="s">
        <v>342</v>
      </c>
      <c r="E336" s="2" t="s">
        <v>375</v>
      </c>
      <c r="F336" s="2">
        <v>2004</v>
      </c>
      <c r="G336" s="2">
        <v>921</v>
      </c>
      <c r="H336" s="2">
        <v>921</v>
      </c>
      <c r="J336" s="2">
        <v>1</v>
      </c>
      <c r="K336" s="2">
        <v>2</v>
      </c>
      <c r="L336" s="2">
        <v>1</v>
      </c>
      <c r="M336" s="2">
        <v>7</v>
      </c>
      <c r="N336" s="5" t="s">
        <v>348</v>
      </c>
      <c r="O336" s="12">
        <v>368000</v>
      </c>
      <c r="P336" s="3">
        <f>(2346+3420)/12</f>
        <v>480.5</v>
      </c>
      <c r="R336" s="3">
        <v>1514</v>
      </c>
      <c r="S336" s="12">
        <f t="shared" si="15"/>
        <v>66.724999999999994</v>
      </c>
      <c r="T336" s="3">
        <f t="shared" si="16"/>
        <v>2061.2249999999999</v>
      </c>
      <c r="U336" s="2">
        <f t="shared" si="17"/>
        <v>738367.49999999988</v>
      </c>
    </row>
    <row r="337" spans="1:21" ht="13.8" x14ac:dyDescent="0.3">
      <c r="A337" s="6">
        <v>45444</v>
      </c>
      <c r="B337" s="2" t="s">
        <v>691</v>
      </c>
      <c r="C337" s="2" t="s">
        <v>4</v>
      </c>
      <c r="D337" s="2" t="s">
        <v>342</v>
      </c>
      <c r="E337" s="2" t="s">
        <v>375</v>
      </c>
      <c r="F337" s="2">
        <v>2006</v>
      </c>
      <c r="G337" s="2">
        <v>1043</v>
      </c>
      <c r="H337" s="2">
        <v>1043</v>
      </c>
      <c r="J337" s="2">
        <v>1</v>
      </c>
      <c r="K337" s="2">
        <v>2</v>
      </c>
      <c r="L337" s="2">
        <v>1</v>
      </c>
      <c r="M337" s="2">
        <v>7</v>
      </c>
      <c r="N337" s="5" t="s">
        <v>349</v>
      </c>
      <c r="O337" s="12">
        <v>379900</v>
      </c>
      <c r="P337" s="3">
        <f>(2417+4896)/12</f>
        <v>609.41666666666663</v>
      </c>
      <c r="R337" s="3">
        <v>1586</v>
      </c>
      <c r="S337" s="12">
        <f t="shared" si="15"/>
        <v>73.841666666666669</v>
      </c>
      <c r="T337" s="3">
        <f t="shared" si="16"/>
        <v>2269.2583333333332</v>
      </c>
      <c r="U337" s="2">
        <f t="shared" si="17"/>
        <v>800777.5</v>
      </c>
    </row>
    <row r="338" spans="1:21" ht="13.8" x14ac:dyDescent="0.3">
      <c r="A338" s="6">
        <v>45444</v>
      </c>
      <c r="B338" s="2" t="s">
        <v>692</v>
      </c>
      <c r="C338" s="2" t="s">
        <v>4</v>
      </c>
      <c r="D338" s="2" t="s">
        <v>342</v>
      </c>
      <c r="E338" s="2" t="s">
        <v>375</v>
      </c>
      <c r="F338" s="2">
        <v>2006</v>
      </c>
      <c r="G338" s="2">
        <v>1045</v>
      </c>
      <c r="H338" s="2">
        <v>1045</v>
      </c>
      <c r="J338" s="2">
        <v>1</v>
      </c>
      <c r="K338" s="2">
        <v>2</v>
      </c>
      <c r="L338" s="2">
        <v>1</v>
      </c>
      <c r="M338" s="2">
        <v>7</v>
      </c>
      <c r="N338" s="5" t="s">
        <v>350</v>
      </c>
      <c r="O338" s="12">
        <v>385000</v>
      </c>
      <c r="P338" s="3">
        <f>(2389+2160)/12</f>
        <v>379.08333333333331</v>
      </c>
      <c r="R338" s="3">
        <v>1618</v>
      </c>
      <c r="S338" s="12">
        <f t="shared" si="15"/>
        <v>73.958333333333343</v>
      </c>
      <c r="T338" s="3">
        <f t="shared" si="16"/>
        <v>2071.0416666666665</v>
      </c>
      <c r="U338" s="2">
        <f t="shared" si="17"/>
        <v>741312.5</v>
      </c>
    </row>
    <row r="339" spans="1:21" ht="13.8" x14ac:dyDescent="0.3">
      <c r="A339" s="6">
        <v>45444</v>
      </c>
      <c r="B339" s="2" t="s">
        <v>693</v>
      </c>
      <c r="C339" s="2" t="s">
        <v>4</v>
      </c>
      <c r="D339" s="2" t="s">
        <v>342</v>
      </c>
      <c r="E339" s="2" t="s">
        <v>1734</v>
      </c>
      <c r="F339" s="2">
        <v>1995</v>
      </c>
      <c r="G339" s="2">
        <f>(4.7*4.3+11*10.7+10.8*10.7+3*8.3+8.1*10.7+11.6*8.1+10.4*13.1+7.9*7.4+11*14.4)*1.3</f>
        <v>1055.73</v>
      </c>
      <c r="H339" s="2">
        <v>1446</v>
      </c>
      <c r="J339" s="2">
        <v>1</v>
      </c>
      <c r="K339" s="2">
        <v>2</v>
      </c>
      <c r="L339" s="2">
        <v>1</v>
      </c>
      <c r="M339" s="2">
        <v>9</v>
      </c>
      <c r="N339" s="5" t="s">
        <v>351</v>
      </c>
      <c r="O339" s="12">
        <v>399000</v>
      </c>
      <c r="P339" s="3">
        <f>(2604+200+2115)/12</f>
        <v>409.91666666666669</v>
      </c>
      <c r="R339" s="3">
        <v>1703</v>
      </c>
      <c r="S339" s="12">
        <f t="shared" si="15"/>
        <v>74.584249999999997</v>
      </c>
      <c r="T339" s="3">
        <f t="shared" si="16"/>
        <v>2187.5009166666664</v>
      </c>
      <c r="U339" s="2">
        <f t="shared" si="17"/>
        <v>776250.27499999991</v>
      </c>
    </row>
    <row r="340" spans="1:21" ht="13.8" x14ac:dyDescent="0.3">
      <c r="A340" s="6">
        <v>45444</v>
      </c>
      <c r="B340" s="2" t="s">
        <v>694</v>
      </c>
      <c r="C340" s="2" t="s">
        <v>4</v>
      </c>
      <c r="D340" s="2" t="s">
        <v>342</v>
      </c>
      <c r="E340" s="2" t="s">
        <v>375</v>
      </c>
      <c r="F340" s="2">
        <v>1998</v>
      </c>
      <c r="G340" s="2">
        <v>1098</v>
      </c>
      <c r="H340" s="2">
        <v>1098</v>
      </c>
      <c r="J340" s="2">
        <v>1</v>
      </c>
      <c r="K340" s="2">
        <v>3</v>
      </c>
      <c r="L340" s="2">
        <v>1</v>
      </c>
      <c r="M340" s="2">
        <v>7</v>
      </c>
      <c r="N340" s="5" t="s">
        <v>352</v>
      </c>
      <c r="O340" s="12">
        <v>415900</v>
      </c>
      <c r="P340" s="3">
        <f>(2373+187*12)/12</f>
        <v>384.75</v>
      </c>
      <c r="R340" s="3">
        <v>1806</v>
      </c>
      <c r="S340" s="12">
        <f t="shared" si="15"/>
        <v>77.05</v>
      </c>
      <c r="T340" s="3">
        <f t="shared" si="16"/>
        <v>2267.8000000000002</v>
      </c>
      <c r="U340" s="2">
        <f t="shared" si="17"/>
        <v>800340</v>
      </c>
    </row>
    <row r="341" spans="1:21" ht="13.8" x14ac:dyDescent="0.3">
      <c r="A341" s="6">
        <v>45444</v>
      </c>
      <c r="B341" s="2" t="s">
        <v>695</v>
      </c>
      <c r="C341" s="2" t="s">
        <v>4</v>
      </c>
      <c r="D341" s="2" t="s">
        <v>342</v>
      </c>
      <c r="E341" s="2" t="s">
        <v>1734</v>
      </c>
      <c r="F341" s="2">
        <v>1950</v>
      </c>
      <c r="G341" s="2">
        <f>(9.6*6.5+14.6*9.3+9.2*8.7+10.1*9.4*4.1+9.3*8.4+16*9.5+14.1*9.2+12.1*9.6+9*5.9+19.7*15.4+14.6*9+7.1*6.3)*1.3</f>
        <v>2178.9092000000001</v>
      </c>
      <c r="H341" s="2">
        <v>6468</v>
      </c>
      <c r="J341" s="2">
        <v>1</v>
      </c>
      <c r="K341" s="2">
        <v>4</v>
      </c>
      <c r="L341" s="2">
        <v>2</v>
      </c>
      <c r="M341" s="2">
        <v>13</v>
      </c>
      <c r="N341" s="5" t="s">
        <v>353</v>
      </c>
      <c r="O341" s="12">
        <v>437000</v>
      </c>
      <c r="P341" s="3">
        <f>(219+2002)/12</f>
        <v>185.08333333333334</v>
      </c>
      <c r="R341" s="3">
        <v>1935</v>
      </c>
      <c r="S341" s="12">
        <f t="shared" si="15"/>
        <v>140.1030366666667</v>
      </c>
      <c r="T341" s="3">
        <f t="shared" si="16"/>
        <v>2260.1863700000004</v>
      </c>
      <c r="U341" s="2">
        <f t="shared" si="17"/>
        <v>798055.91100000008</v>
      </c>
    </row>
    <row r="342" spans="1:21" ht="13.8" x14ac:dyDescent="0.3">
      <c r="A342" s="6">
        <v>45444</v>
      </c>
      <c r="B342" s="2" t="s">
        <v>696</v>
      </c>
      <c r="C342" s="2" t="s">
        <v>4</v>
      </c>
      <c r="D342" s="2" t="s">
        <v>342</v>
      </c>
      <c r="E342" s="2" t="s">
        <v>375</v>
      </c>
      <c r="F342" s="2">
        <v>2018</v>
      </c>
      <c r="G342" s="2">
        <v>986</v>
      </c>
      <c r="H342" s="2">
        <v>986</v>
      </c>
      <c r="J342" s="2">
        <v>1</v>
      </c>
      <c r="K342" s="2">
        <v>2</v>
      </c>
      <c r="L342" s="2">
        <v>1</v>
      </c>
      <c r="M342" s="2">
        <v>7</v>
      </c>
      <c r="N342" s="5" t="s">
        <v>354</v>
      </c>
      <c r="O342" s="12">
        <v>439000</v>
      </c>
      <c r="P342" s="3">
        <f>(2544+2665+281)/12</f>
        <v>457.5</v>
      </c>
      <c r="R342" s="3">
        <v>1947</v>
      </c>
      <c r="S342" s="12">
        <f t="shared" si="15"/>
        <v>70.51666666666668</v>
      </c>
      <c r="T342" s="3">
        <f t="shared" si="16"/>
        <v>2475.0166666666669</v>
      </c>
      <c r="U342" s="2">
        <f t="shared" si="17"/>
        <v>862505.00000000012</v>
      </c>
    </row>
    <row r="343" spans="1:21" ht="13.8" x14ac:dyDescent="0.3">
      <c r="A343" s="6">
        <v>45444</v>
      </c>
      <c r="B343" s="2" t="s">
        <v>697</v>
      </c>
      <c r="C343" s="2" t="s">
        <v>4</v>
      </c>
      <c r="D343" s="2" t="s">
        <v>342</v>
      </c>
      <c r="E343" s="2" t="s">
        <v>1734</v>
      </c>
      <c r="F343" s="2">
        <v>1994</v>
      </c>
      <c r="G343" s="2">
        <f>(4.9*8.1+13.4*12.4+5*7.9+10.9*9.8+8*9.3+13.9*12.4+7.6*11.1+8.1*9.9+8*9.5+17.9*27.7+6.9*17.7)*1.3</f>
        <v>1894.672</v>
      </c>
      <c r="H343" s="7">
        <v>3000</v>
      </c>
      <c r="J343" s="2">
        <v>1</v>
      </c>
      <c r="K343" s="2">
        <v>3</v>
      </c>
      <c r="L343" s="2">
        <v>1</v>
      </c>
      <c r="M343" s="2">
        <v>11</v>
      </c>
      <c r="N343" s="5" t="s">
        <v>355</v>
      </c>
      <c r="O343" s="12">
        <v>449900</v>
      </c>
      <c r="P343" s="3">
        <f>2652/12</f>
        <v>221</v>
      </c>
      <c r="R343" s="3">
        <v>2014</v>
      </c>
      <c r="S343" s="12">
        <f t="shared" si="15"/>
        <v>123.52253333333334</v>
      </c>
      <c r="T343" s="3">
        <f t="shared" si="16"/>
        <v>2358.5225333333333</v>
      </c>
      <c r="U343" s="2">
        <f t="shared" si="17"/>
        <v>827556.76</v>
      </c>
    </row>
    <row r="344" spans="1:21" ht="13.8" x14ac:dyDescent="0.3">
      <c r="A344" s="6">
        <v>45444</v>
      </c>
      <c r="B344" s="2" t="s">
        <v>698</v>
      </c>
      <c r="C344" s="2" t="s">
        <v>4</v>
      </c>
      <c r="D344" s="2" t="s">
        <v>342</v>
      </c>
      <c r="E344" s="2" t="s">
        <v>375</v>
      </c>
      <c r="F344" s="2">
        <v>1992</v>
      </c>
      <c r="G344" s="2">
        <v>1060</v>
      </c>
      <c r="H344" s="2">
        <v>1060</v>
      </c>
      <c r="J344" s="2">
        <v>1</v>
      </c>
      <c r="K344" s="2">
        <v>3</v>
      </c>
      <c r="L344" s="2">
        <v>2</v>
      </c>
      <c r="M344" s="2">
        <v>8</v>
      </c>
      <c r="N344" s="5" t="s">
        <v>356</v>
      </c>
      <c r="O344" s="12">
        <v>454900</v>
      </c>
      <c r="P344" s="3">
        <f>(2728+600)/12</f>
        <v>277.33333333333331</v>
      </c>
      <c r="R344" s="3">
        <v>2044</v>
      </c>
      <c r="S344" s="12">
        <f t="shared" si="15"/>
        <v>74.833333333333343</v>
      </c>
      <c r="T344" s="3">
        <f t="shared" si="16"/>
        <v>2396.166666666667</v>
      </c>
      <c r="U344" s="2">
        <f t="shared" si="17"/>
        <v>838850.00000000012</v>
      </c>
    </row>
    <row r="345" spans="1:21" ht="13.8" x14ac:dyDescent="0.3">
      <c r="A345" s="6">
        <v>45444</v>
      </c>
      <c r="B345" s="2" t="s">
        <v>699</v>
      </c>
      <c r="C345" s="2" t="s">
        <v>4</v>
      </c>
      <c r="D345" s="2" t="s">
        <v>342</v>
      </c>
      <c r="E345" s="2" t="s">
        <v>375</v>
      </c>
      <c r="F345" s="2">
        <v>2012</v>
      </c>
      <c r="G345" s="2">
        <v>1093</v>
      </c>
      <c r="H345" s="2">
        <v>1093</v>
      </c>
      <c r="J345" s="2">
        <v>1</v>
      </c>
      <c r="K345" s="2">
        <v>3</v>
      </c>
      <c r="L345" s="2">
        <v>1</v>
      </c>
      <c r="M345" s="2">
        <v>7</v>
      </c>
      <c r="N345" s="5" t="s">
        <v>357</v>
      </c>
      <c r="O345" s="12">
        <v>469000</v>
      </c>
      <c r="P345" s="3">
        <f>(2471+173*12)/12</f>
        <v>378.91666666666669</v>
      </c>
      <c r="R345" s="3">
        <v>2130</v>
      </c>
      <c r="S345" s="12">
        <f t="shared" si="15"/>
        <v>76.758333333333326</v>
      </c>
      <c r="T345" s="3">
        <f t="shared" si="16"/>
        <v>2585.6749999999997</v>
      </c>
      <c r="U345" s="2">
        <f t="shared" si="17"/>
        <v>895702.5</v>
      </c>
    </row>
    <row r="346" spans="1:21" ht="13.8" x14ac:dyDescent="0.3">
      <c r="A346" s="6">
        <v>45444</v>
      </c>
      <c r="B346" s="2" t="s">
        <v>700</v>
      </c>
      <c r="C346" s="2" t="s">
        <v>4</v>
      </c>
      <c r="D346" s="2" t="s">
        <v>342</v>
      </c>
      <c r="E346" s="2" t="s">
        <v>1734</v>
      </c>
      <c r="F346" s="2">
        <v>1996</v>
      </c>
      <c r="G346" s="2">
        <f>(11.1*15.2+11.6*13+11.9*7.3+14.6*12.5+12.2*7+8*12.3+3.8*4.9+11.9*8+5.6*8)*1.3</f>
        <v>1210.703</v>
      </c>
      <c r="H346" s="2">
        <v>1645</v>
      </c>
      <c r="J346" s="2">
        <v>1</v>
      </c>
      <c r="K346" s="2">
        <v>3</v>
      </c>
      <c r="L346" s="2">
        <v>1</v>
      </c>
      <c r="M346" s="2">
        <v>9</v>
      </c>
      <c r="N346" s="5" t="s">
        <v>358</v>
      </c>
      <c r="O346" s="12">
        <v>474900</v>
      </c>
      <c r="P346" s="3">
        <f>2571/12</f>
        <v>214.25</v>
      </c>
      <c r="R346" s="3">
        <v>2166</v>
      </c>
      <c r="S346" s="12">
        <f t="shared" si="15"/>
        <v>83.624341666666666</v>
      </c>
      <c r="T346" s="3">
        <f t="shared" si="16"/>
        <v>2463.8743416666666</v>
      </c>
      <c r="U346" s="2">
        <f t="shared" si="17"/>
        <v>859162.30249999999</v>
      </c>
    </row>
    <row r="347" spans="1:21" ht="13.8" x14ac:dyDescent="0.3">
      <c r="A347" s="6">
        <v>45444</v>
      </c>
      <c r="B347" s="2" t="s">
        <v>701</v>
      </c>
      <c r="C347" s="2" t="s">
        <v>4</v>
      </c>
      <c r="D347" s="2" t="s">
        <v>342</v>
      </c>
      <c r="E347" s="2" t="s">
        <v>375</v>
      </c>
      <c r="F347" s="2">
        <v>1995</v>
      </c>
      <c r="G347" s="2">
        <v>1582</v>
      </c>
      <c r="H347" s="2">
        <v>1582</v>
      </c>
      <c r="J347" s="2">
        <v>1</v>
      </c>
      <c r="K347" s="2">
        <v>2</v>
      </c>
      <c r="L347" s="2">
        <v>1</v>
      </c>
      <c r="M347" s="2">
        <v>9</v>
      </c>
      <c r="N347" s="5" t="s">
        <v>359</v>
      </c>
      <c r="O347" s="12">
        <v>474999</v>
      </c>
      <c r="P347" s="3">
        <f>(2455+1860)/12</f>
        <v>359.58333333333331</v>
      </c>
      <c r="R347" s="3">
        <v>2167</v>
      </c>
      <c r="S347" s="12">
        <f t="shared" si="15"/>
        <v>105.28333333333335</v>
      </c>
      <c r="T347" s="3">
        <f t="shared" si="16"/>
        <v>2631.8666666666668</v>
      </c>
      <c r="U347" s="2">
        <f t="shared" si="17"/>
        <v>909560</v>
      </c>
    </row>
    <row r="348" spans="1:21" ht="13.8" x14ac:dyDescent="0.3">
      <c r="A348" s="6">
        <v>45444</v>
      </c>
      <c r="B348" s="2" t="s">
        <v>702</v>
      </c>
      <c r="C348" s="2" t="s">
        <v>4</v>
      </c>
      <c r="D348" s="2" t="s">
        <v>342</v>
      </c>
      <c r="E348" s="2" t="s">
        <v>1734</v>
      </c>
      <c r="F348" s="2">
        <v>1989</v>
      </c>
      <c r="G348" s="2">
        <f>(12.9*12+14.9*11.5+12.6*11.8+12.7*9.7+11.6*9.9+8.9*8.9+17.9*14.2+13.9*8.3+13.8*9.7+13.9*12.5+17.3*15.9)*1.3</f>
        <v>2267.59</v>
      </c>
      <c r="H348" s="2">
        <v>4040</v>
      </c>
      <c r="J348" s="2">
        <v>1</v>
      </c>
      <c r="K348" s="2">
        <v>4</v>
      </c>
      <c r="L348" s="2">
        <v>1</v>
      </c>
      <c r="M348" s="2">
        <v>11</v>
      </c>
      <c r="N348" s="5" t="s">
        <v>360</v>
      </c>
      <c r="O348" s="12">
        <v>479000</v>
      </c>
      <c r="P348" s="3">
        <f>(2130+202)/12</f>
        <v>194.33333333333334</v>
      </c>
      <c r="R348" s="3">
        <v>2191</v>
      </c>
      <c r="S348" s="12">
        <f t="shared" si="15"/>
        <v>145.27608333333336</v>
      </c>
      <c r="T348" s="3">
        <f t="shared" si="16"/>
        <v>2530.6094166666667</v>
      </c>
      <c r="U348" s="2">
        <f t="shared" si="17"/>
        <v>879182.82500000007</v>
      </c>
    </row>
    <row r="349" spans="1:21" ht="13.8" x14ac:dyDescent="0.3">
      <c r="A349" s="6">
        <v>45444</v>
      </c>
      <c r="B349" s="2" t="s">
        <v>703</v>
      </c>
      <c r="C349" s="2" t="s">
        <v>4</v>
      </c>
      <c r="D349" s="2" t="s">
        <v>342</v>
      </c>
      <c r="E349" s="2" t="s">
        <v>1734</v>
      </c>
      <c r="F349" s="2">
        <v>1993</v>
      </c>
      <c r="G349" s="2">
        <f>(14*10.9+9.1*7.4+9.1*7+5.9*3.1+7.1*5.9+12.9*10.6+10.9*8.1+10.1*5.9+17.9*16.1+3.9*5.1)*1.3</f>
        <v>1217.4760000000001</v>
      </c>
      <c r="H349" s="2">
        <v>2317</v>
      </c>
      <c r="J349" s="2">
        <v>1</v>
      </c>
      <c r="K349" s="2">
        <v>3</v>
      </c>
      <c r="L349" s="2">
        <v>1</v>
      </c>
      <c r="M349" s="2">
        <v>10</v>
      </c>
      <c r="N349" s="5" t="s">
        <v>361</v>
      </c>
      <c r="O349" s="12">
        <v>485000</v>
      </c>
      <c r="P349" s="3">
        <f>(2468+246)/12</f>
        <v>226.16666666666666</v>
      </c>
      <c r="R349" s="3">
        <v>2228</v>
      </c>
      <c r="S349" s="12">
        <f t="shared" si="15"/>
        <v>84.019433333333353</v>
      </c>
      <c r="T349" s="3">
        <f t="shared" si="16"/>
        <v>2538.1860999999999</v>
      </c>
      <c r="U349" s="2">
        <f t="shared" si="17"/>
        <v>881455.83</v>
      </c>
    </row>
    <row r="350" spans="1:21" ht="13.8" x14ac:dyDescent="0.3">
      <c r="A350" s="6">
        <v>45444</v>
      </c>
      <c r="B350" s="2" t="s">
        <v>704</v>
      </c>
      <c r="C350" s="2" t="s">
        <v>4</v>
      </c>
      <c r="D350" s="2" t="s">
        <v>342</v>
      </c>
      <c r="E350" s="2" t="s">
        <v>1734</v>
      </c>
      <c r="F350" s="2">
        <v>1992</v>
      </c>
      <c r="G350" s="2">
        <f>(13.9*12.6+10.7*9+9.6*9.6+10.5*4.9+10.6*8.9+12.7*10.8+12.5*10.9+5*4.9+13.7*12.2)*1.3</f>
        <v>1266.7719999999999</v>
      </c>
      <c r="H350" s="2">
        <v>2503</v>
      </c>
      <c r="J350" s="2">
        <v>1</v>
      </c>
      <c r="K350" s="2">
        <v>3</v>
      </c>
      <c r="L350" s="2">
        <v>1</v>
      </c>
      <c r="M350" s="2">
        <v>9</v>
      </c>
      <c r="N350" s="5" t="s">
        <v>362</v>
      </c>
      <c r="O350" s="12">
        <v>487000</v>
      </c>
      <c r="P350" s="3">
        <f>(2535+274)/12</f>
        <v>234.08333333333334</v>
      </c>
      <c r="R350" s="3">
        <v>2240</v>
      </c>
      <c r="S350" s="12">
        <f t="shared" si="15"/>
        <v>86.89503333333333</v>
      </c>
      <c r="T350" s="3">
        <f t="shared" si="16"/>
        <v>2560.9783666666667</v>
      </c>
      <c r="U350" s="2">
        <f t="shared" si="17"/>
        <v>888293.51</v>
      </c>
    </row>
    <row r="351" spans="1:21" ht="13.8" x14ac:dyDescent="0.3">
      <c r="A351" s="6">
        <v>45444</v>
      </c>
      <c r="B351" s="2" t="s">
        <v>705</v>
      </c>
      <c r="C351" s="2" t="s">
        <v>4</v>
      </c>
      <c r="D351" s="2" t="s">
        <v>342</v>
      </c>
      <c r="E351" s="2" t="s">
        <v>1734</v>
      </c>
      <c r="F351" s="2">
        <v>1983</v>
      </c>
      <c r="G351" s="2">
        <f>(11.4*14.4+9.9*9.9+6.9*9.9+8.4*5.3+10.5*14.6+11*9.2+9.1*6.9+7.1*7.1+16.4*14.3+15.4*8.9+6*6)*1.3</f>
        <v>1495.364</v>
      </c>
      <c r="H351" s="2">
        <v>3358</v>
      </c>
      <c r="J351" s="2">
        <v>1</v>
      </c>
      <c r="K351" s="2">
        <v>4</v>
      </c>
      <c r="L351" s="2">
        <v>2</v>
      </c>
      <c r="M351" s="2">
        <v>11</v>
      </c>
      <c r="N351" s="5" t="s">
        <v>363</v>
      </c>
      <c r="O351" s="12">
        <v>499000</v>
      </c>
      <c r="P351" s="3">
        <f>(2435+249)/12</f>
        <v>223.66666666666666</v>
      </c>
      <c r="R351" s="3">
        <v>2313</v>
      </c>
      <c r="S351" s="12">
        <f t="shared" si="15"/>
        <v>100.22956666666668</v>
      </c>
      <c r="T351" s="3">
        <f t="shared" si="16"/>
        <v>2636.8962333333334</v>
      </c>
      <c r="U351" s="2">
        <f t="shared" si="17"/>
        <v>911068.87000000011</v>
      </c>
    </row>
    <row r="352" spans="1:21" ht="13.8" x14ac:dyDescent="0.3">
      <c r="A352" s="6">
        <v>45444</v>
      </c>
      <c r="B352" s="2" t="s">
        <v>706</v>
      </c>
      <c r="C352" s="2" t="s">
        <v>4</v>
      </c>
      <c r="D352" s="2" t="s">
        <v>342</v>
      </c>
      <c r="E352" s="2" t="s">
        <v>375</v>
      </c>
      <c r="F352" s="2">
        <v>2014</v>
      </c>
      <c r="G352" s="2">
        <v>932</v>
      </c>
      <c r="H352" s="2">
        <v>932</v>
      </c>
      <c r="J352" s="2">
        <v>1</v>
      </c>
      <c r="K352" s="2">
        <v>2</v>
      </c>
      <c r="L352" s="2">
        <v>2</v>
      </c>
      <c r="M352" s="2">
        <v>7</v>
      </c>
      <c r="N352" s="5" t="s">
        <v>364</v>
      </c>
      <c r="O352" s="12">
        <v>499000</v>
      </c>
      <c r="P352" s="3">
        <f>10510/12</f>
        <v>875.83333333333337</v>
      </c>
      <c r="R352" s="3">
        <v>2313</v>
      </c>
      <c r="S352" s="12">
        <f t="shared" si="15"/>
        <v>67.366666666666674</v>
      </c>
      <c r="T352" s="3">
        <f t="shared" si="16"/>
        <v>3256.2000000000003</v>
      </c>
      <c r="U352" s="2">
        <f t="shared" si="17"/>
        <v>1096860</v>
      </c>
    </row>
    <row r="353" spans="1:21" ht="13.8" x14ac:dyDescent="0.3">
      <c r="A353" s="6">
        <v>45444</v>
      </c>
      <c r="B353" s="2" t="s">
        <v>707</v>
      </c>
      <c r="C353" s="2" t="s">
        <v>4</v>
      </c>
      <c r="D353" s="2" t="s">
        <v>342</v>
      </c>
      <c r="E353" s="2" t="s">
        <v>375</v>
      </c>
      <c r="F353" s="2">
        <v>2015</v>
      </c>
      <c r="G353" s="2">
        <v>941</v>
      </c>
      <c r="H353" s="2">
        <v>941</v>
      </c>
      <c r="J353" s="2">
        <v>1</v>
      </c>
      <c r="K353" s="2">
        <v>2</v>
      </c>
      <c r="L353" s="2">
        <v>2</v>
      </c>
      <c r="M353" s="2">
        <v>9</v>
      </c>
      <c r="N353" s="5" t="s">
        <v>365</v>
      </c>
      <c r="O353" s="12">
        <v>499900</v>
      </c>
      <c r="P353" s="3">
        <f>(4128+6696)/12</f>
        <v>902</v>
      </c>
      <c r="R353" s="3">
        <v>2319</v>
      </c>
      <c r="S353" s="12">
        <f t="shared" si="15"/>
        <v>67.89166666666668</v>
      </c>
      <c r="T353" s="3">
        <f t="shared" si="16"/>
        <v>3288.8916666666669</v>
      </c>
      <c r="U353" s="2">
        <f t="shared" si="17"/>
        <v>1106667.5</v>
      </c>
    </row>
    <row r="354" spans="1:21" ht="13.8" x14ac:dyDescent="0.3">
      <c r="A354" s="6">
        <v>45444</v>
      </c>
      <c r="B354" s="2" t="s">
        <v>708</v>
      </c>
      <c r="C354" s="2" t="s">
        <v>4</v>
      </c>
      <c r="D354" s="2" t="s">
        <v>342</v>
      </c>
      <c r="E354" s="2" t="s">
        <v>1734</v>
      </c>
      <c r="F354" s="2">
        <v>1965</v>
      </c>
      <c r="G354" s="2">
        <f>(9.6*12.2+11.3*14.8+7.9*11.7+11.4*11.8+11.8*14.4+8.4*4.9+11.2*18.9+12.2*11.2+11.5*11.4+11.5*13.9+8.5*10.9)*1.3</f>
        <v>1890.6030000000001</v>
      </c>
      <c r="H354" s="2">
        <v>4800</v>
      </c>
      <c r="J354" s="2">
        <v>2</v>
      </c>
      <c r="K354" s="2">
        <v>4</v>
      </c>
      <c r="L354" s="2">
        <v>3</v>
      </c>
      <c r="M354" s="2">
        <v>11</v>
      </c>
      <c r="N354" s="5" t="s">
        <v>366</v>
      </c>
      <c r="O354" s="12">
        <v>499900</v>
      </c>
      <c r="P354" s="3">
        <f>3370/12</f>
        <v>280.83333333333331</v>
      </c>
      <c r="R354" s="3">
        <v>2319</v>
      </c>
      <c r="S354" s="12">
        <f t="shared" si="15"/>
        <v>123.285175</v>
      </c>
      <c r="T354" s="3">
        <f t="shared" si="16"/>
        <v>2723.1185083333335</v>
      </c>
      <c r="U354" s="2">
        <f t="shared" si="17"/>
        <v>936935.55250000011</v>
      </c>
    </row>
    <row r="355" spans="1:21" ht="13.8" x14ac:dyDescent="0.3">
      <c r="A355" s="6">
        <v>45444</v>
      </c>
      <c r="B355" s="2" t="s">
        <v>709</v>
      </c>
      <c r="C355" s="2" t="s">
        <v>4</v>
      </c>
      <c r="D355" s="2" t="s">
        <v>342</v>
      </c>
      <c r="E355" s="2" t="s">
        <v>1734</v>
      </c>
      <c r="F355" s="2">
        <v>2008</v>
      </c>
      <c r="G355" s="2">
        <f>(3.9*7.1+18.9*20.9+5*7.2+7.9*12+13.2*18.8+10*14.7+8*10+8.9*10+11.4*13.6+9.8*11.8+6.9*13.9)*1.3</f>
        <v>1929.5250000000001</v>
      </c>
      <c r="H355" s="2">
        <v>3199</v>
      </c>
      <c r="J355" s="2">
        <v>1</v>
      </c>
      <c r="K355" s="2">
        <v>2</v>
      </c>
      <c r="L355" s="2">
        <v>2</v>
      </c>
      <c r="M355" s="2">
        <v>5</v>
      </c>
      <c r="N355" s="5" t="s">
        <v>367</v>
      </c>
      <c r="O355" s="12">
        <v>549000</v>
      </c>
      <c r="P355" s="3">
        <f>(2928+316)/12</f>
        <v>270.33333333333331</v>
      </c>
      <c r="R355" s="3">
        <v>2619</v>
      </c>
      <c r="S355" s="12">
        <f t="shared" si="15"/>
        <v>125.55562500000001</v>
      </c>
      <c r="T355" s="3">
        <f t="shared" si="16"/>
        <v>3014.8889583333334</v>
      </c>
      <c r="U355" s="2">
        <f t="shared" si="17"/>
        <v>1024466.6875000001</v>
      </c>
    </row>
    <row r="356" spans="1:21" ht="13.8" x14ac:dyDescent="0.3">
      <c r="A356" s="6">
        <v>45444</v>
      </c>
      <c r="B356" s="2" t="s">
        <v>710</v>
      </c>
      <c r="C356" s="2" t="s">
        <v>4</v>
      </c>
      <c r="D356" s="2" t="s">
        <v>342</v>
      </c>
      <c r="E356" s="2" t="s">
        <v>1734</v>
      </c>
      <c r="F356" s="2">
        <v>1976</v>
      </c>
      <c r="G356" s="2">
        <f>(5.3*6.1+12.2*11.9+10.3*9+10.2*9+8.5*12.2+11.8*12.2+13.6*13.3+12.2*7.5)*1.3</f>
        <v>1146.665</v>
      </c>
      <c r="H356" s="2">
        <v>6000</v>
      </c>
      <c r="J356" s="2">
        <v>1</v>
      </c>
      <c r="K356" s="2">
        <v>3</v>
      </c>
      <c r="L356" s="2">
        <v>1</v>
      </c>
      <c r="M356" s="2">
        <v>7</v>
      </c>
      <c r="N356" s="5" t="s">
        <v>368</v>
      </c>
      <c r="O356" s="12">
        <v>549995</v>
      </c>
      <c r="P356" s="3">
        <f>(3718+2739+280)/12</f>
        <v>561.41666666666663</v>
      </c>
      <c r="R356" s="3">
        <v>2625</v>
      </c>
      <c r="S356" s="12">
        <f t="shared" si="15"/>
        <v>79.888791666666677</v>
      </c>
      <c r="T356" s="3">
        <f t="shared" si="16"/>
        <v>3266.3054583333333</v>
      </c>
      <c r="U356" s="2">
        <f t="shared" si="17"/>
        <v>1099891.6375000002</v>
      </c>
    </row>
    <row r="357" spans="1:21" ht="13.8" x14ac:dyDescent="0.3">
      <c r="A357" s="6">
        <v>45444</v>
      </c>
      <c r="B357" s="2" t="s">
        <v>711</v>
      </c>
      <c r="C357" s="2" t="s">
        <v>4</v>
      </c>
      <c r="D357" s="2" t="s">
        <v>342</v>
      </c>
      <c r="E357" s="2" t="s">
        <v>375</v>
      </c>
      <c r="F357" s="2">
        <v>2008</v>
      </c>
      <c r="G357" s="2">
        <v>1173</v>
      </c>
      <c r="H357" s="2">
        <v>1173</v>
      </c>
      <c r="J357" s="2">
        <v>1</v>
      </c>
      <c r="K357" s="2">
        <v>2</v>
      </c>
      <c r="L357" s="2">
        <v>1</v>
      </c>
      <c r="M357" s="2">
        <v>5</v>
      </c>
      <c r="N357" s="5" t="s">
        <v>369</v>
      </c>
      <c r="O357" s="12">
        <v>579900</v>
      </c>
      <c r="P357" s="3">
        <f>(2529+5592)/12</f>
        <v>676.75</v>
      </c>
      <c r="R357" s="3">
        <v>2807</v>
      </c>
      <c r="S357" s="12">
        <f t="shared" si="15"/>
        <v>81.424999999999997</v>
      </c>
      <c r="T357" s="3">
        <f t="shared" si="16"/>
        <v>3565.1750000000002</v>
      </c>
      <c r="U357" s="2">
        <f t="shared" si="17"/>
        <v>1189552.5000000002</v>
      </c>
    </row>
    <row r="358" spans="1:21" ht="13.8" x14ac:dyDescent="0.3">
      <c r="A358" s="6">
        <v>45444</v>
      </c>
      <c r="B358" s="2" t="s">
        <v>712</v>
      </c>
      <c r="C358" s="2" t="s">
        <v>4</v>
      </c>
      <c r="D358" s="2" t="s">
        <v>342</v>
      </c>
      <c r="E358" s="2" t="s">
        <v>1734</v>
      </c>
      <c r="F358" s="2">
        <v>1961</v>
      </c>
      <c r="G358" s="2">
        <f>(4.9*4+18.2*13+11.9*7.7+8.9*12.4+11.1*3.1+12.2*8.8+12.1*10.7+9.7*6.8+12.2*11.9+9.3*6.8+14.9*12.9+11.7*7.9+9.9*8.9+11.6*6.9)*1.3</f>
        <v>1893.5800000000006</v>
      </c>
      <c r="H358" s="2">
        <v>7469</v>
      </c>
      <c r="J358" s="2">
        <v>1</v>
      </c>
      <c r="K358" s="2">
        <v>4</v>
      </c>
      <c r="L358" s="2">
        <v>2</v>
      </c>
      <c r="M358" s="2">
        <v>12</v>
      </c>
      <c r="N358" s="5" t="s">
        <v>370</v>
      </c>
      <c r="O358" s="12">
        <v>589000</v>
      </c>
      <c r="P358" s="3">
        <f>3213/12</f>
        <v>267.75</v>
      </c>
      <c r="R358" s="3">
        <v>2863</v>
      </c>
      <c r="S358" s="12">
        <f t="shared" si="15"/>
        <v>123.45883333333337</v>
      </c>
      <c r="T358" s="3">
        <f t="shared" si="16"/>
        <v>3254.2088333333336</v>
      </c>
      <c r="U358" s="2">
        <f t="shared" si="17"/>
        <v>1096262.6499999999</v>
      </c>
    </row>
    <row r="359" spans="1:21" ht="13.8" x14ac:dyDescent="0.3">
      <c r="A359" s="6">
        <v>45444</v>
      </c>
      <c r="B359" s="2" t="s">
        <v>713</v>
      </c>
      <c r="C359" s="2" t="s">
        <v>4</v>
      </c>
      <c r="D359" s="2" t="s">
        <v>342</v>
      </c>
      <c r="E359" s="2" t="s">
        <v>1734</v>
      </c>
      <c r="F359" s="2">
        <v>1987</v>
      </c>
      <c r="G359" s="2">
        <f>(8.9*3.8+14.4*11.9+11.2*8.7+12.5*9.5+9.5*7.3+13.9*11.6+11.8*9.3+10.8*9.8+8.3*4.8+20.9*12.9+8.5*7.9+12.5*8.4)*1.3</f>
        <v>1753.8820000000005</v>
      </c>
      <c r="H359" s="2">
        <v>4751</v>
      </c>
      <c r="J359" s="2">
        <v>2</v>
      </c>
      <c r="K359" s="2">
        <v>2</v>
      </c>
      <c r="L359" s="2">
        <v>3</v>
      </c>
      <c r="M359" s="2">
        <v>12</v>
      </c>
      <c r="N359" s="5" t="s">
        <v>371</v>
      </c>
      <c r="O359" s="12">
        <v>599000</v>
      </c>
      <c r="P359" s="4">
        <f>3296/12</f>
        <v>274.66666666666669</v>
      </c>
      <c r="R359" s="3">
        <v>2924</v>
      </c>
      <c r="S359" s="12">
        <f t="shared" si="15"/>
        <v>115.30978333333339</v>
      </c>
      <c r="T359" s="3">
        <f t="shared" si="16"/>
        <v>3313.9764500000001</v>
      </c>
      <c r="U359" s="2">
        <f t="shared" si="17"/>
        <v>1114192.9350000001</v>
      </c>
    </row>
    <row r="360" spans="1:21" ht="13.8" x14ac:dyDescent="0.3">
      <c r="A360" s="6">
        <v>45444</v>
      </c>
      <c r="B360" s="2" t="s">
        <v>714</v>
      </c>
      <c r="C360" s="2" t="s">
        <v>4</v>
      </c>
      <c r="D360" s="2" t="s">
        <v>342</v>
      </c>
      <c r="E360" s="2" t="s">
        <v>1734</v>
      </c>
      <c r="F360" s="2">
        <v>1971</v>
      </c>
      <c r="G360" s="2">
        <f>(15.1*11.7+13.7*11.9+11.7*9.9+8.3*5.2+16*11.6+11.6*9.2+24.9*22+9*9.3+13.9*11.9+12.1*7.7)*1.3</f>
        <v>2185.4170000000004</v>
      </c>
      <c r="H360" s="2">
        <v>6000</v>
      </c>
      <c r="J360" s="2">
        <v>1</v>
      </c>
      <c r="K360" s="2">
        <v>4</v>
      </c>
      <c r="L360" s="2">
        <v>2</v>
      </c>
      <c r="M360" s="2">
        <v>10</v>
      </c>
      <c r="N360" s="5" t="s">
        <v>372</v>
      </c>
      <c r="O360" s="12">
        <v>599500</v>
      </c>
      <c r="P360" s="4">
        <f>3628/12</f>
        <v>302.33333333333331</v>
      </c>
      <c r="R360" s="3">
        <v>2927</v>
      </c>
      <c r="S360" s="12">
        <f t="shared" si="15"/>
        <v>140.4826583333334</v>
      </c>
      <c r="T360" s="3">
        <f t="shared" si="16"/>
        <v>3369.8159916666668</v>
      </c>
      <c r="U360" s="2">
        <f t="shared" si="17"/>
        <v>1130944.7975000001</v>
      </c>
    </row>
    <row r="361" spans="1:21" ht="13.8" x14ac:dyDescent="0.3">
      <c r="A361" s="6">
        <v>45444</v>
      </c>
      <c r="B361" s="2" t="s">
        <v>715</v>
      </c>
      <c r="C361" s="2" t="s">
        <v>4</v>
      </c>
      <c r="D361" s="2" t="s">
        <v>3</v>
      </c>
      <c r="E361" s="2" t="s">
        <v>375</v>
      </c>
      <c r="F361" s="2">
        <v>1977</v>
      </c>
      <c r="G361" s="2">
        <v>892</v>
      </c>
      <c r="H361" s="2">
        <v>892</v>
      </c>
      <c r="J361" s="2">
        <v>1</v>
      </c>
      <c r="K361" s="2">
        <v>3</v>
      </c>
      <c r="L361" s="2">
        <v>1</v>
      </c>
      <c r="M361" s="2">
        <v>8</v>
      </c>
      <c r="N361" s="5" t="s">
        <v>716</v>
      </c>
      <c r="O361" s="12">
        <v>189000</v>
      </c>
      <c r="P361" s="4">
        <f>(1106+145+436*12)/12</f>
        <v>540.25</v>
      </c>
      <c r="R361" s="3">
        <v>421</v>
      </c>
      <c r="S361" s="12">
        <f t="shared" si="15"/>
        <v>65.033333333333331</v>
      </c>
      <c r="T361" s="3">
        <f t="shared" si="16"/>
        <v>1026.2833333333333</v>
      </c>
      <c r="U361" s="2">
        <f t="shared" si="17"/>
        <v>427885</v>
      </c>
    </row>
    <row r="362" spans="1:21" ht="13.8" x14ac:dyDescent="0.3">
      <c r="A362" s="6">
        <v>45444</v>
      </c>
      <c r="B362" s="2" t="s">
        <v>717</v>
      </c>
      <c r="C362" s="2" t="s">
        <v>4</v>
      </c>
      <c r="D362" s="2" t="s">
        <v>3</v>
      </c>
      <c r="E362" s="2" t="s">
        <v>375</v>
      </c>
      <c r="F362" s="2">
        <v>2010</v>
      </c>
      <c r="G362" s="2">
        <v>567</v>
      </c>
      <c r="H362" s="2">
        <v>567</v>
      </c>
      <c r="J362" s="2">
        <v>1</v>
      </c>
      <c r="K362" s="2">
        <v>1</v>
      </c>
      <c r="L362" s="2">
        <v>1</v>
      </c>
      <c r="M362" s="2">
        <v>5</v>
      </c>
      <c r="N362" s="5" t="s">
        <v>718</v>
      </c>
      <c r="O362" s="12">
        <v>259000</v>
      </c>
      <c r="P362" s="4">
        <f>(1247+2076)/12</f>
        <v>276.91666666666669</v>
      </c>
      <c r="R362" s="3">
        <v>848</v>
      </c>
      <c r="S362" s="12">
        <f t="shared" si="15"/>
        <v>46.075000000000003</v>
      </c>
      <c r="T362" s="3">
        <f t="shared" si="16"/>
        <v>1170.9916666666668</v>
      </c>
      <c r="U362" s="2">
        <f t="shared" si="17"/>
        <v>471297.50000000006</v>
      </c>
    </row>
    <row r="363" spans="1:21" ht="13.8" x14ac:dyDescent="0.3">
      <c r="A363" s="6">
        <v>45444</v>
      </c>
      <c r="B363" s="2" t="s">
        <v>719</v>
      </c>
      <c r="C363" s="2" t="s">
        <v>4</v>
      </c>
      <c r="D363" s="2" t="s">
        <v>3</v>
      </c>
      <c r="E363" s="2" t="s">
        <v>375</v>
      </c>
      <c r="F363" s="2">
        <v>2017</v>
      </c>
      <c r="G363" s="2">
        <v>450</v>
      </c>
      <c r="H363" s="2">
        <v>450</v>
      </c>
      <c r="J363" s="2">
        <v>1</v>
      </c>
      <c r="K363" s="2">
        <v>1</v>
      </c>
      <c r="L363" s="2">
        <v>1</v>
      </c>
      <c r="M363" s="2">
        <v>4</v>
      </c>
      <c r="N363" s="5" t="s">
        <v>720</v>
      </c>
      <c r="O363" s="12">
        <v>275000</v>
      </c>
      <c r="P363" s="4">
        <f>(2784+1238+130)/12</f>
        <v>346</v>
      </c>
      <c r="R363" s="3">
        <v>946</v>
      </c>
      <c r="S363" s="12">
        <f t="shared" si="15"/>
        <v>39.25</v>
      </c>
      <c r="T363" s="3">
        <f t="shared" si="16"/>
        <v>1331.25</v>
      </c>
      <c r="U363" s="2">
        <f t="shared" si="17"/>
        <v>519375</v>
      </c>
    </row>
    <row r="364" spans="1:21" ht="13.8" x14ac:dyDescent="0.3">
      <c r="A364" s="6">
        <v>45444</v>
      </c>
      <c r="B364" s="2" t="s">
        <v>721</v>
      </c>
      <c r="C364" s="2" t="s">
        <v>4</v>
      </c>
      <c r="D364" s="2" t="s">
        <v>3</v>
      </c>
      <c r="E364" s="2" t="s">
        <v>375</v>
      </c>
      <c r="F364" s="2">
        <v>2007</v>
      </c>
      <c r="G364" s="2">
        <v>793</v>
      </c>
      <c r="H364" s="2">
        <v>793</v>
      </c>
      <c r="J364" s="2">
        <v>1</v>
      </c>
      <c r="K364" s="2">
        <v>2</v>
      </c>
      <c r="L364" s="2">
        <v>1</v>
      </c>
      <c r="M364" s="2">
        <v>5</v>
      </c>
      <c r="N364" s="5" t="s">
        <v>722</v>
      </c>
      <c r="O364" s="12">
        <v>279000</v>
      </c>
      <c r="P364" s="4">
        <f>(1488+3612)/12</f>
        <v>425</v>
      </c>
      <c r="R364" s="3">
        <v>971</v>
      </c>
      <c r="S364" s="12">
        <f t="shared" si="15"/>
        <v>59.258333333333333</v>
      </c>
      <c r="T364" s="3">
        <f t="shared" si="16"/>
        <v>1455.2583333333334</v>
      </c>
      <c r="U364" s="2">
        <f t="shared" si="17"/>
        <v>556577.5</v>
      </c>
    </row>
    <row r="365" spans="1:21" ht="13.8" x14ac:dyDescent="0.3">
      <c r="A365" s="6">
        <v>45444</v>
      </c>
      <c r="B365" s="2" t="s">
        <v>723</v>
      </c>
      <c r="C365" s="2" t="s">
        <v>4</v>
      </c>
      <c r="D365" s="2" t="s">
        <v>3</v>
      </c>
      <c r="E365" s="2" t="s">
        <v>375</v>
      </c>
      <c r="F365" s="2">
        <v>2012</v>
      </c>
      <c r="G365" s="2">
        <v>645</v>
      </c>
      <c r="H365" s="2">
        <v>645</v>
      </c>
      <c r="J365" s="2">
        <v>1</v>
      </c>
      <c r="K365" s="2">
        <v>1</v>
      </c>
      <c r="L365" s="2">
        <v>1</v>
      </c>
      <c r="M365" s="2">
        <v>6</v>
      </c>
      <c r="N365" s="5" t="s">
        <v>724</v>
      </c>
      <c r="O365" s="12">
        <v>280000</v>
      </c>
      <c r="P365" s="4">
        <f>(3732+1401+446)/12</f>
        <v>464.91666666666669</v>
      </c>
      <c r="R365" s="3">
        <v>977</v>
      </c>
      <c r="S365" s="12">
        <f t="shared" si="15"/>
        <v>50.625000000000007</v>
      </c>
      <c r="T365" s="3">
        <f t="shared" si="16"/>
        <v>1492.5416666666667</v>
      </c>
      <c r="U365" s="2">
        <f t="shared" si="17"/>
        <v>567762.5</v>
      </c>
    </row>
    <row r="366" spans="1:21" ht="13.8" x14ac:dyDescent="0.3">
      <c r="A366" s="6">
        <v>45444</v>
      </c>
      <c r="B366" s="2" t="s">
        <v>725</v>
      </c>
      <c r="C366" s="2" t="s">
        <v>4</v>
      </c>
      <c r="D366" s="2" t="s">
        <v>3</v>
      </c>
      <c r="E366" s="2" t="s">
        <v>375</v>
      </c>
      <c r="F366" s="2">
        <v>2014</v>
      </c>
      <c r="G366" s="2">
        <f>(11.2*101.1+11.2*7+9*8.2+11.6*9.8+9.3*5+5*3)</f>
        <v>1459.7</v>
      </c>
      <c r="H366" s="2">
        <f>(11.2*101.1+11.2*7+9*8.2+11.6*9.8+9.3*5+5*3)</f>
        <v>1459.7</v>
      </c>
      <c r="J366" s="2">
        <v>1</v>
      </c>
      <c r="K366" s="2">
        <v>1</v>
      </c>
      <c r="L366" s="2">
        <v>1</v>
      </c>
      <c r="M366" s="2">
        <v>5</v>
      </c>
      <c r="N366" s="5" t="s">
        <v>726</v>
      </c>
      <c r="O366" s="12">
        <v>289000</v>
      </c>
      <c r="P366" s="4">
        <f>(1722+1104)/12</f>
        <v>235.5</v>
      </c>
      <c r="R366" s="3">
        <v>1032</v>
      </c>
      <c r="S366" s="12">
        <f t="shared" si="15"/>
        <v>98.149166666666673</v>
      </c>
      <c r="T366" s="3">
        <f t="shared" si="16"/>
        <v>1365.6491666666666</v>
      </c>
      <c r="U366" s="2">
        <f t="shared" si="17"/>
        <v>529694.75</v>
      </c>
    </row>
    <row r="367" spans="1:21" ht="13.8" x14ac:dyDescent="0.3">
      <c r="A367" s="6">
        <v>45444</v>
      </c>
      <c r="B367" s="2" t="s">
        <v>727</v>
      </c>
      <c r="C367" s="2" t="s">
        <v>4</v>
      </c>
      <c r="D367" s="2" t="s">
        <v>3</v>
      </c>
      <c r="E367" s="2" t="s">
        <v>375</v>
      </c>
      <c r="F367" s="2">
        <v>1978</v>
      </c>
      <c r="G367" s="2">
        <v>828</v>
      </c>
      <c r="H367" s="2">
        <v>828</v>
      </c>
      <c r="J367" s="2">
        <v>1</v>
      </c>
      <c r="K367" s="2">
        <v>2</v>
      </c>
      <c r="L367" s="2">
        <v>1</v>
      </c>
      <c r="M367" s="2">
        <v>6</v>
      </c>
      <c r="N367" s="5" t="s">
        <v>728</v>
      </c>
      <c r="O367" s="12">
        <v>290000</v>
      </c>
      <c r="P367" s="4">
        <f>(1107+4464)/12</f>
        <v>464.25</v>
      </c>
      <c r="R367" s="3">
        <v>1038</v>
      </c>
      <c r="S367" s="12">
        <f t="shared" si="15"/>
        <v>61.300000000000004</v>
      </c>
      <c r="T367" s="3">
        <f t="shared" si="16"/>
        <v>1563.55</v>
      </c>
      <c r="U367" s="2">
        <f t="shared" si="17"/>
        <v>589065</v>
      </c>
    </row>
    <row r="368" spans="1:21" ht="13.8" x14ac:dyDescent="0.3">
      <c r="A368" s="6">
        <v>45444</v>
      </c>
      <c r="B368" s="2" t="s">
        <v>729</v>
      </c>
      <c r="C368" s="2" t="s">
        <v>4</v>
      </c>
      <c r="D368" s="2" t="s">
        <v>3</v>
      </c>
      <c r="E368" s="2" t="s">
        <v>375</v>
      </c>
      <c r="F368" s="2">
        <v>2013</v>
      </c>
      <c r="G368" s="2">
        <v>632</v>
      </c>
      <c r="H368" s="2">
        <v>632</v>
      </c>
      <c r="J368" s="2">
        <v>1</v>
      </c>
      <c r="K368" s="2">
        <v>1</v>
      </c>
      <c r="L368" s="2">
        <v>1</v>
      </c>
      <c r="M368" s="2">
        <v>5</v>
      </c>
      <c r="N368" s="5" t="s">
        <v>730</v>
      </c>
      <c r="O368" s="12">
        <v>299000</v>
      </c>
      <c r="P368" s="3">
        <f>(1407+263*12)/12</f>
        <v>380.25</v>
      </c>
      <c r="R368" s="3">
        <v>1093</v>
      </c>
      <c r="S368" s="12">
        <f t="shared" si="15"/>
        <v>49.866666666666667</v>
      </c>
      <c r="T368" s="3">
        <f t="shared" si="16"/>
        <v>1523.1166666666666</v>
      </c>
      <c r="U368" s="2">
        <f t="shared" si="17"/>
        <v>576935</v>
      </c>
    </row>
    <row r="369" spans="1:21" ht="13.8" x14ac:dyDescent="0.3">
      <c r="A369" s="6">
        <v>45444</v>
      </c>
      <c r="B369" s="2" t="s">
        <v>731</v>
      </c>
      <c r="C369" s="2" t="s">
        <v>4</v>
      </c>
      <c r="D369" s="2" t="s">
        <v>3</v>
      </c>
      <c r="E369" s="2" t="s">
        <v>375</v>
      </c>
      <c r="F369" s="2">
        <v>2014</v>
      </c>
      <c r="G369" s="2">
        <v>564</v>
      </c>
      <c r="H369" s="2">
        <v>564</v>
      </c>
      <c r="J369" s="2">
        <v>1</v>
      </c>
      <c r="K369" s="2">
        <v>1</v>
      </c>
      <c r="L369" s="2">
        <v>1</v>
      </c>
      <c r="M369" s="2">
        <v>7</v>
      </c>
      <c r="N369" s="5" t="s">
        <v>732</v>
      </c>
      <c r="O369" s="12">
        <v>299500</v>
      </c>
      <c r="P369" s="3">
        <f>(150*12+143+1704)/12</f>
        <v>303.91666666666669</v>
      </c>
      <c r="R369" s="3">
        <v>1096</v>
      </c>
      <c r="S369" s="12">
        <f t="shared" si="15"/>
        <v>45.9</v>
      </c>
      <c r="T369" s="3">
        <f t="shared" si="16"/>
        <v>1445.8166666666668</v>
      </c>
      <c r="U369" s="2">
        <f t="shared" si="17"/>
        <v>553745</v>
      </c>
    </row>
    <row r="370" spans="1:21" ht="13.8" x14ac:dyDescent="0.3">
      <c r="A370" s="6">
        <v>45444</v>
      </c>
      <c r="B370" s="2" t="s">
        <v>733</v>
      </c>
      <c r="C370" s="2" t="s">
        <v>4</v>
      </c>
      <c r="D370" s="2" t="s">
        <v>3</v>
      </c>
      <c r="E370" s="2" t="s">
        <v>375</v>
      </c>
      <c r="F370" s="2">
        <v>1976</v>
      </c>
      <c r="G370" s="2">
        <v>925</v>
      </c>
      <c r="H370" s="2">
        <v>925</v>
      </c>
      <c r="J370" s="2">
        <v>1</v>
      </c>
      <c r="K370" s="2">
        <v>2</v>
      </c>
      <c r="L370" s="2">
        <v>1</v>
      </c>
      <c r="M370" s="2">
        <v>7</v>
      </c>
      <c r="N370" s="5" t="s">
        <v>734</v>
      </c>
      <c r="O370" s="12">
        <v>299900</v>
      </c>
      <c r="P370" s="3">
        <f>(1538+7440)/12</f>
        <v>748.16666666666663</v>
      </c>
      <c r="R370" s="3">
        <v>1098</v>
      </c>
      <c r="S370" s="12">
        <f t="shared" si="15"/>
        <v>66.958333333333343</v>
      </c>
      <c r="T370" s="3">
        <f t="shared" si="16"/>
        <v>1913.1249999999998</v>
      </c>
      <c r="U370" s="2">
        <f t="shared" si="17"/>
        <v>693937.49999999988</v>
      </c>
    </row>
    <row r="371" spans="1:21" ht="13.8" x14ac:dyDescent="0.3">
      <c r="A371" s="6">
        <v>45444</v>
      </c>
      <c r="B371" s="2" t="s">
        <v>735</v>
      </c>
      <c r="C371" s="2" t="s">
        <v>4</v>
      </c>
      <c r="D371" s="2" t="s">
        <v>3</v>
      </c>
      <c r="E371" s="2" t="s">
        <v>375</v>
      </c>
      <c r="F371" s="2">
        <v>1984</v>
      </c>
      <c r="G371" s="2">
        <v>925</v>
      </c>
      <c r="H371" s="2">
        <v>925</v>
      </c>
      <c r="J371" s="2">
        <v>1</v>
      </c>
      <c r="K371" s="2">
        <v>2</v>
      </c>
      <c r="L371" s="2">
        <v>1</v>
      </c>
      <c r="M371" s="2">
        <v>8</v>
      </c>
      <c r="N371" s="5" t="s">
        <v>736</v>
      </c>
      <c r="O371" s="12">
        <v>300000</v>
      </c>
      <c r="P371" s="3">
        <f>(1403+2808)/12</f>
        <v>350.91666666666669</v>
      </c>
      <c r="R371" s="3">
        <v>1099</v>
      </c>
      <c r="S371" s="12">
        <f t="shared" si="15"/>
        <v>66.958333333333343</v>
      </c>
      <c r="T371" s="3">
        <f t="shared" si="16"/>
        <v>1516.875</v>
      </c>
      <c r="U371" s="2">
        <f t="shared" si="17"/>
        <v>575062.5</v>
      </c>
    </row>
    <row r="372" spans="1:21" ht="13.8" x14ac:dyDescent="0.3">
      <c r="A372" s="6">
        <v>45444</v>
      </c>
      <c r="B372" s="2" t="s">
        <v>737</v>
      </c>
      <c r="C372" s="2" t="s">
        <v>4</v>
      </c>
      <c r="D372" s="2" t="s">
        <v>3</v>
      </c>
      <c r="E372" s="2" t="s">
        <v>375</v>
      </c>
      <c r="F372" s="2">
        <v>1985</v>
      </c>
      <c r="G372" s="2">
        <v>946</v>
      </c>
      <c r="H372" s="2">
        <v>946</v>
      </c>
      <c r="J372" s="2">
        <v>1</v>
      </c>
      <c r="K372" s="2">
        <v>2</v>
      </c>
      <c r="L372" s="2">
        <v>1</v>
      </c>
      <c r="M372" s="2">
        <v>8</v>
      </c>
      <c r="N372" s="5" t="s">
        <v>738</v>
      </c>
      <c r="O372" s="12">
        <v>307000</v>
      </c>
      <c r="P372" s="3">
        <f>(1337+247*12)/12</f>
        <v>358.41666666666669</v>
      </c>
      <c r="R372" s="3">
        <v>1141</v>
      </c>
      <c r="S372" s="12">
        <f t="shared" si="15"/>
        <v>68.183333333333337</v>
      </c>
      <c r="T372" s="3">
        <f t="shared" si="16"/>
        <v>1567.6000000000001</v>
      </c>
      <c r="U372" s="2">
        <f t="shared" si="17"/>
        <v>590280</v>
      </c>
    </row>
    <row r="373" spans="1:21" ht="13.8" x14ac:dyDescent="0.3">
      <c r="A373" s="6">
        <v>45444</v>
      </c>
      <c r="B373" s="2" t="s">
        <v>739</v>
      </c>
      <c r="C373" s="2" t="s">
        <v>4</v>
      </c>
      <c r="D373" s="2" t="s">
        <v>3</v>
      </c>
      <c r="E373" s="2" t="s">
        <v>375</v>
      </c>
      <c r="F373" s="2">
        <v>2002</v>
      </c>
      <c r="G373" s="2">
        <v>715</v>
      </c>
      <c r="H373" s="2">
        <v>715</v>
      </c>
      <c r="J373" s="2">
        <v>1</v>
      </c>
      <c r="K373" s="2">
        <v>1</v>
      </c>
      <c r="L373" s="2">
        <v>1</v>
      </c>
      <c r="M373" s="2">
        <v>7</v>
      </c>
      <c r="N373" s="5" t="s">
        <v>740</v>
      </c>
      <c r="O373" s="12">
        <v>314000</v>
      </c>
      <c r="P373" s="3">
        <f>(1430+4248)/12</f>
        <v>473.16666666666669</v>
      </c>
      <c r="R373" s="3">
        <v>1184</v>
      </c>
      <c r="S373" s="12">
        <f t="shared" si="15"/>
        <v>54.708333333333336</v>
      </c>
      <c r="T373" s="3">
        <f t="shared" si="16"/>
        <v>1711.875</v>
      </c>
      <c r="U373" s="2">
        <f t="shared" si="17"/>
        <v>633562.5</v>
      </c>
    </row>
    <row r="374" spans="1:21" ht="13.8" x14ac:dyDescent="0.3">
      <c r="A374" s="6">
        <v>45444</v>
      </c>
      <c r="B374" s="2" t="s">
        <v>741</v>
      </c>
      <c r="C374" s="2" t="s">
        <v>4</v>
      </c>
      <c r="D374" s="2" t="s">
        <v>3</v>
      </c>
      <c r="E374" s="2" t="s">
        <v>375</v>
      </c>
      <c r="F374" s="2">
        <v>1999</v>
      </c>
      <c r="G374" s="2">
        <v>906</v>
      </c>
      <c r="H374" s="2">
        <v>906</v>
      </c>
      <c r="J374" s="2">
        <v>1</v>
      </c>
      <c r="K374" s="2">
        <v>2</v>
      </c>
      <c r="L374" s="2">
        <v>1</v>
      </c>
      <c r="M374" s="2">
        <v>5</v>
      </c>
      <c r="N374" s="5" t="s">
        <v>742</v>
      </c>
      <c r="O374" s="12">
        <v>314900</v>
      </c>
      <c r="P374" s="3">
        <f>(1709+5352)/12</f>
        <v>588.41666666666663</v>
      </c>
      <c r="R374" s="3">
        <v>1190</v>
      </c>
      <c r="S374" s="12">
        <f t="shared" si="15"/>
        <v>65.849999999999994</v>
      </c>
      <c r="T374" s="3">
        <f t="shared" si="16"/>
        <v>1844.2666666666664</v>
      </c>
      <c r="U374" s="2">
        <f t="shared" si="17"/>
        <v>673279.99999999988</v>
      </c>
    </row>
    <row r="375" spans="1:21" ht="13.8" x14ac:dyDescent="0.3">
      <c r="A375" s="6">
        <v>45444</v>
      </c>
      <c r="B375" s="2" t="s">
        <v>743</v>
      </c>
      <c r="C375" s="2" t="s">
        <v>4</v>
      </c>
      <c r="D375" s="2" t="s">
        <v>3</v>
      </c>
      <c r="E375" s="2" t="s">
        <v>375</v>
      </c>
      <c r="F375" s="2">
        <v>2012</v>
      </c>
      <c r="G375" s="2">
        <v>588</v>
      </c>
      <c r="H375" s="2">
        <v>588</v>
      </c>
      <c r="J375" s="2">
        <v>1</v>
      </c>
      <c r="K375" s="2">
        <v>1</v>
      </c>
      <c r="L375" s="2">
        <v>1</v>
      </c>
      <c r="M375" s="2">
        <v>3</v>
      </c>
      <c r="N375" s="5" t="s">
        <v>744</v>
      </c>
      <c r="O375" s="12">
        <v>315000</v>
      </c>
      <c r="P375" s="3">
        <f>(1752+1455+129)/12</f>
        <v>278</v>
      </c>
      <c r="R375" s="3">
        <v>1190</v>
      </c>
      <c r="S375" s="12">
        <f t="shared" si="15"/>
        <v>47.300000000000004</v>
      </c>
      <c r="T375" s="3">
        <f t="shared" si="16"/>
        <v>1515.3</v>
      </c>
      <c r="U375" s="2">
        <f t="shared" si="17"/>
        <v>574590</v>
      </c>
    </row>
    <row r="376" spans="1:21" ht="13.8" x14ac:dyDescent="0.3">
      <c r="A376" s="6">
        <v>45444</v>
      </c>
      <c r="B376" s="2" t="s">
        <v>745</v>
      </c>
      <c r="C376" s="2" t="s">
        <v>4</v>
      </c>
      <c r="D376" s="2" t="s">
        <v>3</v>
      </c>
      <c r="E376" s="2" t="s">
        <v>375</v>
      </c>
      <c r="F376" s="2">
        <v>1977</v>
      </c>
      <c r="G376" s="2">
        <v>817</v>
      </c>
      <c r="H376" s="2">
        <v>817</v>
      </c>
      <c r="J376" s="2">
        <v>1</v>
      </c>
      <c r="K376" s="2">
        <v>2</v>
      </c>
      <c r="L376" s="2">
        <v>1</v>
      </c>
      <c r="M376" s="2">
        <v>6</v>
      </c>
      <c r="N376" s="5" t="s">
        <v>746</v>
      </c>
      <c r="O376" s="12">
        <v>315000</v>
      </c>
      <c r="P376" s="3">
        <f>(4572+944+120)/12</f>
        <v>469.66666666666669</v>
      </c>
      <c r="R376" s="3">
        <v>1190</v>
      </c>
      <c r="S376" s="12">
        <f t="shared" si="15"/>
        <v>60.658333333333339</v>
      </c>
      <c r="T376" s="3">
        <f t="shared" si="16"/>
        <v>1720.325</v>
      </c>
      <c r="U376" s="2">
        <f t="shared" si="17"/>
        <v>636097.5</v>
      </c>
    </row>
    <row r="377" spans="1:21" ht="13.8" x14ac:dyDescent="0.3">
      <c r="A377" s="6">
        <v>45444</v>
      </c>
      <c r="B377" s="2" t="s">
        <v>747</v>
      </c>
      <c r="C377" s="2" t="s">
        <v>4</v>
      </c>
      <c r="D377" s="2" t="s">
        <v>3</v>
      </c>
      <c r="E377" s="2" t="s">
        <v>375</v>
      </c>
      <c r="F377" s="2">
        <v>2018</v>
      </c>
      <c r="G377" s="2">
        <v>526</v>
      </c>
      <c r="H377" s="2">
        <v>526</v>
      </c>
      <c r="J377" s="2">
        <v>1</v>
      </c>
      <c r="K377" s="2">
        <v>1</v>
      </c>
      <c r="L377" s="2">
        <v>1</v>
      </c>
      <c r="M377" s="2">
        <v>5</v>
      </c>
      <c r="N377" s="5" t="s">
        <v>748</v>
      </c>
      <c r="O377" s="12">
        <v>319000</v>
      </c>
      <c r="P377" s="3">
        <f>(2304+164+1462)/12</f>
        <v>327.5</v>
      </c>
      <c r="R377" s="3">
        <v>1215</v>
      </c>
      <c r="S377" s="12">
        <f t="shared" si="15"/>
        <v>43.683333333333337</v>
      </c>
      <c r="T377" s="3">
        <f t="shared" si="16"/>
        <v>1586.1833333333334</v>
      </c>
      <c r="U377" s="2">
        <f t="shared" si="17"/>
        <v>595855</v>
      </c>
    </row>
    <row r="378" spans="1:21" ht="13.8" x14ac:dyDescent="0.3">
      <c r="A378" s="6">
        <v>45444</v>
      </c>
      <c r="B378" s="2" t="s">
        <v>749</v>
      </c>
      <c r="C378" s="2" t="s">
        <v>4</v>
      </c>
      <c r="D378" s="2" t="s">
        <v>3</v>
      </c>
      <c r="E378" s="2" t="s">
        <v>375</v>
      </c>
      <c r="F378" s="2">
        <v>2010</v>
      </c>
      <c r="G378" s="2">
        <v>759</v>
      </c>
      <c r="H378" s="2">
        <v>759</v>
      </c>
      <c r="J378" s="2">
        <v>1</v>
      </c>
      <c r="K378" s="2">
        <v>2</v>
      </c>
      <c r="L378" s="2">
        <v>1</v>
      </c>
      <c r="M378" s="2">
        <v>5</v>
      </c>
      <c r="N378" s="5" t="s">
        <v>750</v>
      </c>
      <c r="O378" s="12">
        <v>319000</v>
      </c>
      <c r="P378" s="3">
        <f>(1475+135*12)/12</f>
        <v>257.91666666666669</v>
      </c>
      <c r="R378" s="3">
        <v>1215</v>
      </c>
      <c r="S378" s="12">
        <f t="shared" si="15"/>
        <v>57.275000000000006</v>
      </c>
      <c r="T378" s="3">
        <f t="shared" si="16"/>
        <v>1530.1916666666668</v>
      </c>
      <c r="U378" s="2">
        <f t="shared" si="17"/>
        <v>579057.5</v>
      </c>
    </row>
    <row r="379" spans="1:21" ht="13.8" x14ac:dyDescent="0.3">
      <c r="A379" s="6">
        <v>45444</v>
      </c>
      <c r="B379" s="2" t="s">
        <v>751</v>
      </c>
      <c r="C379" s="2" t="s">
        <v>4</v>
      </c>
      <c r="D379" s="2" t="s">
        <v>3</v>
      </c>
      <c r="E379" s="2" t="s">
        <v>375</v>
      </c>
      <c r="F379" s="2">
        <v>2009</v>
      </c>
      <c r="G379" s="2">
        <v>644</v>
      </c>
      <c r="H379" s="2">
        <v>644</v>
      </c>
      <c r="J379" s="2">
        <v>1</v>
      </c>
      <c r="K379" s="2">
        <v>1</v>
      </c>
      <c r="L379" s="2">
        <v>1</v>
      </c>
      <c r="M379" s="2">
        <v>4</v>
      </c>
      <c r="N379" s="5" t="s">
        <v>752</v>
      </c>
      <c r="O379" s="12">
        <v>319000</v>
      </c>
      <c r="P379" s="3">
        <f>(1469+2940)/12</f>
        <v>367.41666666666669</v>
      </c>
      <c r="R379" s="3">
        <v>1215</v>
      </c>
      <c r="S379" s="12">
        <f t="shared" si="15"/>
        <v>50.56666666666667</v>
      </c>
      <c r="T379" s="3">
        <f t="shared" si="16"/>
        <v>1632.9833333333333</v>
      </c>
      <c r="U379" s="2">
        <f t="shared" si="17"/>
        <v>609895</v>
      </c>
    </row>
    <row r="380" spans="1:21" ht="13.8" x14ac:dyDescent="0.3">
      <c r="A380" s="6">
        <v>45444</v>
      </c>
      <c r="B380" s="2" t="s">
        <v>749</v>
      </c>
      <c r="C380" s="2" t="s">
        <v>4</v>
      </c>
      <c r="D380" s="2" t="s">
        <v>3</v>
      </c>
      <c r="E380" s="2" t="s">
        <v>375</v>
      </c>
      <c r="F380" s="2">
        <v>2010</v>
      </c>
      <c r="G380" s="2">
        <v>759</v>
      </c>
      <c r="H380" s="2">
        <v>759</v>
      </c>
      <c r="J380" s="2">
        <v>1</v>
      </c>
      <c r="K380" s="2">
        <v>2</v>
      </c>
      <c r="L380" s="2">
        <v>1</v>
      </c>
      <c r="M380" s="2">
        <v>5</v>
      </c>
      <c r="N380" s="5" t="s">
        <v>753</v>
      </c>
      <c r="O380" s="12">
        <v>319000</v>
      </c>
      <c r="P380" s="3">
        <f>(1475+135*12)/12</f>
        <v>257.91666666666669</v>
      </c>
      <c r="R380" s="3">
        <v>1215</v>
      </c>
      <c r="S380" s="12">
        <f t="shared" si="15"/>
        <v>57.275000000000006</v>
      </c>
      <c r="T380" s="3">
        <f t="shared" si="16"/>
        <v>1530.1916666666668</v>
      </c>
      <c r="U380" s="2">
        <f t="shared" si="17"/>
        <v>579057.5</v>
      </c>
    </row>
    <row r="381" spans="1:21" ht="13.8" x14ac:dyDescent="0.3">
      <c r="A381" s="6">
        <v>45444</v>
      </c>
      <c r="B381" s="2" t="s">
        <v>751</v>
      </c>
      <c r="C381" s="2" t="s">
        <v>4</v>
      </c>
      <c r="D381" s="2" t="s">
        <v>3</v>
      </c>
      <c r="E381" s="2" t="s">
        <v>375</v>
      </c>
      <c r="F381" s="2">
        <v>2009</v>
      </c>
      <c r="G381" s="2">
        <v>644</v>
      </c>
      <c r="H381" s="2">
        <v>644</v>
      </c>
      <c r="J381" s="2">
        <v>1</v>
      </c>
      <c r="K381" s="2">
        <v>1</v>
      </c>
      <c r="L381" s="2">
        <v>1</v>
      </c>
      <c r="M381" s="2">
        <v>4</v>
      </c>
      <c r="N381" s="5" t="s">
        <v>754</v>
      </c>
      <c r="O381" s="12">
        <v>319000</v>
      </c>
      <c r="P381" s="3">
        <f>(1469+2940)/12</f>
        <v>367.41666666666669</v>
      </c>
      <c r="R381" s="3">
        <v>1215</v>
      </c>
      <c r="S381" s="12">
        <f t="shared" si="15"/>
        <v>50.56666666666667</v>
      </c>
      <c r="T381" s="3">
        <f t="shared" si="16"/>
        <v>1632.9833333333333</v>
      </c>
      <c r="U381" s="2">
        <f t="shared" si="17"/>
        <v>609895</v>
      </c>
    </row>
    <row r="382" spans="1:21" ht="13.8" x14ac:dyDescent="0.3">
      <c r="A382" s="6">
        <v>45444</v>
      </c>
      <c r="B382" s="2" t="s">
        <v>755</v>
      </c>
      <c r="C382" s="2" t="s">
        <v>4</v>
      </c>
      <c r="D382" s="2" t="s">
        <v>3</v>
      </c>
      <c r="E382" s="2" t="s">
        <v>375</v>
      </c>
      <c r="F382" s="2">
        <v>2007</v>
      </c>
      <c r="G382" s="2">
        <v>670</v>
      </c>
      <c r="H382" s="2">
        <v>670</v>
      </c>
      <c r="J382" s="2">
        <v>1</v>
      </c>
      <c r="K382" s="2">
        <v>1</v>
      </c>
      <c r="L382" s="2">
        <v>1</v>
      </c>
      <c r="M382" s="2">
        <v>5</v>
      </c>
      <c r="N382" s="5" t="s">
        <v>756</v>
      </c>
      <c r="O382" s="12">
        <v>319000</v>
      </c>
      <c r="P382" s="3">
        <f>(1615+5520)/12</f>
        <v>594.58333333333337</v>
      </c>
      <c r="R382" s="3">
        <v>1215</v>
      </c>
      <c r="S382" s="12">
        <f t="shared" si="15"/>
        <v>52.083333333333336</v>
      </c>
      <c r="T382" s="3">
        <f t="shared" si="16"/>
        <v>1861.6666666666667</v>
      </c>
      <c r="U382" s="2">
        <f t="shared" si="17"/>
        <v>678500</v>
      </c>
    </row>
    <row r="383" spans="1:21" ht="13.8" x14ac:dyDescent="0.3">
      <c r="A383" s="6">
        <v>45444</v>
      </c>
      <c r="B383" s="2" t="s">
        <v>757</v>
      </c>
      <c r="C383" s="2" t="s">
        <v>4</v>
      </c>
      <c r="D383" s="2" t="s">
        <v>3</v>
      </c>
      <c r="E383" s="2" t="s">
        <v>375</v>
      </c>
      <c r="F383" s="2">
        <v>2014</v>
      </c>
      <c r="G383" s="2">
        <v>561</v>
      </c>
      <c r="H383" s="2">
        <v>561</v>
      </c>
      <c r="J383" s="2">
        <v>1</v>
      </c>
      <c r="K383" s="2">
        <v>1</v>
      </c>
      <c r="L383" s="2">
        <v>1</v>
      </c>
      <c r="M383" s="2">
        <v>6</v>
      </c>
      <c r="N383" s="5" t="s">
        <v>758</v>
      </c>
      <c r="O383" s="12">
        <v>319000</v>
      </c>
      <c r="P383" s="3">
        <f>(1716+149+1463+310)/12</f>
        <v>303.16666666666669</v>
      </c>
      <c r="R383" s="3">
        <v>1215</v>
      </c>
      <c r="S383" s="12">
        <f t="shared" si="15"/>
        <v>45.725000000000001</v>
      </c>
      <c r="T383" s="3">
        <f t="shared" si="16"/>
        <v>1563.8916666666667</v>
      </c>
      <c r="U383" s="2">
        <f t="shared" si="17"/>
        <v>589167.5</v>
      </c>
    </row>
    <row r="384" spans="1:21" ht="13.8" x14ac:dyDescent="0.3">
      <c r="A384" s="6">
        <v>45444</v>
      </c>
      <c r="B384" s="2" t="s">
        <v>759</v>
      </c>
      <c r="C384" s="2" t="s">
        <v>4</v>
      </c>
      <c r="D384" s="2" t="s">
        <v>3</v>
      </c>
      <c r="E384" s="2" t="s">
        <v>375</v>
      </c>
      <c r="F384" s="2">
        <v>1988</v>
      </c>
      <c r="G384" s="2">
        <v>590</v>
      </c>
      <c r="H384" s="2">
        <v>590</v>
      </c>
      <c r="J384" s="2">
        <v>1</v>
      </c>
      <c r="K384" s="2">
        <v>1</v>
      </c>
      <c r="L384" s="2">
        <v>1</v>
      </c>
      <c r="M384" s="2">
        <v>5</v>
      </c>
      <c r="N384" s="5" t="s">
        <v>760</v>
      </c>
      <c r="O384" s="12">
        <v>319900</v>
      </c>
      <c r="P384" s="3">
        <f>(1657+471*12)/12</f>
        <v>609.08333333333337</v>
      </c>
      <c r="R384" s="3">
        <v>1220</v>
      </c>
      <c r="S384" s="12">
        <f t="shared" si="15"/>
        <v>47.416666666666671</v>
      </c>
      <c r="T384" s="3">
        <f t="shared" si="16"/>
        <v>1876.5000000000002</v>
      </c>
      <c r="U384" s="2">
        <f t="shared" si="17"/>
        <v>682950.00000000012</v>
      </c>
    </row>
    <row r="385" spans="1:21" ht="13.8" x14ac:dyDescent="0.3">
      <c r="A385" s="6">
        <v>45444</v>
      </c>
      <c r="B385" s="2" t="s">
        <v>761</v>
      </c>
      <c r="C385" s="2" t="s">
        <v>4</v>
      </c>
      <c r="D385" s="2" t="s">
        <v>3</v>
      </c>
      <c r="E385" s="2" t="s">
        <v>375</v>
      </c>
      <c r="F385" s="2">
        <v>2010</v>
      </c>
      <c r="G385" s="2">
        <v>648</v>
      </c>
      <c r="H385" s="2">
        <v>648</v>
      </c>
      <c r="J385" s="2">
        <v>1</v>
      </c>
      <c r="K385" s="2">
        <v>1</v>
      </c>
      <c r="L385" s="2">
        <v>1</v>
      </c>
      <c r="M385" s="2">
        <v>5</v>
      </c>
      <c r="N385" s="5" t="s">
        <v>762</v>
      </c>
      <c r="O385" s="12">
        <v>320000</v>
      </c>
      <c r="P385" s="3">
        <f>(3480+150*12)/12</f>
        <v>440</v>
      </c>
      <c r="R385" s="3">
        <v>1220.78</v>
      </c>
      <c r="S385" s="12">
        <f t="shared" si="15"/>
        <v>50.800000000000004</v>
      </c>
      <c r="T385" s="3">
        <f t="shared" si="16"/>
        <v>1711.58</v>
      </c>
      <c r="U385" s="2">
        <f t="shared" si="17"/>
        <v>633474</v>
      </c>
    </row>
    <row r="386" spans="1:21" ht="13.8" x14ac:dyDescent="0.3">
      <c r="A386" s="6">
        <v>45444</v>
      </c>
      <c r="B386" s="2" t="s">
        <v>763</v>
      </c>
      <c r="C386" s="2" t="s">
        <v>4</v>
      </c>
      <c r="D386" s="2" t="s">
        <v>3</v>
      </c>
      <c r="E386" s="2" t="s">
        <v>375</v>
      </c>
      <c r="F386" s="2">
        <v>2014</v>
      </c>
      <c r="G386" s="2">
        <v>621</v>
      </c>
      <c r="H386" s="2">
        <v>621</v>
      </c>
      <c r="J386" s="2">
        <v>1</v>
      </c>
      <c r="K386" s="2">
        <v>1</v>
      </c>
      <c r="L386" s="2">
        <v>1</v>
      </c>
      <c r="M386" s="2">
        <v>6</v>
      </c>
      <c r="N386" s="5" t="s">
        <v>764</v>
      </c>
      <c r="O386" s="12">
        <v>325000</v>
      </c>
      <c r="P386" s="3">
        <f>(3384+156+1327)/12</f>
        <v>405.58333333333331</v>
      </c>
      <c r="R386" s="3">
        <v>1251</v>
      </c>
      <c r="S386" s="12">
        <f t="shared" ref="S386:S449" si="18">13+(G386*10*0.07)/12</f>
        <v>49.225000000000001</v>
      </c>
      <c r="T386" s="3">
        <f t="shared" ref="T386:T449" si="19">P386+R386+S386</f>
        <v>1705.8083333333332</v>
      </c>
      <c r="U386" s="2">
        <f t="shared" ref="U386:U449" si="20">120000+T386*12*25</f>
        <v>631742.5</v>
      </c>
    </row>
    <row r="387" spans="1:21" ht="13.8" x14ac:dyDescent="0.3">
      <c r="A387" s="6">
        <v>45444</v>
      </c>
      <c r="B387" s="2" t="s">
        <v>765</v>
      </c>
      <c r="C387" s="2" t="s">
        <v>4</v>
      </c>
      <c r="D387" s="2" t="s">
        <v>3</v>
      </c>
      <c r="E387" s="2" t="s">
        <v>375</v>
      </c>
      <c r="F387" s="2">
        <v>2018</v>
      </c>
      <c r="G387" s="2">
        <v>525</v>
      </c>
      <c r="H387" s="2">
        <v>525</v>
      </c>
      <c r="J387" s="2">
        <v>1</v>
      </c>
      <c r="K387" s="2">
        <v>1</v>
      </c>
      <c r="L387" s="2">
        <v>1</v>
      </c>
      <c r="M387" s="2">
        <v>5</v>
      </c>
      <c r="N387" s="5" t="s">
        <v>766</v>
      </c>
      <c r="O387" s="12">
        <v>325000</v>
      </c>
      <c r="P387" s="3">
        <f>(1908+1461+165)/12</f>
        <v>294.5</v>
      </c>
      <c r="R387" s="3">
        <v>1251</v>
      </c>
      <c r="S387" s="12">
        <f t="shared" si="18"/>
        <v>43.625</v>
      </c>
      <c r="T387" s="3">
        <f t="shared" si="19"/>
        <v>1589.125</v>
      </c>
      <c r="U387" s="2">
        <f t="shared" si="20"/>
        <v>596737.5</v>
      </c>
    </row>
    <row r="388" spans="1:21" ht="13.8" x14ac:dyDescent="0.3">
      <c r="A388" s="6">
        <v>45444</v>
      </c>
      <c r="B388" s="2" t="s">
        <v>767</v>
      </c>
      <c r="C388" s="2" t="s">
        <v>4</v>
      </c>
      <c r="D388" s="2" t="s">
        <v>3</v>
      </c>
      <c r="E388" s="2" t="s">
        <v>375</v>
      </c>
      <c r="F388" s="2">
        <v>2017</v>
      </c>
      <c r="G388" s="2">
        <v>596</v>
      </c>
      <c r="H388" s="2">
        <v>596</v>
      </c>
      <c r="J388" s="2">
        <v>1</v>
      </c>
      <c r="K388" s="2">
        <v>1</v>
      </c>
      <c r="L388" s="2">
        <v>1</v>
      </c>
      <c r="M388" s="2">
        <v>4</v>
      </c>
      <c r="N388" s="5" t="s">
        <v>768</v>
      </c>
      <c r="O388" s="12">
        <v>328000</v>
      </c>
      <c r="P388" s="3">
        <f>(2832+82+1499+170)/12</f>
        <v>381.91666666666669</v>
      </c>
      <c r="R388" s="3">
        <v>1270</v>
      </c>
      <c r="S388" s="12">
        <f t="shared" si="18"/>
        <v>47.766666666666673</v>
      </c>
      <c r="T388" s="3">
        <f t="shared" si="19"/>
        <v>1699.6833333333334</v>
      </c>
      <c r="U388" s="2">
        <f t="shared" si="20"/>
        <v>629905</v>
      </c>
    </row>
    <row r="389" spans="1:21" ht="13.8" x14ac:dyDescent="0.3">
      <c r="A389" s="6">
        <v>45444</v>
      </c>
      <c r="B389" s="2" t="s">
        <v>769</v>
      </c>
      <c r="C389" s="2" t="s">
        <v>4</v>
      </c>
      <c r="D389" s="2" t="s">
        <v>3</v>
      </c>
      <c r="E389" s="2" t="s">
        <v>375</v>
      </c>
      <c r="F389" s="2">
        <v>2003</v>
      </c>
      <c r="G389" s="2">
        <v>806</v>
      </c>
      <c r="H389" s="2">
        <v>806</v>
      </c>
      <c r="J389" s="2">
        <v>1</v>
      </c>
      <c r="K389" s="2">
        <v>1</v>
      </c>
      <c r="L389" s="2">
        <v>1</v>
      </c>
      <c r="M389" s="2">
        <v>7</v>
      </c>
      <c r="N389" s="5" t="s">
        <v>770</v>
      </c>
      <c r="O389" s="12">
        <v>329000</v>
      </c>
      <c r="P389" s="3">
        <f>(4332+127+1623+221)/12</f>
        <v>525.25</v>
      </c>
      <c r="R389" s="3">
        <v>1276</v>
      </c>
      <c r="S389" s="12">
        <f t="shared" si="18"/>
        <v>60.016666666666673</v>
      </c>
      <c r="T389" s="3">
        <f t="shared" si="19"/>
        <v>1861.2666666666667</v>
      </c>
      <c r="U389" s="2">
        <f t="shared" si="20"/>
        <v>678380</v>
      </c>
    </row>
    <row r="390" spans="1:21" ht="13.8" x14ac:dyDescent="0.3">
      <c r="A390" s="6">
        <v>45444</v>
      </c>
      <c r="B390" s="2" t="s">
        <v>771</v>
      </c>
      <c r="C390" s="2" t="s">
        <v>4</v>
      </c>
      <c r="D390" s="2" t="s">
        <v>3</v>
      </c>
      <c r="E390" s="2" t="s">
        <v>375</v>
      </c>
      <c r="F390" s="2">
        <v>2024</v>
      </c>
      <c r="G390" s="2">
        <v>421</v>
      </c>
      <c r="H390" s="2">
        <v>421</v>
      </c>
      <c r="J390" s="2">
        <v>1</v>
      </c>
      <c r="K390" s="2">
        <v>1</v>
      </c>
      <c r="L390" s="2">
        <v>1</v>
      </c>
      <c r="M390" s="2">
        <v>5</v>
      </c>
      <c r="N390" s="5" t="s">
        <v>772</v>
      </c>
      <c r="O390" s="12">
        <v>335000</v>
      </c>
      <c r="P390" s="3">
        <f>(2261+3792)/12</f>
        <v>504.41666666666669</v>
      </c>
      <c r="R390" s="3">
        <v>1312</v>
      </c>
      <c r="S390" s="12">
        <f t="shared" si="18"/>
        <v>37.558333333333337</v>
      </c>
      <c r="T390" s="3">
        <f t="shared" si="19"/>
        <v>1853.9750000000001</v>
      </c>
      <c r="U390" s="2">
        <f t="shared" si="20"/>
        <v>676192.5</v>
      </c>
    </row>
    <row r="391" spans="1:21" ht="13.8" x14ac:dyDescent="0.3">
      <c r="A391" s="6">
        <v>45444</v>
      </c>
      <c r="B391" s="2" t="s">
        <v>773</v>
      </c>
      <c r="C391" s="2" t="s">
        <v>4</v>
      </c>
      <c r="D391" s="2" t="s">
        <v>3</v>
      </c>
      <c r="E391" s="2" t="s">
        <v>375</v>
      </c>
      <c r="F391" s="2">
        <v>1976</v>
      </c>
      <c r="G391" s="2">
        <v>879</v>
      </c>
      <c r="H391" s="2">
        <v>879</v>
      </c>
      <c r="J391" s="2">
        <v>1</v>
      </c>
      <c r="K391" s="2">
        <v>2</v>
      </c>
      <c r="L391" s="2">
        <v>1</v>
      </c>
      <c r="M391" s="2">
        <v>7</v>
      </c>
      <c r="N391" s="5" t="s">
        <v>774</v>
      </c>
      <c r="O391" s="12">
        <v>335000</v>
      </c>
      <c r="P391" s="3">
        <f>(5016+1278+172)/12</f>
        <v>538.83333333333337</v>
      </c>
      <c r="R391" s="3">
        <v>1312</v>
      </c>
      <c r="S391" s="12">
        <f t="shared" si="18"/>
        <v>64.275000000000006</v>
      </c>
      <c r="T391" s="3">
        <f t="shared" si="19"/>
        <v>1915.1083333333336</v>
      </c>
      <c r="U391" s="2">
        <f t="shared" si="20"/>
        <v>694532.50000000012</v>
      </c>
    </row>
    <row r="392" spans="1:21" ht="13.8" x14ac:dyDescent="0.3">
      <c r="A392" s="6">
        <v>45444</v>
      </c>
      <c r="B392" s="2" t="s">
        <v>775</v>
      </c>
      <c r="C392" s="2" t="s">
        <v>4</v>
      </c>
      <c r="D392" s="2" t="s">
        <v>2</v>
      </c>
      <c r="E392" s="2" t="s">
        <v>375</v>
      </c>
      <c r="F392" s="2">
        <v>2018</v>
      </c>
      <c r="G392" s="2">
        <v>1366</v>
      </c>
      <c r="H392" s="2">
        <v>1366</v>
      </c>
      <c r="J392" s="2">
        <v>1</v>
      </c>
      <c r="K392" s="2">
        <v>3</v>
      </c>
      <c r="L392" s="2">
        <v>2</v>
      </c>
      <c r="M392" s="2">
        <v>10</v>
      </c>
      <c r="N392" s="5" t="s">
        <v>776</v>
      </c>
      <c r="O392" s="12">
        <v>609000</v>
      </c>
      <c r="P392" s="3">
        <f>(4177+5928)/12</f>
        <v>842.08333333333337</v>
      </c>
      <c r="R392" s="3">
        <v>2985</v>
      </c>
      <c r="S392" s="12">
        <f t="shared" si="18"/>
        <v>92.683333333333337</v>
      </c>
      <c r="T392" s="3">
        <f t="shared" si="19"/>
        <v>3919.7666666666669</v>
      </c>
      <c r="U392" s="2">
        <f t="shared" si="20"/>
        <v>1295930</v>
      </c>
    </row>
    <row r="393" spans="1:21" ht="13.8" x14ac:dyDescent="0.3">
      <c r="A393" s="6">
        <v>45444</v>
      </c>
      <c r="B393" s="2" t="s">
        <v>777</v>
      </c>
      <c r="C393" s="2" t="s">
        <v>4</v>
      </c>
      <c r="D393" s="2" t="s">
        <v>2</v>
      </c>
      <c r="E393" s="2" t="s">
        <v>1734</v>
      </c>
      <c r="F393" s="2">
        <v>1950</v>
      </c>
      <c r="G393" s="2">
        <f>(11.2*17.2+11.5*11.2+12.9*10.9+12.6*11.2+9.4*11.1+11.2*9.1+7.4*5.2+24.2*22.2+5*10.6+11.3*7)*1.3</f>
        <v>1972.425</v>
      </c>
      <c r="H393" s="2">
        <v>6000</v>
      </c>
      <c r="J393" s="2">
        <v>2</v>
      </c>
      <c r="K393" s="2">
        <v>3</v>
      </c>
      <c r="L393" s="2">
        <v>2</v>
      </c>
      <c r="M393" s="2">
        <v>10</v>
      </c>
      <c r="N393" s="5" t="s">
        <v>778</v>
      </c>
      <c r="O393" s="12">
        <v>620000</v>
      </c>
      <c r="P393" s="3">
        <f>(3954+435)/12</f>
        <v>365.75</v>
      </c>
      <c r="R393" s="3">
        <v>3052</v>
      </c>
      <c r="S393" s="12">
        <f t="shared" si="18"/>
        <v>128.05812500000002</v>
      </c>
      <c r="T393" s="3">
        <f t="shared" si="19"/>
        <v>3545.808125</v>
      </c>
      <c r="U393" s="2">
        <f t="shared" si="20"/>
        <v>1183742.4375</v>
      </c>
    </row>
    <row r="394" spans="1:21" ht="13.8" x14ac:dyDescent="0.3">
      <c r="A394" s="6">
        <v>45444</v>
      </c>
      <c r="B394" s="2" t="s">
        <v>779</v>
      </c>
      <c r="C394" s="2" t="s">
        <v>4</v>
      </c>
      <c r="D394" s="2" t="s">
        <v>2</v>
      </c>
      <c r="E394" s="2" t="s">
        <v>1734</v>
      </c>
      <c r="F394" s="2">
        <v>1950</v>
      </c>
      <c r="G394" s="2">
        <f>(4*4+17.3*9.4+13.8*11+12.9*10+11.6*9+9.7*5.3+28*23)*1.3</f>
        <v>1636.999</v>
      </c>
      <c r="H394" s="2">
        <v>2812</v>
      </c>
      <c r="J394" s="2">
        <v>2</v>
      </c>
      <c r="K394" s="2">
        <v>2</v>
      </c>
      <c r="L394" s="2">
        <v>2</v>
      </c>
      <c r="M394" s="2">
        <v>12</v>
      </c>
      <c r="N394" s="5" t="s">
        <v>780</v>
      </c>
      <c r="O394" s="12">
        <v>627700</v>
      </c>
      <c r="P394" s="3">
        <f>3439/12</f>
        <v>286.58333333333331</v>
      </c>
      <c r="R394" s="3">
        <v>3098.96</v>
      </c>
      <c r="S394" s="12">
        <f t="shared" si="18"/>
        <v>108.49160833333333</v>
      </c>
      <c r="T394" s="3">
        <f t="shared" si="19"/>
        <v>3494.0349416666668</v>
      </c>
      <c r="U394" s="2">
        <f t="shared" si="20"/>
        <v>1168210.4824999999</v>
      </c>
    </row>
    <row r="395" spans="1:21" ht="13.8" x14ac:dyDescent="0.3">
      <c r="A395" s="6">
        <v>45444</v>
      </c>
      <c r="B395" s="2" t="s">
        <v>781</v>
      </c>
      <c r="C395" s="2" t="s">
        <v>4</v>
      </c>
      <c r="D395" s="2" t="s">
        <v>2</v>
      </c>
      <c r="E395" s="2" t="s">
        <v>375</v>
      </c>
      <c r="F395" s="2">
        <v>2020</v>
      </c>
      <c r="G395" s="2">
        <v>1318</v>
      </c>
      <c r="H395" s="2">
        <v>1318</v>
      </c>
      <c r="J395" s="2">
        <v>1</v>
      </c>
      <c r="K395" s="2">
        <v>4</v>
      </c>
      <c r="L395" s="2">
        <v>2</v>
      </c>
      <c r="M395" s="2">
        <v>10</v>
      </c>
      <c r="N395" s="5" t="s">
        <v>782</v>
      </c>
      <c r="O395" s="12">
        <v>629000</v>
      </c>
      <c r="P395" s="3">
        <f>(283*12+3712+458)/12</f>
        <v>630.5</v>
      </c>
      <c r="R395" s="3">
        <v>3107</v>
      </c>
      <c r="S395" s="12">
        <f t="shared" si="18"/>
        <v>89.88333333333334</v>
      </c>
      <c r="T395" s="3">
        <f t="shared" si="19"/>
        <v>3827.3833333333332</v>
      </c>
      <c r="U395" s="2">
        <f t="shared" si="20"/>
        <v>1268215</v>
      </c>
    </row>
    <row r="396" spans="1:21" ht="13.8" x14ac:dyDescent="0.3">
      <c r="A396" s="6">
        <v>45444</v>
      </c>
      <c r="B396" s="2" t="s">
        <v>783</v>
      </c>
      <c r="C396" s="2" t="s">
        <v>4</v>
      </c>
      <c r="D396" s="2" t="s">
        <v>2</v>
      </c>
      <c r="E396" s="2" t="s">
        <v>1734</v>
      </c>
      <c r="F396" s="2">
        <v>1955</v>
      </c>
      <c r="G396" s="2">
        <f>(4.6*3.7+18.3*11.5+7.1*11.4+14.5*11.4+14.4*11.6+11.4*8.1+14.3*9+9.8*4.9+21.1*11.6+13.4*11+7.9*10.4)*1.3</f>
        <v>1799.3690000000006</v>
      </c>
      <c r="H396" s="2">
        <v>3174</v>
      </c>
      <c r="J396" s="2">
        <v>2</v>
      </c>
      <c r="K396" s="2">
        <v>3</v>
      </c>
      <c r="L396" s="2">
        <v>2</v>
      </c>
      <c r="M396" s="2">
        <v>11</v>
      </c>
      <c r="N396" s="5" t="s">
        <v>784</v>
      </c>
      <c r="O396" s="12">
        <v>630000</v>
      </c>
      <c r="P396" s="3">
        <f>3136/12</f>
        <v>261.33333333333331</v>
      </c>
      <c r="R396" s="3">
        <v>3113</v>
      </c>
      <c r="S396" s="12">
        <f t="shared" si="18"/>
        <v>117.96319166666672</v>
      </c>
      <c r="T396" s="3">
        <f t="shared" si="19"/>
        <v>3492.2965250000002</v>
      </c>
      <c r="U396" s="2">
        <f t="shared" si="20"/>
        <v>1167688.9575</v>
      </c>
    </row>
    <row r="397" spans="1:21" ht="13.8" x14ac:dyDescent="0.3">
      <c r="A397" s="6">
        <v>45444</v>
      </c>
      <c r="B397" s="2" t="s">
        <v>785</v>
      </c>
      <c r="C397" s="2" t="s">
        <v>4</v>
      </c>
      <c r="D397" s="2" t="s">
        <v>2</v>
      </c>
      <c r="E397" s="2" t="s">
        <v>375</v>
      </c>
      <c r="F397" s="2">
        <v>2024</v>
      </c>
      <c r="G397" s="2">
        <v>844</v>
      </c>
      <c r="H397" s="2">
        <v>844</v>
      </c>
      <c r="J397" s="2">
        <v>1</v>
      </c>
      <c r="K397" s="2">
        <v>3</v>
      </c>
      <c r="L397" s="2">
        <v>1</v>
      </c>
      <c r="M397" s="2">
        <v>5</v>
      </c>
      <c r="N397" s="5" t="s">
        <v>786</v>
      </c>
      <c r="O397" s="12">
        <v>631212</v>
      </c>
      <c r="P397" s="3">
        <v>600</v>
      </c>
      <c r="Q397" s="2" t="s">
        <v>25</v>
      </c>
      <c r="R397" s="3">
        <v>3120</v>
      </c>
      <c r="S397" s="12">
        <f t="shared" si="18"/>
        <v>62.233333333333341</v>
      </c>
      <c r="T397" s="3">
        <f t="shared" si="19"/>
        <v>3782.2333333333331</v>
      </c>
      <c r="U397" s="2">
        <f t="shared" si="20"/>
        <v>1254670</v>
      </c>
    </row>
    <row r="398" spans="1:21" ht="13.8" x14ac:dyDescent="0.3">
      <c r="A398" s="6">
        <v>45444</v>
      </c>
      <c r="B398" s="2" t="s">
        <v>787</v>
      </c>
      <c r="C398" s="2" t="s">
        <v>4</v>
      </c>
      <c r="D398" s="2" t="s">
        <v>2</v>
      </c>
      <c r="E398" s="2" t="s">
        <v>375</v>
      </c>
      <c r="F398" s="2">
        <v>2020</v>
      </c>
      <c r="G398" s="2">
        <v>1498</v>
      </c>
      <c r="H398" s="2">
        <v>1498</v>
      </c>
      <c r="J398" s="2">
        <v>2</v>
      </c>
      <c r="K398" s="2">
        <v>3</v>
      </c>
      <c r="L398" s="2">
        <v>2</v>
      </c>
      <c r="M398" s="2">
        <v>10</v>
      </c>
      <c r="N398" s="5" t="s">
        <v>788</v>
      </c>
      <c r="O398" s="12">
        <v>639000</v>
      </c>
      <c r="P398" s="3">
        <v>600</v>
      </c>
      <c r="Q398" s="2" t="s">
        <v>25</v>
      </c>
      <c r="R398" s="3">
        <v>3168</v>
      </c>
      <c r="S398" s="12">
        <f t="shared" si="18"/>
        <v>100.38333333333334</v>
      </c>
      <c r="T398" s="3">
        <f t="shared" si="19"/>
        <v>3868.3833333333332</v>
      </c>
      <c r="U398" s="2">
        <f t="shared" si="20"/>
        <v>1280515</v>
      </c>
    </row>
    <row r="399" spans="1:21" ht="13.8" x14ac:dyDescent="0.3">
      <c r="A399" s="6">
        <v>45444</v>
      </c>
      <c r="B399" s="2" t="s">
        <v>789</v>
      </c>
      <c r="C399" s="2" t="s">
        <v>4</v>
      </c>
      <c r="D399" s="2" t="s">
        <v>2</v>
      </c>
      <c r="E399" s="2" t="s">
        <v>1734</v>
      </c>
      <c r="F399" s="2">
        <v>1925</v>
      </c>
      <c r="G399" s="2">
        <f>(13.4*21.6+13*8.5+13.4*10.3+7.5*4.8+13.4*9.9+9.7*10+9.4*9.1+13*8.3+6.4*4.8+9.3*24.9+12.9*9.5)*1.3</f>
        <v>1796.4699999999998</v>
      </c>
      <c r="H399" s="2">
        <v>1537</v>
      </c>
      <c r="J399" s="2">
        <v>2</v>
      </c>
      <c r="K399" s="2">
        <v>3</v>
      </c>
      <c r="L399" s="2">
        <v>1</v>
      </c>
      <c r="M399" s="2">
        <v>7</v>
      </c>
      <c r="N399" s="5" t="s">
        <v>790</v>
      </c>
      <c r="O399" s="12">
        <v>639000</v>
      </c>
      <c r="P399" s="3">
        <f>(3175+399)/12</f>
        <v>297.83333333333331</v>
      </c>
      <c r="R399" s="3">
        <v>3168</v>
      </c>
      <c r="S399" s="12">
        <f t="shared" si="18"/>
        <v>117.79408333333333</v>
      </c>
      <c r="T399" s="3">
        <f t="shared" si="19"/>
        <v>3583.6274166666667</v>
      </c>
      <c r="U399" s="2">
        <f t="shared" si="20"/>
        <v>1195088.2250000001</v>
      </c>
    </row>
    <row r="400" spans="1:21" ht="13.8" x14ac:dyDescent="0.3">
      <c r="A400" s="6">
        <v>45444</v>
      </c>
      <c r="B400" s="2" t="s">
        <v>791</v>
      </c>
      <c r="C400" s="2" t="s">
        <v>4</v>
      </c>
      <c r="D400" s="2" t="s">
        <v>2</v>
      </c>
      <c r="E400" s="2" t="s">
        <v>375</v>
      </c>
      <c r="F400" s="2">
        <v>2020</v>
      </c>
      <c r="G400" s="2">
        <v>1296</v>
      </c>
      <c r="H400" s="2">
        <v>1296</v>
      </c>
      <c r="J400" s="2">
        <v>2</v>
      </c>
      <c r="K400" s="2">
        <v>3</v>
      </c>
      <c r="L400" s="2">
        <v>2</v>
      </c>
      <c r="M400" s="2">
        <v>10</v>
      </c>
      <c r="N400" s="5" t="s">
        <v>792</v>
      </c>
      <c r="O400" s="12">
        <v>639000</v>
      </c>
      <c r="P400" s="3">
        <f>(3552+464+3750)/12</f>
        <v>647.16666666666663</v>
      </c>
      <c r="R400" s="3">
        <v>3168</v>
      </c>
      <c r="S400" s="12">
        <f t="shared" si="18"/>
        <v>88.600000000000009</v>
      </c>
      <c r="T400" s="3">
        <f t="shared" si="19"/>
        <v>3903.7666666666664</v>
      </c>
      <c r="U400" s="2">
        <f t="shared" si="20"/>
        <v>1291130</v>
      </c>
    </row>
    <row r="401" spans="1:21" ht="13.8" x14ac:dyDescent="0.3">
      <c r="A401" s="6">
        <v>45444</v>
      </c>
      <c r="B401" s="2" t="s">
        <v>793</v>
      </c>
      <c r="C401" s="2" t="s">
        <v>4</v>
      </c>
      <c r="D401" s="2" t="s">
        <v>2</v>
      </c>
      <c r="E401" s="2" t="s">
        <v>1734</v>
      </c>
      <c r="F401" s="2">
        <v>2011</v>
      </c>
      <c r="G401" s="2">
        <f>(10*6+8*5+20*14+8*6+18*12+10*8+12*14+20*14+8*5+10.2*8.9+10.2*8.8+18*17)*1.3</f>
        <v>2208.1019999999999</v>
      </c>
      <c r="H401" s="2">
        <v>1749</v>
      </c>
      <c r="J401" s="2">
        <v>2</v>
      </c>
      <c r="K401" s="2">
        <v>4</v>
      </c>
      <c r="L401" s="2">
        <v>2</v>
      </c>
      <c r="M401" s="2">
        <v>12</v>
      </c>
      <c r="N401" s="5" t="s">
        <v>794</v>
      </c>
      <c r="O401" s="12">
        <v>649000</v>
      </c>
      <c r="P401" s="3">
        <f>(3465+402)/12</f>
        <v>322.25</v>
      </c>
      <c r="R401" s="3">
        <v>3229</v>
      </c>
      <c r="S401" s="12">
        <f t="shared" si="18"/>
        <v>141.80595</v>
      </c>
      <c r="T401" s="3">
        <f t="shared" si="19"/>
        <v>3693.0559499999999</v>
      </c>
      <c r="U401" s="2">
        <f t="shared" si="20"/>
        <v>1227916.7849999999</v>
      </c>
    </row>
    <row r="402" spans="1:21" ht="13.8" x14ac:dyDescent="0.3">
      <c r="A402" s="6">
        <v>45444</v>
      </c>
      <c r="B402" s="2" t="s">
        <v>795</v>
      </c>
      <c r="C402" s="2" t="s">
        <v>4</v>
      </c>
      <c r="D402" s="2" t="s">
        <v>2</v>
      </c>
      <c r="E402" s="2" t="s">
        <v>1734</v>
      </c>
      <c r="F402" s="2">
        <v>1954</v>
      </c>
      <c r="G402" s="2">
        <f>(14.9*11.9+10.9*10.9+10.9*7.7+13.4*10.9+6.3*6.1+8.5*13+11.9*8.9+18*10.3+5.2*11.2+5.1*3.4)*1.3</f>
        <v>1354.5089999999998</v>
      </c>
      <c r="H402" s="2">
        <v>5000</v>
      </c>
      <c r="J402" s="2">
        <v>2</v>
      </c>
      <c r="K402" s="2">
        <v>3</v>
      </c>
      <c r="L402" s="2">
        <v>2</v>
      </c>
      <c r="M402" s="2">
        <v>10</v>
      </c>
      <c r="N402" s="5" t="s">
        <v>796</v>
      </c>
      <c r="O402" s="12">
        <v>649000</v>
      </c>
      <c r="P402" s="3">
        <f>(3746+446)/12</f>
        <v>349.33333333333331</v>
      </c>
      <c r="R402" s="3">
        <v>3229</v>
      </c>
      <c r="S402" s="12">
        <f t="shared" si="18"/>
        <v>92.013024999999999</v>
      </c>
      <c r="T402" s="3">
        <f t="shared" si="19"/>
        <v>3670.3463583333337</v>
      </c>
      <c r="U402" s="2">
        <f t="shared" si="20"/>
        <v>1221103.9075</v>
      </c>
    </row>
    <row r="403" spans="1:21" ht="13.8" x14ac:dyDescent="0.3">
      <c r="A403" s="6">
        <v>45444</v>
      </c>
      <c r="B403" s="2" t="s">
        <v>797</v>
      </c>
      <c r="C403" s="2" t="s">
        <v>4</v>
      </c>
      <c r="D403" s="2" t="s">
        <v>2</v>
      </c>
      <c r="E403" s="2" t="s">
        <v>1734</v>
      </c>
      <c r="F403" s="2">
        <v>1987</v>
      </c>
      <c r="G403" s="2">
        <f>(12*16.2+10.2*13.9+18.8*10+4.6*4.8+12*15+9.9*12.3+11.2*8.5+12.1*7.3+12.5*14.9+8*8.2)*1.3</f>
        <v>1668.4329999999998</v>
      </c>
      <c r="H403" s="2">
        <v>1900</v>
      </c>
      <c r="J403" s="2">
        <v>2</v>
      </c>
      <c r="K403" s="2">
        <v>3</v>
      </c>
      <c r="L403" s="2">
        <v>2</v>
      </c>
      <c r="M403" s="2">
        <v>10</v>
      </c>
      <c r="N403" s="5" t="s">
        <v>798</v>
      </c>
      <c r="O403" s="12">
        <v>649000</v>
      </c>
      <c r="P403" s="3">
        <f>(388+3309)/12</f>
        <v>308.08333333333331</v>
      </c>
      <c r="R403" s="3">
        <v>3229</v>
      </c>
      <c r="S403" s="12">
        <f t="shared" si="18"/>
        <v>110.32525833333334</v>
      </c>
      <c r="T403" s="3">
        <f t="shared" si="19"/>
        <v>3647.4085916666668</v>
      </c>
      <c r="U403" s="2">
        <f t="shared" si="20"/>
        <v>1214222.5775000001</v>
      </c>
    </row>
    <row r="404" spans="1:21" ht="13.8" x14ac:dyDescent="0.3">
      <c r="A404" s="6">
        <v>45444</v>
      </c>
      <c r="B404" s="2" t="s">
        <v>799</v>
      </c>
      <c r="C404" s="2" t="s">
        <v>4</v>
      </c>
      <c r="D404" s="2" t="s">
        <v>2</v>
      </c>
      <c r="E404" s="2" t="s">
        <v>1734</v>
      </c>
      <c r="F404" s="2">
        <v>1951</v>
      </c>
      <c r="G404" s="2">
        <f>(5.3*3.11+8.9*12.4+15.6*12.4+12.5*12.1+5.2*7.9+12.1*12.9+12.4*12.9+14.9*15.8+6.7*11.9+11.9*11.2+9.1*12.4)*1.3</f>
        <v>1806.9129</v>
      </c>
      <c r="H404" s="2">
        <v>4999</v>
      </c>
      <c r="J404" s="2">
        <v>2</v>
      </c>
      <c r="K404" s="2">
        <v>3</v>
      </c>
      <c r="L404" s="2">
        <v>1</v>
      </c>
      <c r="M404" s="2">
        <v>11</v>
      </c>
      <c r="N404" s="5" t="s">
        <v>800</v>
      </c>
      <c r="O404" s="12">
        <v>649900</v>
      </c>
      <c r="P404" s="3">
        <f>(3610+490)/12</f>
        <v>341.66666666666669</v>
      </c>
      <c r="R404" s="3">
        <v>3234</v>
      </c>
      <c r="S404" s="12">
        <f t="shared" si="18"/>
        <v>118.40325250000001</v>
      </c>
      <c r="T404" s="3">
        <f t="shared" si="19"/>
        <v>3694.0699191666663</v>
      </c>
      <c r="U404" s="2">
        <f t="shared" si="20"/>
        <v>1228220.97575</v>
      </c>
    </row>
    <row r="405" spans="1:21" ht="13.8" x14ac:dyDescent="0.3">
      <c r="A405" s="6">
        <v>45444</v>
      </c>
      <c r="B405" s="2" t="s">
        <v>801</v>
      </c>
      <c r="C405" s="2" t="s">
        <v>4</v>
      </c>
      <c r="D405" s="2" t="s">
        <v>2</v>
      </c>
      <c r="E405" s="2" t="s">
        <v>1734</v>
      </c>
      <c r="F405" s="2">
        <v>1987</v>
      </c>
      <c r="G405" s="2">
        <f>(11.9*17.2+10.9*18.4+7.2*10.2+12*14.4+11*10.9+7.6*12.3+13.9*18.2+6.6*8.6+18.6*11)*1.3</f>
        <v>1792.9599999999998</v>
      </c>
      <c r="H405" s="2">
        <v>2390</v>
      </c>
      <c r="J405" s="2">
        <v>2</v>
      </c>
      <c r="K405" s="2">
        <v>3</v>
      </c>
      <c r="L405" s="2">
        <v>1</v>
      </c>
      <c r="M405" s="2">
        <v>9</v>
      </c>
      <c r="N405" s="5" t="s">
        <v>802</v>
      </c>
      <c r="O405" s="12">
        <v>660000</v>
      </c>
      <c r="P405" s="3">
        <f>3774/12</f>
        <v>314.5</v>
      </c>
      <c r="R405" s="3">
        <v>3296</v>
      </c>
      <c r="S405" s="12">
        <f t="shared" si="18"/>
        <v>117.58933333333334</v>
      </c>
      <c r="T405" s="3">
        <f t="shared" si="19"/>
        <v>3728.0893333333333</v>
      </c>
      <c r="U405" s="2">
        <f t="shared" si="20"/>
        <v>1238426.8</v>
      </c>
    </row>
    <row r="406" spans="1:21" ht="13.8" x14ac:dyDescent="0.3">
      <c r="A406" s="6">
        <v>45444</v>
      </c>
      <c r="B406" s="2" t="s">
        <v>803</v>
      </c>
      <c r="C406" s="2" t="s">
        <v>4</v>
      </c>
      <c r="D406" s="2" t="s">
        <v>2</v>
      </c>
      <c r="E406" s="2" t="s">
        <v>375</v>
      </c>
      <c r="F406" s="2">
        <v>2015</v>
      </c>
      <c r="G406" s="2">
        <v>1118</v>
      </c>
      <c r="H406" s="2">
        <v>1118</v>
      </c>
      <c r="J406" s="2">
        <v>1</v>
      </c>
      <c r="K406" s="2">
        <v>3</v>
      </c>
      <c r="L406" s="2">
        <v>2</v>
      </c>
      <c r="M406" s="2">
        <v>9</v>
      </c>
      <c r="N406" s="5" t="s">
        <v>804</v>
      </c>
      <c r="O406" s="12">
        <v>664500</v>
      </c>
      <c r="P406" s="3">
        <f>(3920+6720)/12</f>
        <v>886.66666666666663</v>
      </c>
      <c r="R406" s="3">
        <v>3324</v>
      </c>
      <c r="S406" s="12">
        <f t="shared" si="18"/>
        <v>78.216666666666669</v>
      </c>
      <c r="T406" s="3">
        <f t="shared" si="19"/>
        <v>4288.8833333333332</v>
      </c>
      <c r="U406" s="2">
        <f t="shared" si="20"/>
        <v>1406665</v>
      </c>
    </row>
    <row r="407" spans="1:21" ht="13.8" x14ac:dyDescent="0.3">
      <c r="A407" s="6">
        <v>45444</v>
      </c>
      <c r="B407" s="2" t="s">
        <v>805</v>
      </c>
      <c r="C407" s="2" t="s">
        <v>4</v>
      </c>
      <c r="D407" s="2" t="s">
        <v>2</v>
      </c>
      <c r="E407" s="2" t="s">
        <v>375</v>
      </c>
      <c r="F407" s="2">
        <v>1999</v>
      </c>
      <c r="G407" s="2">
        <v>1242</v>
      </c>
      <c r="H407" s="2">
        <v>1242</v>
      </c>
      <c r="J407" s="2">
        <v>1</v>
      </c>
      <c r="K407" s="2">
        <v>3</v>
      </c>
      <c r="L407" s="2">
        <v>1</v>
      </c>
      <c r="M407" s="2">
        <v>11</v>
      </c>
      <c r="N407" s="5" t="s">
        <v>806</v>
      </c>
      <c r="O407" s="12">
        <v>669000</v>
      </c>
      <c r="P407" s="3">
        <f>(3612+3614+429)/12</f>
        <v>637.91666666666663</v>
      </c>
      <c r="R407" s="3">
        <v>3351</v>
      </c>
      <c r="S407" s="12">
        <f t="shared" si="18"/>
        <v>85.45</v>
      </c>
      <c r="T407" s="3">
        <f t="shared" si="19"/>
        <v>4074.3666666666663</v>
      </c>
      <c r="U407" s="2">
        <f t="shared" si="20"/>
        <v>1342309.9999999998</v>
      </c>
    </row>
    <row r="408" spans="1:21" ht="13.8" x14ac:dyDescent="0.3">
      <c r="A408" s="6">
        <v>45444</v>
      </c>
      <c r="B408" s="2" t="s">
        <v>807</v>
      </c>
      <c r="C408" s="2" t="s">
        <v>4</v>
      </c>
      <c r="D408" s="2" t="s">
        <v>2</v>
      </c>
      <c r="E408" s="2" t="s">
        <v>1734</v>
      </c>
      <c r="F408" s="2">
        <v>1925</v>
      </c>
      <c r="G408" s="2">
        <v>1500</v>
      </c>
      <c r="H408" s="2">
        <v>500</v>
      </c>
      <c r="J408" s="2">
        <v>2</v>
      </c>
      <c r="K408" s="2">
        <v>3</v>
      </c>
      <c r="L408" s="2">
        <v>2</v>
      </c>
      <c r="M408" s="2">
        <v>12</v>
      </c>
      <c r="N408" s="5" t="s">
        <v>808</v>
      </c>
      <c r="O408" s="12">
        <v>675000</v>
      </c>
      <c r="P408" s="3">
        <f>2281/12</f>
        <v>190.08333333333334</v>
      </c>
      <c r="R408" s="3">
        <v>3387.67</v>
      </c>
      <c r="S408" s="12">
        <f t="shared" si="18"/>
        <v>100.5</v>
      </c>
      <c r="T408" s="3">
        <f t="shared" si="19"/>
        <v>3678.2533333333336</v>
      </c>
      <c r="U408" s="2">
        <f t="shared" si="20"/>
        <v>1223476</v>
      </c>
    </row>
    <row r="409" spans="1:21" ht="13.8" x14ac:dyDescent="0.3">
      <c r="A409" s="6">
        <v>45444</v>
      </c>
      <c r="B409" s="2" t="s">
        <v>809</v>
      </c>
      <c r="C409" s="2" t="s">
        <v>4</v>
      </c>
      <c r="D409" s="2" t="s">
        <v>2</v>
      </c>
      <c r="E409" s="2" t="s">
        <v>1734</v>
      </c>
      <c r="F409" s="2">
        <v>2009</v>
      </c>
      <c r="G409" s="2">
        <f>(5.1*4.5+5.9*5.4+9.4*8.9+12.9*10+23.9*13.1+16.6*11.6+13.4*9.1+10.5*9.5+9*8.5+18.2*11.3+9.9*5+20.1*18.3)*1.3</f>
        <v>2202.59</v>
      </c>
      <c r="H409" s="2">
        <v>1801</v>
      </c>
      <c r="J409" s="2">
        <v>1</v>
      </c>
      <c r="K409" s="2">
        <v>3</v>
      </c>
      <c r="L409" s="2">
        <v>2</v>
      </c>
      <c r="M409" s="2">
        <v>12</v>
      </c>
      <c r="N409" s="5" t="s">
        <v>810</v>
      </c>
      <c r="O409" s="12">
        <v>688000</v>
      </c>
      <c r="P409" s="3">
        <f>4227/12</f>
        <v>352.25</v>
      </c>
      <c r="R409" s="3">
        <v>3467</v>
      </c>
      <c r="S409" s="12">
        <f t="shared" si="18"/>
        <v>141.4844166666667</v>
      </c>
      <c r="T409" s="3">
        <f t="shared" si="19"/>
        <v>3960.7344166666667</v>
      </c>
      <c r="U409" s="2">
        <f t="shared" si="20"/>
        <v>1308220.325</v>
      </c>
    </row>
    <row r="410" spans="1:21" ht="13.8" x14ac:dyDescent="0.3">
      <c r="A410" s="6">
        <v>45444</v>
      </c>
      <c r="B410" s="2" t="s">
        <v>811</v>
      </c>
      <c r="C410" s="2" t="s">
        <v>4</v>
      </c>
      <c r="D410" s="2" t="s">
        <v>2</v>
      </c>
      <c r="E410" s="2" t="s">
        <v>375</v>
      </c>
      <c r="F410" s="2">
        <v>2024</v>
      </c>
      <c r="G410" s="2">
        <v>1083</v>
      </c>
      <c r="H410" s="2">
        <v>1083</v>
      </c>
      <c r="J410" s="2">
        <v>1</v>
      </c>
      <c r="K410" s="2">
        <v>4</v>
      </c>
      <c r="L410" s="2">
        <v>1</v>
      </c>
      <c r="M410" s="2">
        <v>5</v>
      </c>
      <c r="N410" s="5" t="s">
        <v>812</v>
      </c>
      <c r="O410" s="12">
        <v>688710</v>
      </c>
      <c r="P410" s="3">
        <v>600</v>
      </c>
      <c r="Q410" s="2" t="s">
        <v>25</v>
      </c>
      <c r="R410" s="3">
        <v>3471</v>
      </c>
      <c r="S410" s="12">
        <f t="shared" si="18"/>
        <v>76.175000000000011</v>
      </c>
      <c r="T410" s="3">
        <f t="shared" si="19"/>
        <v>4147.1750000000002</v>
      </c>
      <c r="U410" s="2">
        <f t="shared" si="20"/>
        <v>1364152.5000000002</v>
      </c>
    </row>
    <row r="411" spans="1:21" ht="13.8" x14ac:dyDescent="0.3">
      <c r="A411" s="6">
        <v>45444</v>
      </c>
      <c r="B411" s="2" t="s">
        <v>813</v>
      </c>
      <c r="C411" s="2" t="s">
        <v>4</v>
      </c>
      <c r="D411" s="2" t="s">
        <v>2</v>
      </c>
      <c r="E411" s="2" t="s">
        <v>1734</v>
      </c>
      <c r="F411" s="2">
        <v>1969</v>
      </c>
      <c r="G411" s="2">
        <f>(12*14.3+12*11.9+12*9.5+8.8*17.1+16.6*12.4+12*5+16*17.5+11*7.6+11*7+6.1*5.9+7.1*5.1)*1.3</f>
        <v>1764.7760000000003</v>
      </c>
      <c r="H411" s="2">
        <v>3260</v>
      </c>
      <c r="J411" s="2">
        <v>1</v>
      </c>
      <c r="K411" s="2">
        <v>5</v>
      </c>
      <c r="L411" s="2">
        <v>2</v>
      </c>
      <c r="M411" s="2">
        <v>11</v>
      </c>
      <c r="N411" s="5" t="s">
        <v>814</v>
      </c>
      <c r="O411" s="12">
        <v>689000</v>
      </c>
      <c r="P411" s="3">
        <f>(4177+492)/12</f>
        <v>389.08333333333331</v>
      </c>
      <c r="R411" s="3">
        <v>3473</v>
      </c>
      <c r="S411" s="12">
        <f t="shared" si="18"/>
        <v>115.94526666666668</v>
      </c>
      <c r="T411" s="3">
        <f t="shared" si="19"/>
        <v>3978.0286000000001</v>
      </c>
      <c r="U411" s="2">
        <f t="shared" si="20"/>
        <v>1313408.58</v>
      </c>
    </row>
    <row r="412" spans="1:21" ht="13.8" x14ac:dyDescent="0.3">
      <c r="A412" s="6">
        <v>45444</v>
      </c>
      <c r="B412" s="2" t="s">
        <v>815</v>
      </c>
      <c r="C412" s="2" t="s">
        <v>4</v>
      </c>
      <c r="D412" s="2" t="s">
        <v>2</v>
      </c>
      <c r="E412" s="2" t="s">
        <v>1734</v>
      </c>
      <c r="F412" s="2">
        <v>1930</v>
      </c>
      <c r="G412" s="2">
        <f>(19.5*11+11.3*19.1+4.9*7.8+14.3*6.9+26*18.3+4.3*8.6+9.3*2.1+19.3*11.2+9*13.6+10.1*11.8+9.1*16.9+10.7*8.9+12.7*8.9+11*7.9+8.9*6.8+10.9*11.2+14.7*6.8+4.2*6.9)*1.3</f>
        <v>3013.0880000000002</v>
      </c>
      <c r="H412" s="2">
        <v>6157</v>
      </c>
      <c r="J412" s="2">
        <v>2</v>
      </c>
      <c r="K412" s="2">
        <v>4</v>
      </c>
      <c r="L412" s="2">
        <v>2</v>
      </c>
      <c r="M412" s="2">
        <v>12</v>
      </c>
      <c r="N412" s="5" t="s">
        <v>816</v>
      </c>
      <c r="O412" s="12">
        <v>689500</v>
      </c>
      <c r="P412" s="3">
        <f>(3316+412)/12</f>
        <v>310.66666666666669</v>
      </c>
      <c r="R412" s="3">
        <v>3476</v>
      </c>
      <c r="S412" s="12">
        <f t="shared" si="18"/>
        <v>188.76346666666669</v>
      </c>
      <c r="T412" s="3">
        <f t="shared" si="19"/>
        <v>3975.4301333333333</v>
      </c>
      <c r="U412" s="2">
        <f t="shared" si="20"/>
        <v>1312629.04</v>
      </c>
    </row>
    <row r="413" spans="1:21" ht="13.8" x14ac:dyDescent="0.3">
      <c r="A413" s="6">
        <v>45444</v>
      </c>
      <c r="B413" s="2" t="s">
        <v>817</v>
      </c>
      <c r="C413" s="2" t="s">
        <v>4</v>
      </c>
      <c r="D413" s="2" t="s">
        <v>2</v>
      </c>
      <c r="E413" s="2" t="s">
        <v>1734</v>
      </c>
      <c r="F413" s="2">
        <v>1952</v>
      </c>
      <c r="G413" s="2">
        <f>(5.1*4.3+11.9*11.6+11.6*11.5+11*10.9+14.3*11.2+10.9*8.9+11.3*8.3+6.9*4.9+12.5*12+10.2*7.4+7.9*5.3+14.2*11.5)*1.3</f>
        <v>1597.2969999999998</v>
      </c>
      <c r="H413" s="2">
        <v>5106</v>
      </c>
      <c r="J413" s="2">
        <v>2</v>
      </c>
      <c r="K413" s="2">
        <v>3</v>
      </c>
      <c r="L413" s="2">
        <v>1</v>
      </c>
      <c r="M413" s="2">
        <v>7</v>
      </c>
      <c r="N413" s="5" t="s">
        <v>818</v>
      </c>
      <c r="O413" s="12">
        <v>699000</v>
      </c>
      <c r="P413" s="3">
        <f>4387/12</f>
        <v>365.58333333333331</v>
      </c>
      <c r="R413" s="3">
        <v>3534</v>
      </c>
      <c r="S413" s="12">
        <f t="shared" si="18"/>
        <v>106.17565833333333</v>
      </c>
      <c r="T413" s="3">
        <f t="shared" si="19"/>
        <v>4005.7589916666666</v>
      </c>
      <c r="U413" s="2">
        <f t="shared" si="20"/>
        <v>1321727.6975</v>
      </c>
    </row>
    <row r="414" spans="1:21" ht="13.8" x14ac:dyDescent="0.3">
      <c r="A414" s="6">
        <v>45444</v>
      </c>
      <c r="B414" s="2" t="s">
        <v>819</v>
      </c>
      <c r="C414" s="2" t="s">
        <v>4</v>
      </c>
      <c r="D414" s="2" t="s">
        <v>2</v>
      </c>
      <c r="E414" s="2" t="s">
        <v>375</v>
      </c>
      <c r="F414" s="2">
        <v>2005</v>
      </c>
      <c r="G414" s="2">
        <v>2087</v>
      </c>
      <c r="H414" s="2">
        <v>2087</v>
      </c>
      <c r="J414" s="2">
        <v>2</v>
      </c>
      <c r="K414" s="2">
        <v>4</v>
      </c>
      <c r="L414" s="2">
        <v>1</v>
      </c>
      <c r="M414" s="2">
        <v>10</v>
      </c>
      <c r="N414" s="5" t="s">
        <v>1714</v>
      </c>
      <c r="O414" s="12">
        <v>699000</v>
      </c>
      <c r="P414" s="3">
        <f>(2280+3567+420)/12</f>
        <v>522.25</v>
      </c>
      <c r="R414" s="3">
        <v>3534</v>
      </c>
      <c r="S414" s="12">
        <f t="shared" si="18"/>
        <v>134.74166666666667</v>
      </c>
      <c r="T414" s="3">
        <f t="shared" si="19"/>
        <v>4190.9916666666668</v>
      </c>
      <c r="U414" s="2">
        <f t="shared" si="20"/>
        <v>1377297.5</v>
      </c>
    </row>
    <row r="415" spans="1:21" ht="13.8" x14ac:dyDescent="0.3">
      <c r="A415" s="6">
        <v>45444</v>
      </c>
      <c r="B415" s="2" t="s">
        <v>820</v>
      </c>
      <c r="C415" s="2" t="s">
        <v>4</v>
      </c>
      <c r="D415" s="2" t="s">
        <v>2</v>
      </c>
      <c r="E415" s="2" t="s">
        <v>1734</v>
      </c>
      <c r="F415" s="2">
        <v>1947</v>
      </c>
      <c r="G415" s="2">
        <f>(3.8*4.1+11.5*18.2+14.9*9.1+11.4*13.1+2.9*4.9+7.9*11.1+11.4*17.4+6.3*4.9+7.6*4.8+25.8*21.9+4.5*5.9)</f>
        <v>1468.99</v>
      </c>
      <c r="H415" s="2">
        <v>5000</v>
      </c>
      <c r="J415" s="2">
        <v>2</v>
      </c>
      <c r="K415" s="2">
        <v>3</v>
      </c>
      <c r="L415" s="2">
        <v>1</v>
      </c>
      <c r="M415" s="2">
        <v>12</v>
      </c>
      <c r="N415" s="5" t="s">
        <v>821</v>
      </c>
      <c r="O415" s="12">
        <v>699000</v>
      </c>
      <c r="P415" s="3">
        <f>(3844+473)/12</f>
        <v>359.75</v>
      </c>
      <c r="R415" s="3">
        <v>3534</v>
      </c>
      <c r="S415" s="12">
        <f t="shared" si="18"/>
        <v>98.691083333333339</v>
      </c>
      <c r="T415" s="3">
        <f t="shared" si="19"/>
        <v>3992.4410833333332</v>
      </c>
      <c r="U415" s="2">
        <f t="shared" si="20"/>
        <v>1317732.325</v>
      </c>
    </row>
    <row r="416" spans="1:21" ht="13.8" x14ac:dyDescent="0.3">
      <c r="A416" s="6">
        <v>45444</v>
      </c>
      <c r="B416" s="2" t="s">
        <v>822</v>
      </c>
      <c r="C416" s="2" t="s">
        <v>4</v>
      </c>
      <c r="D416" s="2" t="s">
        <v>2</v>
      </c>
      <c r="E416" s="2" t="s">
        <v>1734</v>
      </c>
      <c r="F416" s="2">
        <v>1952</v>
      </c>
      <c r="G416" s="2">
        <f>(12.4*17.1+10.3*10.9+11.5*11.2+3.4*4.1+10.9*14.3+10.9*8.2+8.6*10.9+4.9*6.9+12.8*22.2+9.3*7.9)*1.3</f>
        <v>1556.7240000000004</v>
      </c>
      <c r="H416" s="2">
        <v>4750</v>
      </c>
      <c r="J416" s="2">
        <v>2</v>
      </c>
      <c r="K416" s="2">
        <v>3</v>
      </c>
      <c r="L416" s="2">
        <v>2</v>
      </c>
      <c r="M416" s="2">
        <v>10</v>
      </c>
      <c r="N416" s="5" t="s">
        <v>823</v>
      </c>
      <c r="O416" s="12">
        <v>750000</v>
      </c>
      <c r="P416" s="3">
        <f>(2652+324)/12</f>
        <v>248</v>
      </c>
      <c r="R416" s="3">
        <v>3845</v>
      </c>
      <c r="S416" s="12">
        <f t="shared" si="18"/>
        <v>103.80890000000004</v>
      </c>
      <c r="T416" s="3">
        <f t="shared" si="19"/>
        <v>4196.8089</v>
      </c>
      <c r="U416" s="2">
        <f t="shared" si="20"/>
        <v>1379042.67</v>
      </c>
    </row>
    <row r="417" spans="1:21" ht="13.8" x14ac:dyDescent="0.3">
      <c r="A417" s="6">
        <v>45444</v>
      </c>
      <c r="B417" s="2" t="s">
        <v>824</v>
      </c>
      <c r="C417" s="2" t="s">
        <v>4</v>
      </c>
      <c r="D417" s="2" t="s">
        <v>2</v>
      </c>
      <c r="E417" s="2" t="s">
        <v>375</v>
      </c>
      <c r="F417" s="2">
        <v>2005</v>
      </c>
      <c r="G417" s="2">
        <v>2377</v>
      </c>
      <c r="H417" s="2">
        <v>2377</v>
      </c>
      <c r="J417" s="2">
        <v>1</v>
      </c>
      <c r="K417" s="2">
        <v>3</v>
      </c>
      <c r="L417" s="2">
        <v>1</v>
      </c>
      <c r="M417" s="2">
        <v>11</v>
      </c>
      <c r="N417" s="5" t="s">
        <v>825</v>
      </c>
      <c r="O417" s="12">
        <v>779000</v>
      </c>
      <c r="P417" s="3">
        <v>600</v>
      </c>
      <c r="Q417" s="2" t="s">
        <v>25</v>
      </c>
      <c r="R417" s="3">
        <v>4022</v>
      </c>
      <c r="S417" s="12">
        <f t="shared" si="18"/>
        <v>151.65833333333333</v>
      </c>
      <c r="T417" s="3">
        <f t="shared" si="19"/>
        <v>4773.6583333333338</v>
      </c>
      <c r="U417" s="2">
        <f t="shared" si="20"/>
        <v>1552097.5000000002</v>
      </c>
    </row>
    <row r="418" spans="1:21" ht="13.8" x14ac:dyDescent="0.3">
      <c r="A418" s="6">
        <v>45444</v>
      </c>
      <c r="B418" s="2" t="s">
        <v>826</v>
      </c>
      <c r="C418" s="2" t="s">
        <v>4</v>
      </c>
      <c r="D418" s="2" t="s">
        <v>2</v>
      </c>
      <c r="E418" s="2" t="s">
        <v>1734</v>
      </c>
      <c r="F418" s="2">
        <v>1959</v>
      </c>
      <c r="G418" s="2">
        <f>(1.4*1.52+5.08*4.09+4.27*2.9+2.9*3.66+3.35+4.27+3.53*3.35+4.57*3.45+1.78*2.29+3.25*3.17+3.17*3.56+7.75*3.78+1.37*2.82+1.7*1.35+3.53*3.05+2.13*4.27)*3.28^2*1.3</f>
        <v>2267.021129152</v>
      </c>
      <c r="H418" s="2">
        <v>5100</v>
      </c>
      <c r="J418" s="2">
        <v>2</v>
      </c>
      <c r="K418" s="2">
        <v>5</v>
      </c>
      <c r="L418" s="2">
        <v>2</v>
      </c>
      <c r="M418" s="2">
        <v>15</v>
      </c>
      <c r="N418" s="5" t="s">
        <v>827</v>
      </c>
      <c r="O418" s="12">
        <v>779900</v>
      </c>
      <c r="P418" s="2">
        <f>4897/12</f>
        <v>408.08333333333331</v>
      </c>
      <c r="R418" s="3">
        <v>4028</v>
      </c>
      <c r="S418" s="12">
        <f t="shared" si="18"/>
        <v>145.24289920053334</v>
      </c>
      <c r="T418" s="3">
        <f t="shared" si="19"/>
        <v>4581.3262325338665</v>
      </c>
      <c r="U418" s="2">
        <f t="shared" si="20"/>
        <v>1494397.8697601601</v>
      </c>
    </row>
    <row r="419" spans="1:21" ht="13.8" x14ac:dyDescent="0.3">
      <c r="A419" s="6">
        <v>45444</v>
      </c>
      <c r="B419" s="2" t="s">
        <v>828</v>
      </c>
      <c r="C419" s="2" t="s">
        <v>4</v>
      </c>
      <c r="D419" s="2" t="s">
        <v>2</v>
      </c>
      <c r="E419" s="2" t="s">
        <v>1734</v>
      </c>
      <c r="F419" s="2">
        <v>1952</v>
      </c>
      <c r="G419" s="2">
        <f>(15.2*12.4+11.1*13.7+11.1*15.1+8.3*8.9+11.7*11.2+7.6*18.7+11.3*5.2+14.9*10.1+11*22+15.7*19.5+13.6*18)*1.3</f>
        <v>2414.6070000000004</v>
      </c>
      <c r="H419" s="2">
        <v>4500</v>
      </c>
      <c r="J419" s="2">
        <v>2</v>
      </c>
      <c r="K419" s="2">
        <v>4</v>
      </c>
      <c r="L419" s="2">
        <v>2</v>
      </c>
      <c r="M419" s="2">
        <v>12</v>
      </c>
      <c r="N419" s="5" t="s">
        <v>829</v>
      </c>
      <c r="O419" s="12">
        <v>795000</v>
      </c>
      <c r="P419" s="3">
        <f>4475/12</f>
        <v>372.91666666666669</v>
      </c>
      <c r="R419" s="3">
        <v>4120.1400000000003</v>
      </c>
      <c r="S419" s="12">
        <f t="shared" si="18"/>
        <v>153.85207500000004</v>
      </c>
      <c r="T419" s="3">
        <f t="shared" si="19"/>
        <v>4646.9087416666671</v>
      </c>
      <c r="U419" s="2">
        <f t="shared" si="20"/>
        <v>1514072.6225000003</v>
      </c>
    </row>
    <row r="420" spans="1:21" ht="13.8" x14ac:dyDescent="0.3">
      <c r="A420" s="6">
        <v>45444</v>
      </c>
      <c r="B420" s="2" t="s">
        <v>830</v>
      </c>
      <c r="C420" s="2" t="s">
        <v>4</v>
      </c>
      <c r="D420" s="2" t="s">
        <v>2</v>
      </c>
      <c r="E420" s="2" t="s">
        <v>1734</v>
      </c>
      <c r="F420" s="2">
        <v>2019</v>
      </c>
      <c r="G420" s="2">
        <f>(4.8*4.2+13.8*12.4+12.2*10.8+18.8*10.2+8*3.6+11.6*11.2+8.8*7.6+8.6*8.2+11*9.8+11.2*8.8+16.2*11.8+18.8*8.8+5.8*4.8)*1.3</f>
        <v>1822.2359999999999</v>
      </c>
      <c r="H420" s="2">
        <v>2695</v>
      </c>
      <c r="J420" s="2">
        <v>2</v>
      </c>
      <c r="K420" s="2">
        <v>4</v>
      </c>
      <c r="L420" s="2">
        <v>2</v>
      </c>
      <c r="M420" s="2">
        <v>9</v>
      </c>
      <c r="N420" s="5" t="s">
        <v>831</v>
      </c>
      <c r="O420" s="12">
        <v>800000</v>
      </c>
      <c r="P420" s="3">
        <f>7783/12</f>
        <v>648.58333333333337</v>
      </c>
      <c r="R420" s="3">
        <v>4151</v>
      </c>
      <c r="S420" s="12">
        <f t="shared" si="18"/>
        <v>119.29710000000001</v>
      </c>
      <c r="T420" s="3">
        <f t="shared" si="19"/>
        <v>4918.8804333333328</v>
      </c>
      <c r="U420" s="2">
        <f t="shared" si="20"/>
        <v>1595664.13</v>
      </c>
    </row>
    <row r="421" spans="1:21" ht="13.8" x14ac:dyDescent="0.3">
      <c r="A421" s="6">
        <v>45444</v>
      </c>
      <c r="B421" s="2" t="s">
        <v>832</v>
      </c>
      <c r="C421" s="2" t="s">
        <v>4</v>
      </c>
      <c r="D421" s="2" t="s">
        <v>2</v>
      </c>
      <c r="E421" s="2" t="s">
        <v>375</v>
      </c>
      <c r="F421" s="2">
        <v>1938</v>
      </c>
      <c r="G421" s="2">
        <v>1634</v>
      </c>
      <c r="H421" s="2">
        <v>1634</v>
      </c>
      <c r="J421" s="2">
        <v>2</v>
      </c>
      <c r="K421" s="2">
        <v>2</v>
      </c>
      <c r="L421" s="2">
        <v>2</v>
      </c>
      <c r="M421" s="2">
        <v>10</v>
      </c>
      <c r="N421" s="5" t="s">
        <v>833</v>
      </c>
      <c r="O421" s="12">
        <v>819000</v>
      </c>
      <c r="P421" s="3">
        <f>(5187+7100)/12</f>
        <v>1023.9166666666666</v>
      </c>
      <c r="R421" s="3">
        <v>4267</v>
      </c>
      <c r="S421" s="12">
        <f t="shared" si="18"/>
        <v>108.31666666666668</v>
      </c>
      <c r="T421" s="3">
        <f t="shared" si="19"/>
        <v>5399.2333333333336</v>
      </c>
      <c r="U421" s="2">
        <f t="shared" si="20"/>
        <v>1739770</v>
      </c>
    </row>
    <row r="422" spans="1:21" ht="13.8" x14ac:dyDescent="0.3">
      <c r="A422" s="6">
        <v>45444</v>
      </c>
      <c r="B422" s="2" t="s">
        <v>834</v>
      </c>
      <c r="C422" s="2" t="s">
        <v>4</v>
      </c>
      <c r="D422" s="2" t="s">
        <v>2</v>
      </c>
      <c r="E422" s="2" t="s">
        <v>1734</v>
      </c>
      <c r="F422" s="2">
        <v>1990</v>
      </c>
      <c r="G422" s="2">
        <f>(19.5*14.9+26.7*27.1+28*12+26.7*27.1+13*12+14.4*13+8.7*10.3+6.4*10.8+16.5*13.3+10.9*20.2+14.9*9.9+6.5*9.9)*1.1</f>
        <v>3549.8209999999999</v>
      </c>
      <c r="H422" s="2">
        <v>2325</v>
      </c>
      <c r="J422" s="2">
        <v>2</v>
      </c>
      <c r="K422" s="2">
        <v>2</v>
      </c>
      <c r="L422" s="2">
        <v>1</v>
      </c>
      <c r="M422" s="2">
        <v>12</v>
      </c>
      <c r="N422" s="5" t="s">
        <v>835</v>
      </c>
      <c r="O422" s="12">
        <v>829000</v>
      </c>
      <c r="P422" s="3">
        <v>500</v>
      </c>
      <c r="Q422" s="2" t="s">
        <v>25</v>
      </c>
      <c r="R422" s="3">
        <v>4327.68</v>
      </c>
      <c r="S422" s="12">
        <f t="shared" si="18"/>
        <v>220.07289166666669</v>
      </c>
      <c r="T422" s="3">
        <f t="shared" si="19"/>
        <v>5047.752891666667</v>
      </c>
      <c r="U422" s="2">
        <f t="shared" si="20"/>
        <v>1634325.8675000002</v>
      </c>
    </row>
    <row r="423" spans="1:21" ht="13.8" x14ac:dyDescent="0.3">
      <c r="A423" s="6">
        <v>45444</v>
      </c>
      <c r="B423" s="2" t="s">
        <v>836</v>
      </c>
      <c r="C423" s="2" t="s">
        <v>4</v>
      </c>
      <c r="D423" s="2" t="s">
        <v>2</v>
      </c>
      <c r="E423" s="2" t="s">
        <v>1734</v>
      </c>
      <c r="F423" s="2">
        <v>2008</v>
      </c>
      <c r="G423" s="2">
        <f>(8.8*6.4+22.7*12.9+12.9*9+12.1*10.4+5.8*5.6+16.1*11.3+14.3*9.8+10.6*9.2+9.9*8.2+22.5*13.1+13*11.9+9.7*6.9+10.1*8.7)*1.3</f>
        <v>2247.1670000000004</v>
      </c>
      <c r="H423" s="2">
        <v>5791</v>
      </c>
      <c r="J423" s="2">
        <v>2</v>
      </c>
      <c r="K423" s="2">
        <v>5</v>
      </c>
      <c r="L423" s="2">
        <v>2</v>
      </c>
      <c r="M423" s="2">
        <v>13</v>
      </c>
      <c r="N423" s="5" t="s">
        <v>837</v>
      </c>
      <c r="O423" s="12">
        <v>829000</v>
      </c>
      <c r="P423" s="3">
        <f>4699/12</f>
        <v>391.58333333333331</v>
      </c>
      <c r="R423" s="3">
        <v>4328</v>
      </c>
      <c r="S423" s="12">
        <f t="shared" si="18"/>
        <v>144.0847416666667</v>
      </c>
      <c r="T423" s="3">
        <f t="shared" si="19"/>
        <v>4863.6680749999996</v>
      </c>
      <c r="U423" s="2">
        <f t="shared" si="20"/>
        <v>1579100.4224999999</v>
      </c>
    </row>
    <row r="424" spans="1:21" ht="13.8" x14ac:dyDescent="0.3">
      <c r="A424" s="6">
        <v>45444</v>
      </c>
      <c r="B424" s="2" t="s">
        <v>838</v>
      </c>
      <c r="C424" s="2" t="s">
        <v>4</v>
      </c>
      <c r="D424" s="2" t="s">
        <v>2</v>
      </c>
      <c r="E424" s="2" t="s">
        <v>1734</v>
      </c>
      <c r="F424" s="2">
        <v>1952</v>
      </c>
      <c r="G424" s="2">
        <f>(20*12+11*12+11*11+16*18+13*10.7+15*13+11.7*9+10.6*8.6+13*15+11*12+7*6+5*6)*1.3</f>
        <v>2223.7280000000001</v>
      </c>
      <c r="H424" s="2">
        <v>5000</v>
      </c>
      <c r="J424" s="2">
        <v>2</v>
      </c>
      <c r="K424" s="2">
        <v>5</v>
      </c>
      <c r="L424" s="2">
        <v>2</v>
      </c>
      <c r="M424" s="2">
        <v>12</v>
      </c>
      <c r="N424" s="5" t="s">
        <v>839</v>
      </c>
      <c r="O424" s="12">
        <v>834000</v>
      </c>
      <c r="P424" s="3">
        <f>4601/12</f>
        <v>383.41666666666669</v>
      </c>
      <c r="R424" s="3">
        <v>4358</v>
      </c>
      <c r="S424" s="12">
        <f t="shared" si="18"/>
        <v>142.71746666666667</v>
      </c>
      <c r="T424" s="3">
        <f t="shared" si="19"/>
        <v>4884.1341333333339</v>
      </c>
      <c r="U424" s="2">
        <f t="shared" si="20"/>
        <v>1585240.2400000002</v>
      </c>
    </row>
    <row r="425" spans="1:21" ht="13.8" x14ac:dyDescent="0.3">
      <c r="A425" s="6">
        <v>45444</v>
      </c>
      <c r="B425" s="2" t="s">
        <v>840</v>
      </c>
      <c r="C425" s="2" t="s">
        <v>4</v>
      </c>
      <c r="D425" s="2" t="s">
        <v>2</v>
      </c>
      <c r="E425" s="2" t="s">
        <v>1734</v>
      </c>
      <c r="F425" s="2">
        <v>1963</v>
      </c>
      <c r="G425" s="2">
        <f>2210*1.3</f>
        <v>2873</v>
      </c>
      <c r="H425" s="2">
        <v>3485</v>
      </c>
      <c r="I425" s="2" t="s">
        <v>25</v>
      </c>
      <c r="J425" s="2">
        <v>2</v>
      </c>
      <c r="K425" s="2">
        <v>4</v>
      </c>
      <c r="L425" s="2">
        <v>2</v>
      </c>
      <c r="M425" s="2">
        <v>12</v>
      </c>
      <c r="N425" s="5" t="s">
        <v>841</v>
      </c>
      <c r="O425" s="12">
        <v>849000</v>
      </c>
      <c r="P425" s="3">
        <f>(3914+458)/12</f>
        <v>364.33333333333331</v>
      </c>
      <c r="R425" s="3">
        <v>4449.75</v>
      </c>
      <c r="S425" s="12">
        <f t="shared" si="18"/>
        <v>180.59166666666667</v>
      </c>
      <c r="T425" s="3">
        <f t="shared" si="19"/>
        <v>4994.6749999999993</v>
      </c>
      <c r="U425" s="2">
        <f t="shared" si="20"/>
        <v>1618402.4999999998</v>
      </c>
    </row>
    <row r="426" spans="1:21" ht="13.8" x14ac:dyDescent="0.3">
      <c r="A426" s="6">
        <v>45444</v>
      </c>
      <c r="B426" s="2" t="s">
        <v>842</v>
      </c>
      <c r="C426" s="2" t="s">
        <v>4</v>
      </c>
      <c r="D426" s="2" t="s">
        <v>2</v>
      </c>
      <c r="E426" s="2" t="s">
        <v>1734</v>
      </c>
      <c r="F426" s="2">
        <v>1986</v>
      </c>
      <c r="G426" s="2">
        <f>(6.5*3.9+11.4*9.8+14.9*10+11.1*11.4+5.5*10.9+11.5*14.5+8.9*9.2+9.1*9.2+6.4*10.9+17.9*9.9)*1.3</f>
        <v>1367.4440000000002</v>
      </c>
      <c r="H426" s="2">
        <v>2700</v>
      </c>
      <c r="J426" s="2">
        <v>2</v>
      </c>
      <c r="K426" s="2">
        <v>3</v>
      </c>
      <c r="L426" s="2">
        <v>1</v>
      </c>
      <c r="M426" s="2">
        <v>10</v>
      </c>
      <c r="N426" s="5" t="s">
        <v>843</v>
      </c>
      <c r="O426" s="12">
        <v>849900</v>
      </c>
      <c r="P426" s="3">
        <f>4110/12</f>
        <v>342.5</v>
      </c>
      <c r="R426" s="3">
        <v>4455</v>
      </c>
      <c r="S426" s="12">
        <f t="shared" si="18"/>
        <v>92.767566666666696</v>
      </c>
      <c r="T426" s="3">
        <f t="shared" si="19"/>
        <v>4890.2675666666664</v>
      </c>
      <c r="U426" s="2">
        <f t="shared" si="20"/>
        <v>1587080.27</v>
      </c>
    </row>
    <row r="427" spans="1:21" ht="13.8" x14ac:dyDescent="0.3">
      <c r="A427" s="6">
        <v>45444</v>
      </c>
      <c r="B427" s="2" t="s">
        <v>844</v>
      </c>
      <c r="C427" s="2" t="s">
        <v>4</v>
      </c>
      <c r="D427" s="2" t="s">
        <v>2</v>
      </c>
      <c r="E427" s="2" t="s">
        <v>1734</v>
      </c>
      <c r="F427" s="2">
        <v>1890</v>
      </c>
      <c r="G427" s="7">
        <f>(16*4.9+3*7+10*12+11*7+5*10+10*14+13*7+10*10+10*4+10*6+10*8+10*11+11*10+10*8+18*13+5*6+5*7+6*4+10*8+8*4)*1.3</f>
        <v>2070.1200000000003</v>
      </c>
      <c r="H427" s="2">
        <v>4260</v>
      </c>
      <c r="I427" s="2" t="s">
        <v>25</v>
      </c>
      <c r="J427" s="2">
        <v>2</v>
      </c>
      <c r="K427" s="2">
        <v>2</v>
      </c>
      <c r="L427" s="2">
        <v>1</v>
      </c>
      <c r="M427" s="2">
        <v>10</v>
      </c>
      <c r="N427" s="5" t="s">
        <v>845</v>
      </c>
      <c r="O427" s="12">
        <v>849988</v>
      </c>
      <c r="P427" s="3">
        <f>(3595+381)/12</f>
        <v>331.33333333333331</v>
      </c>
      <c r="R427" s="3">
        <v>4455.78</v>
      </c>
      <c r="S427" s="12">
        <f t="shared" si="18"/>
        <v>133.75700000000006</v>
      </c>
      <c r="T427" s="3">
        <f t="shared" si="19"/>
        <v>4920.8703333333324</v>
      </c>
      <c r="U427" s="2">
        <f t="shared" si="20"/>
        <v>1596261.0999999996</v>
      </c>
    </row>
    <row r="428" spans="1:21" ht="13.8" x14ac:dyDescent="0.3">
      <c r="A428" s="6">
        <v>45444</v>
      </c>
      <c r="B428" s="2" t="s">
        <v>900</v>
      </c>
      <c r="C428" s="2" t="s">
        <v>4</v>
      </c>
      <c r="D428" s="2" t="s">
        <v>9</v>
      </c>
      <c r="E428" s="2" t="s">
        <v>375</v>
      </c>
      <c r="F428" s="2">
        <v>1978</v>
      </c>
      <c r="G428" s="2">
        <v>1023</v>
      </c>
      <c r="H428" s="2">
        <v>1023</v>
      </c>
      <c r="J428" s="2">
        <v>1</v>
      </c>
      <c r="K428" s="2">
        <v>1</v>
      </c>
      <c r="L428" s="2">
        <v>1</v>
      </c>
      <c r="M428" s="2">
        <v>5</v>
      </c>
      <c r="N428" s="5" t="s">
        <v>846</v>
      </c>
      <c r="O428" s="12">
        <v>609000</v>
      </c>
      <c r="P428" s="3">
        <f>(9372+3132+366)/12</f>
        <v>1072.5</v>
      </c>
      <c r="R428" s="3">
        <v>2985</v>
      </c>
      <c r="S428" s="12">
        <f t="shared" si="18"/>
        <v>72.675000000000011</v>
      </c>
      <c r="T428" s="3">
        <f t="shared" si="19"/>
        <v>4130.1750000000002</v>
      </c>
      <c r="U428" s="2">
        <f t="shared" si="20"/>
        <v>1359052.5000000002</v>
      </c>
    </row>
    <row r="429" spans="1:21" ht="13.8" x14ac:dyDescent="0.3">
      <c r="A429" s="6">
        <v>45444</v>
      </c>
      <c r="B429" s="2" t="s">
        <v>901</v>
      </c>
      <c r="C429" s="2" t="s">
        <v>4</v>
      </c>
      <c r="D429" s="2" t="s">
        <v>9</v>
      </c>
      <c r="E429" s="2" t="s">
        <v>375</v>
      </c>
      <c r="F429" s="2">
        <v>2011</v>
      </c>
      <c r="G429" s="2">
        <v>975</v>
      </c>
      <c r="H429" s="2">
        <v>975</v>
      </c>
      <c r="J429" s="2">
        <v>1</v>
      </c>
      <c r="K429" s="2">
        <v>2</v>
      </c>
      <c r="L429" s="2">
        <v>2</v>
      </c>
      <c r="M429" s="2">
        <v>7</v>
      </c>
      <c r="N429" s="5" t="s">
        <v>847</v>
      </c>
      <c r="O429" s="12">
        <v>615000</v>
      </c>
      <c r="P429" s="3">
        <v>1000</v>
      </c>
      <c r="Q429" s="2" t="s">
        <v>25</v>
      </c>
      <c r="R429" s="3">
        <v>3021</v>
      </c>
      <c r="S429" s="12">
        <f t="shared" si="18"/>
        <v>69.875</v>
      </c>
      <c r="T429" s="3">
        <f t="shared" si="19"/>
        <v>4090.875</v>
      </c>
      <c r="U429" s="2">
        <f t="shared" si="20"/>
        <v>1347262.5</v>
      </c>
    </row>
    <row r="430" spans="1:21" ht="13.8" x14ac:dyDescent="0.3">
      <c r="A430" s="6">
        <v>45444</v>
      </c>
      <c r="B430" s="2" t="s">
        <v>902</v>
      </c>
      <c r="C430" s="2" t="s">
        <v>4</v>
      </c>
      <c r="D430" s="2" t="s">
        <v>9</v>
      </c>
      <c r="E430" s="2" t="s">
        <v>375</v>
      </c>
      <c r="F430" s="2">
        <v>2014</v>
      </c>
      <c r="G430" s="2">
        <v>739</v>
      </c>
      <c r="H430" s="2">
        <v>739</v>
      </c>
      <c r="J430" s="2">
        <v>1</v>
      </c>
      <c r="K430" s="2">
        <v>2</v>
      </c>
      <c r="L430" s="2">
        <v>1</v>
      </c>
      <c r="M430" s="2">
        <v>5</v>
      </c>
      <c r="N430" s="5" t="s">
        <v>848</v>
      </c>
      <c r="O430" s="12">
        <v>619000</v>
      </c>
      <c r="P430" s="3">
        <f>(6612+3917+476)/12</f>
        <v>917.08333333333337</v>
      </c>
      <c r="R430" s="3">
        <v>3046</v>
      </c>
      <c r="S430" s="12">
        <f t="shared" si="18"/>
        <v>56.108333333333341</v>
      </c>
      <c r="T430" s="3">
        <f t="shared" si="19"/>
        <v>4019.1916666666666</v>
      </c>
      <c r="U430" s="2">
        <f t="shared" si="20"/>
        <v>1325757.5</v>
      </c>
    </row>
    <row r="431" spans="1:21" ht="13.8" x14ac:dyDescent="0.3">
      <c r="A431" s="6">
        <v>45444</v>
      </c>
      <c r="B431" s="2" t="s">
        <v>903</v>
      </c>
      <c r="C431" s="2" t="s">
        <v>4</v>
      </c>
      <c r="D431" s="2" t="s">
        <v>9</v>
      </c>
      <c r="E431" s="2" t="s">
        <v>375</v>
      </c>
      <c r="F431" s="2">
        <v>1994</v>
      </c>
      <c r="G431" s="2">
        <v>1024</v>
      </c>
      <c r="H431" s="2">
        <v>1024</v>
      </c>
      <c r="J431" s="2">
        <v>1</v>
      </c>
      <c r="K431" s="2">
        <v>1</v>
      </c>
      <c r="L431" s="2">
        <v>1</v>
      </c>
      <c r="M431" s="2">
        <v>5</v>
      </c>
      <c r="N431" s="5" t="s">
        <v>849</v>
      </c>
      <c r="O431" s="12">
        <v>619000</v>
      </c>
      <c r="P431" s="3">
        <f>(7656+2840+331)/12</f>
        <v>902.25</v>
      </c>
      <c r="R431" s="3">
        <v>3046</v>
      </c>
      <c r="S431" s="12">
        <f t="shared" si="18"/>
        <v>72.733333333333348</v>
      </c>
      <c r="T431" s="3">
        <f t="shared" si="19"/>
        <v>4020.9833333333336</v>
      </c>
      <c r="U431" s="2">
        <f t="shared" si="20"/>
        <v>1326295</v>
      </c>
    </row>
    <row r="432" spans="1:21" ht="13.8" x14ac:dyDescent="0.3">
      <c r="A432" s="6">
        <v>45444</v>
      </c>
      <c r="B432" s="2" t="s">
        <v>904</v>
      </c>
      <c r="C432" s="2" t="s">
        <v>4</v>
      </c>
      <c r="D432" s="2" t="s">
        <v>9</v>
      </c>
      <c r="E432" s="2" t="s">
        <v>375</v>
      </c>
      <c r="F432" s="2">
        <v>1977</v>
      </c>
      <c r="G432" s="2">
        <v>1212</v>
      </c>
      <c r="H432" s="2">
        <v>1212</v>
      </c>
      <c r="J432" s="2">
        <v>1</v>
      </c>
      <c r="K432" s="2">
        <v>2</v>
      </c>
      <c r="L432" s="2">
        <v>2</v>
      </c>
      <c r="M432" s="2">
        <v>6</v>
      </c>
      <c r="N432" s="5" t="s">
        <v>850</v>
      </c>
      <c r="O432" s="12">
        <v>623000</v>
      </c>
      <c r="P432" s="3">
        <v>1000</v>
      </c>
      <c r="Q432" s="2" t="s">
        <v>25</v>
      </c>
      <c r="R432" s="3">
        <v>3070</v>
      </c>
      <c r="S432" s="12">
        <f t="shared" si="18"/>
        <v>83.7</v>
      </c>
      <c r="T432" s="3">
        <f t="shared" si="19"/>
        <v>4153.7</v>
      </c>
      <c r="U432" s="2">
        <f t="shared" si="20"/>
        <v>1366109.9999999998</v>
      </c>
    </row>
    <row r="433" spans="1:21" ht="13.8" x14ac:dyDescent="0.3">
      <c r="A433" s="6">
        <v>45444</v>
      </c>
      <c r="B433" s="2" t="s">
        <v>905</v>
      </c>
      <c r="C433" s="2" t="s">
        <v>4</v>
      </c>
      <c r="D433" s="2" t="s">
        <v>9</v>
      </c>
      <c r="E433" s="2" t="s">
        <v>375</v>
      </c>
      <c r="F433" s="2">
        <v>2004</v>
      </c>
      <c r="G433" s="2">
        <v>900</v>
      </c>
      <c r="H433" s="2">
        <v>900</v>
      </c>
      <c r="J433" s="2">
        <v>1</v>
      </c>
      <c r="K433" s="2">
        <v>2</v>
      </c>
      <c r="L433" s="2">
        <v>2</v>
      </c>
      <c r="M433" s="2">
        <v>10</v>
      </c>
      <c r="N433" s="5" t="s">
        <v>851</v>
      </c>
      <c r="O433" s="12">
        <v>624999</v>
      </c>
      <c r="P433" s="3">
        <f>(7548+3258+391)/12</f>
        <v>933.08333333333337</v>
      </c>
      <c r="R433" s="3">
        <v>3082</v>
      </c>
      <c r="S433" s="12">
        <f t="shared" si="18"/>
        <v>65.5</v>
      </c>
      <c r="T433" s="3">
        <f t="shared" si="19"/>
        <v>4080.5833333333335</v>
      </c>
      <c r="U433" s="2">
        <f t="shared" si="20"/>
        <v>1344175</v>
      </c>
    </row>
    <row r="434" spans="1:21" ht="13.8" x14ac:dyDescent="0.3">
      <c r="A434" s="6">
        <v>45444</v>
      </c>
      <c r="B434" s="2" t="s">
        <v>906</v>
      </c>
      <c r="C434" s="2" t="s">
        <v>4</v>
      </c>
      <c r="D434" s="2" t="s">
        <v>9</v>
      </c>
      <c r="E434" s="2" t="s">
        <v>375</v>
      </c>
      <c r="F434" s="2">
        <v>1978</v>
      </c>
      <c r="G434" s="2">
        <v>1414</v>
      </c>
      <c r="H434" s="2">
        <v>1414</v>
      </c>
      <c r="J434" s="2">
        <v>1</v>
      </c>
      <c r="K434" s="2">
        <v>2</v>
      </c>
      <c r="L434" s="2">
        <v>1</v>
      </c>
      <c r="M434" s="2">
        <v>7</v>
      </c>
      <c r="N434" s="5" t="s">
        <v>852</v>
      </c>
      <c r="O434" s="12">
        <v>625000</v>
      </c>
      <c r="P434" s="3">
        <f>(11748+2545+293)/12</f>
        <v>1215.5</v>
      </c>
      <c r="R434" s="3">
        <v>3082</v>
      </c>
      <c r="S434" s="12">
        <f t="shared" si="18"/>
        <v>95.483333333333334</v>
      </c>
      <c r="T434" s="3">
        <f t="shared" si="19"/>
        <v>4392.9833333333336</v>
      </c>
      <c r="U434" s="2">
        <f t="shared" si="20"/>
        <v>1437895</v>
      </c>
    </row>
    <row r="435" spans="1:21" ht="13.8" x14ac:dyDescent="0.3">
      <c r="A435" s="6">
        <v>45444</v>
      </c>
      <c r="B435" s="2" t="s">
        <v>907</v>
      </c>
      <c r="C435" s="2" t="s">
        <v>4</v>
      </c>
      <c r="D435" s="2" t="s">
        <v>9</v>
      </c>
      <c r="E435" s="2" t="s">
        <v>375</v>
      </c>
      <c r="F435" s="2">
        <v>2005</v>
      </c>
      <c r="G435" s="2">
        <v>1108</v>
      </c>
      <c r="H435" s="2">
        <v>1108</v>
      </c>
      <c r="J435" s="2">
        <v>1</v>
      </c>
      <c r="K435" s="2">
        <v>2</v>
      </c>
      <c r="L435" s="2">
        <v>2</v>
      </c>
      <c r="M435" s="2">
        <v>6</v>
      </c>
      <c r="N435" s="5" t="s">
        <v>853</v>
      </c>
      <c r="O435" s="12">
        <v>629000</v>
      </c>
      <c r="P435" s="3">
        <f>(3716+5448)/12</f>
        <v>763.66666666666663</v>
      </c>
      <c r="R435" s="3">
        <v>3107</v>
      </c>
      <c r="S435" s="12">
        <f t="shared" si="18"/>
        <v>77.63333333333334</v>
      </c>
      <c r="T435" s="3">
        <f t="shared" si="19"/>
        <v>3948.2999999999997</v>
      </c>
      <c r="U435" s="2">
        <f t="shared" si="20"/>
        <v>1304490</v>
      </c>
    </row>
    <row r="436" spans="1:21" ht="13.8" x14ac:dyDescent="0.3">
      <c r="A436" s="6">
        <v>45444</v>
      </c>
      <c r="B436" s="2" t="s">
        <v>908</v>
      </c>
      <c r="C436" s="2" t="s">
        <v>4</v>
      </c>
      <c r="D436" s="2" t="s">
        <v>9</v>
      </c>
      <c r="E436" s="2" t="s">
        <v>375</v>
      </c>
      <c r="F436" s="2">
        <v>2004</v>
      </c>
      <c r="G436" s="2">
        <v>1091</v>
      </c>
      <c r="H436" s="2">
        <v>1091</v>
      </c>
      <c r="J436" s="2">
        <v>1</v>
      </c>
      <c r="K436" s="2">
        <v>2</v>
      </c>
      <c r="L436" s="2">
        <v>2</v>
      </c>
      <c r="M436" s="2">
        <v>7</v>
      </c>
      <c r="N436" s="5" t="s">
        <v>854</v>
      </c>
      <c r="O436" s="12">
        <v>635000</v>
      </c>
      <c r="P436" s="3">
        <f>(7464+3645+441)/12</f>
        <v>962.5</v>
      </c>
      <c r="R436" s="3">
        <v>3144</v>
      </c>
      <c r="S436" s="12">
        <f t="shared" si="18"/>
        <v>76.64166666666668</v>
      </c>
      <c r="T436" s="3">
        <f t="shared" si="19"/>
        <v>4183.1416666666664</v>
      </c>
      <c r="U436" s="2">
        <f t="shared" si="20"/>
        <v>1374942.5</v>
      </c>
    </row>
    <row r="437" spans="1:21" ht="13.8" x14ac:dyDescent="0.3">
      <c r="A437" s="6">
        <v>45444</v>
      </c>
      <c r="B437" s="2" t="s">
        <v>909</v>
      </c>
      <c r="C437" s="2" t="s">
        <v>4</v>
      </c>
      <c r="D437" s="2" t="s">
        <v>9</v>
      </c>
      <c r="E437" s="2" t="s">
        <v>375</v>
      </c>
      <c r="F437" s="2">
        <v>2024</v>
      </c>
      <c r="G437" s="2">
        <v>900</v>
      </c>
      <c r="H437" s="2">
        <v>900</v>
      </c>
      <c r="J437" s="2">
        <v>1</v>
      </c>
      <c r="K437" s="2">
        <v>1</v>
      </c>
      <c r="L437" s="2">
        <v>1</v>
      </c>
      <c r="M437" s="2">
        <v>7</v>
      </c>
      <c r="N437" s="5" t="s">
        <v>855</v>
      </c>
      <c r="O437" s="12">
        <v>635812</v>
      </c>
      <c r="P437" s="3">
        <v>1000</v>
      </c>
      <c r="Q437" s="2" t="s">
        <v>25</v>
      </c>
      <c r="R437" s="3">
        <v>3148</v>
      </c>
      <c r="S437" s="12">
        <f t="shared" si="18"/>
        <v>65.5</v>
      </c>
      <c r="T437" s="3">
        <f t="shared" si="19"/>
        <v>4213.5</v>
      </c>
      <c r="U437" s="2">
        <f t="shared" si="20"/>
        <v>1384050</v>
      </c>
    </row>
    <row r="438" spans="1:21" ht="13.8" x14ac:dyDescent="0.3">
      <c r="A438" s="6">
        <v>45444</v>
      </c>
      <c r="B438" s="2" t="s">
        <v>910</v>
      </c>
      <c r="C438" s="2" t="s">
        <v>4</v>
      </c>
      <c r="D438" s="2" t="s">
        <v>9</v>
      </c>
      <c r="E438" s="2" t="s">
        <v>375</v>
      </c>
      <c r="F438" s="2">
        <v>1987</v>
      </c>
      <c r="G438" s="2">
        <v>1070</v>
      </c>
      <c r="H438" s="2">
        <v>1070</v>
      </c>
      <c r="J438" s="2">
        <v>1</v>
      </c>
      <c r="K438" s="2">
        <v>2</v>
      </c>
      <c r="L438" s="2">
        <v>2</v>
      </c>
      <c r="M438" s="2">
        <v>4</v>
      </c>
      <c r="N438" s="5" t="s">
        <v>856</v>
      </c>
      <c r="O438" s="12">
        <v>639000</v>
      </c>
      <c r="P438" s="3">
        <f>(11904+3081+387)/12</f>
        <v>1281</v>
      </c>
      <c r="R438" s="3">
        <v>3168</v>
      </c>
      <c r="S438" s="12">
        <f t="shared" si="18"/>
        <v>75.416666666666686</v>
      </c>
      <c r="T438" s="3">
        <f t="shared" si="19"/>
        <v>4524.416666666667</v>
      </c>
      <c r="U438" s="2">
        <f t="shared" si="20"/>
        <v>1477325</v>
      </c>
    </row>
    <row r="439" spans="1:21" ht="13.8" x14ac:dyDescent="0.3">
      <c r="A439" s="6">
        <v>45444</v>
      </c>
      <c r="B439" s="2" t="s">
        <v>911</v>
      </c>
      <c r="C439" s="2" t="s">
        <v>4</v>
      </c>
      <c r="D439" s="2" t="s">
        <v>9</v>
      </c>
      <c r="E439" s="2" t="s">
        <v>375</v>
      </c>
      <c r="F439" s="2">
        <v>2012</v>
      </c>
      <c r="G439" s="2">
        <v>872</v>
      </c>
      <c r="H439" s="2">
        <v>872</v>
      </c>
      <c r="J439" s="2">
        <v>1</v>
      </c>
      <c r="K439" s="2">
        <v>2</v>
      </c>
      <c r="L439" s="2">
        <v>2</v>
      </c>
      <c r="M439" s="2">
        <v>7</v>
      </c>
      <c r="N439" s="5" t="s">
        <v>857</v>
      </c>
      <c r="O439" s="12">
        <v>639000</v>
      </c>
      <c r="P439" s="3">
        <f>(3521+6780)/12</f>
        <v>858.41666666666663</v>
      </c>
      <c r="R439" s="3">
        <v>3168</v>
      </c>
      <c r="S439" s="12">
        <f t="shared" si="18"/>
        <v>63.866666666666674</v>
      </c>
      <c r="T439" s="3">
        <f t="shared" si="19"/>
        <v>4090.2833333333333</v>
      </c>
      <c r="U439" s="2">
        <f t="shared" si="20"/>
        <v>1347085</v>
      </c>
    </row>
    <row r="440" spans="1:21" ht="13.8" x14ac:dyDescent="0.3">
      <c r="A440" s="6">
        <v>45444</v>
      </c>
      <c r="B440" s="2" t="s">
        <v>912</v>
      </c>
      <c r="C440" s="2" t="s">
        <v>4</v>
      </c>
      <c r="D440" s="2" t="s">
        <v>9</v>
      </c>
      <c r="E440" s="2" t="s">
        <v>375</v>
      </c>
      <c r="F440" s="2">
        <v>1914</v>
      </c>
      <c r="G440" s="2">
        <v>1140</v>
      </c>
      <c r="H440" s="2">
        <v>1140</v>
      </c>
      <c r="J440" s="2">
        <v>1</v>
      </c>
      <c r="K440" s="2">
        <v>3</v>
      </c>
      <c r="L440" s="2">
        <v>1</v>
      </c>
      <c r="M440" s="2">
        <v>7</v>
      </c>
      <c r="N440" s="5" t="s">
        <v>858</v>
      </c>
      <c r="O440" s="12">
        <v>639900</v>
      </c>
      <c r="P440" s="3">
        <f>(5462+663)/12</f>
        <v>510.41666666666669</v>
      </c>
      <c r="R440" s="3">
        <v>3173</v>
      </c>
      <c r="S440" s="12">
        <f t="shared" si="18"/>
        <v>79.500000000000014</v>
      </c>
      <c r="T440" s="3">
        <f t="shared" si="19"/>
        <v>3762.9166666666665</v>
      </c>
      <c r="U440" s="2">
        <f t="shared" si="20"/>
        <v>1248875</v>
      </c>
    </row>
    <row r="441" spans="1:21" ht="13.8" x14ac:dyDescent="0.3">
      <c r="A441" s="6">
        <v>45444</v>
      </c>
      <c r="B441" s="2" t="s">
        <v>913</v>
      </c>
      <c r="C441" s="2" t="s">
        <v>4</v>
      </c>
      <c r="D441" s="2" t="s">
        <v>9</v>
      </c>
      <c r="E441" s="2" t="s">
        <v>375</v>
      </c>
      <c r="F441" s="2">
        <v>2013</v>
      </c>
      <c r="G441" s="2">
        <v>989</v>
      </c>
      <c r="H441" s="2">
        <v>989</v>
      </c>
      <c r="J441" s="2">
        <v>1</v>
      </c>
      <c r="K441" s="2">
        <v>2</v>
      </c>
      <c r="L441" s="2">
        <v>2</v>
      </c>
      <c r="M441" s="2">
        <v>5</v>
      </c>
      <c r="N441" s="5" t="s">
        <v>859</v>
      </c>
      <c r="O441" s="12">
        <v>649000</v>
      </c>
      <c r="P441" s="3">
        <f>12067/12</f>
        <v>1005.5833333333334</v>
      </c>
      <c r="R441" s="3">
        <v>3229</v>
      </c>
      <c r="S441" s="12">
        <f t="shared" si="18"/>
        <v>70.691666666666663</v>
      </c>
      <c r="T441" s="3">
        <f t="shared" si="19"/>
        <v>4305.2749999999996</v>
      </c>
      <c r="U441" s="2">
        <f t="shared" si="20"/>
        <v>1411582.5</v>
      </c>
    </row>
    <row r="442" spans="1:21" ht="13.8" x14ac:dyDescent="0.3">
      <c r="A442" s="6">
        <v>45444</v>
      </c>
      <c r="B442" s="2" t="s">
        <v>914</v>
      </c>
      <c r="C442" s="2" t="s">
        <v>4</v>
      </c>
      <c r="D442" s="2" t="s">
        <v>0</v>
      </c>
      <c r="E442" s="2" t="s">
        <v>375</v>
      </c>
      <c r="F442" s="2">
        <v>1930</v>
      </c>
      <c r="G442" s="2">
        <v>2630</v>
      </c>
      <c r="H442" s="2">
        <v>2630</v>
      </c>
      <c r="J442" s="2">
        <v>2</v>
      </c>
      <c r="K442" s="2">
        <v>3</v>
      </c>
      <c r="L442" s="2">
        <v>2</v>
      </c>
      <c r="M442" s="2">
        <v>8</v>
      </c>
      <c r="N442" s="5" t="s">
        <v>860</v>
      </c>
      <c r="O442" s="12">
        <v>650000</v>
      </c>
      <c r="P442" s="3">
        <v>400</v>
      </c>
      <c r="Q442" s="2" t="s">
        <v>25</v>
      </c>
      <c r="R442" s="3">
        <v>3235</v>
      </c>
      <c r="S442" s="12">
        <f t="shared" si="18"/>
        <v>166.41666666666669</v>
      </c>
      <c r="T442" s="3">
        <f t="shared" si="19"/>
        <v>3801.4166666666665</v>
      </c>
      <c r="U442" s="12">
        <f t="shared" si="20"/>
        <v>1260425</v>
      </c>
    </row>
    <row r="443" spans="1:21" ht="13.8" x14ac:dyDescent="0.3">
      <c r="A443" s="6">
        <v>45444</v>
      </c>
      <c r="B443" s="2" t="s">
        <v>915</v>
      </c>
      <c r="C443" s="2" t="s">
        <v>4</v>
      </c>
      <c r="D443" s="2" t="s">
        <v>9</v>
      </c>
      <c r="E443" s="2" t="s">
        <v>375</v>
      </c>
      <c r="F443" s="2">
        <v>1985</v>
      </c>
      <c r="G443" s="2">
        <v>1097</v>
      </c>
      <c r="H443" s="2">
        <v>1097</v>
      </c>
      <c r="J443" s="2">
        <v>1</v>
      </c>
      <c r="K443" s="2">
        <v>2</v>
      </c>
      <c r="L443" s="2">
        <v>2</v>
      </c>
      <c r="M443" s="2">
        <v>8</v>
      </c>
      <c r="N443" s="5" t="s">
        <v>861</v>
      </c>
      <c r="O443" s="12">
        <v>659000</v>
      </c>
      <c r="P443" s="3">
        <f>(3772+12456)/12</f>
        <v>1352.3333333333333</v>
      </c>
      <c r="R443" s="3">
        <v>3290</v>
      </c>
      <c r="S443" s="12">
        <f t="shared" si="18"/>
        <v>76.991666666666674</v>
      </c>
      <c r="T443" s="3">
        <f t="shared" si="19"/>
        <v>4719.3249999999998</v>
      </c>
      <c r="U443" s="2">
        <f t="shared" si="20"/>
        <v>1535797.4999999998</v>
      </c>
    </row>
    <row r="444" spans="1:21" ht="13.8" x14ac:dyDescent="0.3">
      <c r="A444" s="6">
        <v>45444</v>
      </c>
      <c r="B444" s="2" t="s">
        <v>916</v>
      </c>
      <c r="C444" s="2" t="s">
        <v>4</v>
      </c>
      <c r="D444" s="2" t="s">
        <v>9</v>
      </c>
      <c r="E444" s="2" t="s">
        <v>375</v>
      </c>
      <c r="F444" s="2">
        <v>2020</v>
      </c>
      <c r="G444" s="2">
        <v>871</v>
      </c>
      <c r="H444" s="2">
        <v>871</v>
      </c>
      <c r="J444" s="2">
        <v>1</v>
      </c>
      <c r="K444" s="2">
        <v>3</v>
      </c>
      <c r="L444" s="2">
        <v>1</v>
      </c>
      <c r="M444" s="2">
        <v>9</v>
      </c>
      <c r="N444" s="5" t="s">
        <v>862</v>
      </c>
      <c r="O444" s="12">
        <v>674900</v>
      </c>
      <c r="P444" s="3">
        <f>(4185+3852)/12</f>
        <v>669.75</v>
      </c>
      <c r="R444" s="3">
        <v>3387</v>
      </c>
      <c r="S444" s="12">
        <f t="shared" si="18"/>
        <v>63.808333333333337</v>
      </c>
      <c r="T444" s="3">
        <f t="shared" si="19"/>
        <v>4120.5583333333334</v>
      </c>
      <c r="U444" s="2">
        <f t="shared" si="20"/>
        <v>1356167.5</v>
      </c>
    </row>
    <row r="445" spans="1:21" ht="13.8" x14ac:dyDescent="0.3">
      <c r="A445" s="6">
        <v>45444</v>
      </c>
      <c r="B445" s="2" t="s">
        <v>917</v>
      </c>
      <c r="C445" s="2" t="s">
        <v>4</v>
      </c>
      <c r="D445" s="2" t="s">
        <v>9</v>
      </c>
      <c r="E445" s="2" t="s">
        <v>375</v>
      </c>
      <c r="F445" s="2">
        <v>2005</v>
      </c>
      <c r="G445" s="2">
        <v>1099</v>
      </c>
      <c r="H445" s="2">
        <v>1099</v>
      </c>
      <c r="J445" s="2">
        <v>1</v>
      </c>
      <c r="K445" s="2">
        <v>2</v>
      </c>
      <c r="L445" s="2">
        <v>2</v>
      </c>
      <c r="M445" s="2">
        <v>5</v>
      </c>
      <c r="N445" s="5" t="s">
        <v>863</v>
      </c>
      <c r="O445" s="12">
        <v>679000</v>
      </c>
      <c r="P445" s="3">
        <f>(7680+3584+453)/12</f>
        <v>976.41666666666663</v>
      </c>
      <c r="R445" s="3">
        <v>3412</v>
      </c>
      <c r="S445" s="12">
        <f t="shared" si="18"/>
        <v>77.108333333333334</v>
      </c>
      <c r="T445" s="3">
        <f t="shared" si="19"/>
        <v>4465.5250000000005</v>
      </c>
      <c r="U445" s="2">
        <f t="shared" si="20"/>
        <v>1459657.5</v>
      </c>
    </row>
    <row r="446" spans="1:21" ht="13.8" x14ac:dyDescent="0.3">
      <c r="A446" s="6">
        <v>45444</v>
      </c>
      <c r="B446" s="2" t="s">
        <v>918</v>
      </c>
      <c r="C446" s="2" t="s">
        <v>4</v>
      </c>
      <c r="D446" s="2" t="s">
        <v>9</v>
      </c>
      <c r="E446" s="2" t="s">
        <v>375</v>
      </c>
      <c r="F446" s="2">
        <v>1987</v>
      </c>
      <c r="G446" s="2">
        <v>1299</v>
      </c>
      <c r="H446" s="2">
        <v>1299</v>
      </c>
      <c r="J446" s="2">
        <v>1</v>
      </c>
      <c r="K446" s="2">
        <v>3</v>
      </c>
      <c r="L446" s="2">
        <v>1</v>
      </c>
      <c r="M446" s="2">
        <v>8</v>
      </c>
      <c r="N446" s="5" t="s">
        <v>864</v>
      </c>
      <c r="O446" s="12">
        <v>688000</v>
      </c>
      <c r="P446" s="3">
        <f>(3378+5856)/12</f>
        <v>769.5</v>
      </c>
      <c r="R446" s="3">
        <v>3467</v>
      </c>
      <c r="S446" s="12">
        <f t="shared" si="18"/>
        <v>88.775000000000006</v>
      </c>
      <c r="T446" s="3">
        <f t="shared" si="19"/>
        <v>4325.2749999999996</v>
      </c>
      <c r="U446" s="2">
        <f t="shared" si="20"/>
        <v>1417582.5</v>
      </c>
    </row>
    <row r="447" spans="1:21" ht="13.8" x14ac:dyDescent="0.3">
      <c r="A447" s="6">
        <v>45444</v>
      </c>
      <c r="B447" s="2" t="s">
        <v>919</v>
      </c>
      <c r="C447" s="2" t="s">
        <v>4</v>
      </c>
      <c r="D447" s="2" t="s">
        <v>0</v>
      </c>
      <c r="E447" s="2" t="s">
        <v>1734</v>
      </c>
      <c r="F447" s="2">
        <v>1930</v>
      </c>
      <c r="G447" s="7">
        <f>304.7*3.28^2</f>
        <v>3278.0844799999995</v>
      </c>
      <c r="H447" s="2">
        <v>3117</v>
      </c>
      <c r="I447" s="2" t="s">
        <v>25</v>
      </c>
      <c r="J447" s="2">
        <v>2</v>
      </c>
      <c r="K447" s="2">
        <v>2</v>
      </c>
      <c r="L447" s="2">
        <v>2</v>
      </c>
      <c r="M447" s="2">
        <v>12</v>
      </c>
      <c r="N447" s="5" t="s">
        <v>865</v>
      </c>
      <c r="O447" s="12">
        <v>698000</v>
      </c>
      <c r="P447" s="3">
        <f>5206/12</f>
        <v>433.83333333333331</v>
      </c>
      <c r="R447" s="3">
        <v>3528.06</v>
      </c>
      <c r="S447" s="12">
        <f t="shared" si="18"/>
        <v>204.22159466666665</v>
      </c>
      <c r="T447" s="3">
        <f t="shared" si="19"/>
        <v>4166.114928</v>
      </c>
      <c r="U447" s="12">
        <f t="shared" si="20"/>
        <v>1369834.4784000001</v>
      </c>
    </row>
    <row r="448" spans="1:21" ht="13.8" x14ac:dyDescent="0.3">
      <c r="A448" s="6">
        <v>45444</v>
      </c>
      <c r="B448" s="2" t="s">
        <v>920</v>
      </c>
      <c r="C448" s="2" t="s">
        <v>4</v>
      </c>
      <c r="D448" s="2" t="s">
        <v>0</v>
      </c>
      <c r="E448" s="2" t="s">
        <v>1734</v>
      </c>
      <c r="F448" s="2">
        <v>1914</v>
      </c>
      <c r="G448" s="2">
        <f>(6.9*12.8+9.9*10+13.5*13.1+12*12.1+6.9*6.8+11.5*8.8+11.9*11.9+6.7*3.7+11.1*6.9)*1.3</f>
        <v>1170.624</v>
      </c>
      <c r="H448" s="2">
        <v>1136</v>
      </c>
      <c r="J448" s="2">
        <v>1</v>
      </c>
      <c r="K448" s="2">
        <v>3</v>
      </c>
      <c r="L448" s="2">
        <v>2</v>
      </c>
      <c r="M448" s="2">
        <v>6</v>
      </c>
      <c r="N448" s="5" t="s">
        <v>866</v>
      </c>
      <c r="O448" s="12">
        <v>699000</v>
      </c>
      <c r="P448" s="3">
        <v>500</v>
      </c>
      <c r="Q448" s="2" t="s">
        <v>25</v>
      </c>
      <c r="R448" s="3">
        <v>3534</v>
      </c>
      <c r="S448" s="12">
        <f t="shared" si="18"/>
        <v>81.2864</v>
      </c>
      <c r="T448" s="3">
        <f t="shared" si="19"/>
        <v>4115.2864</v>
      </c>
      <c r="U448" s="12">
        <f t="shared" si="20"/>
        <v>1354585.92</v>
      </c>
    </row>
    <row r="449" spans="1:21" ht="13.8" x14ac:dyDescent="0.3">
      <c r="A449" s="6">
        <v>45444</v>
      </c>
      <c r="B449" s="2" t="s">
        <v>921</v>
      </c>
      <c r="C449" s="2" t="s">
        <v>4</v>
      </c>
      <c r="D449" s="2" t="s">
        <v>9</v>
      </c>
      <c r="E449" s="2" t="s">
        <v>375</v>
      </c>
      <c r="F449" s="2">
        <v>1982</v>
      </c>
      <c r="G449" s="2">
        <v>1523</v>
      </c>
      <c r="H449" s="2">
        <v>1523</v>
      </c>
      <c r="J449" s="2">
        <v>1</v>
      </c>
      <c r="K449" s="2">
        <v>3</v>
      </c>
      <c r="L449" s="2">
        <v>2</v>
      </c>
      <c r="M449" s="2">
        <v>6</v>
      </c>
      <c r="N449" s="5" t="s">
        <v>867</v>
      </c>
      <c r="O449" s="12">
        <v>699000</v>
      </c>
      <c r="P449" s="3">
        <v>1000</v>
      </c>
      <c r="Q449" s="2" t="s">
        <v>25</v>
      </c>
      <c r="R449" s="3">
        <v>3534</v>
      </c>
      <c r="S449" s="12">
        <f t="shared" si="18"/>
        <v>101.84166666666668</v>
      </c>
      <c r="T449" s="3">
        <f t="shared" si="19"/>
        <v>4635.8416666666662</v>
      </c>
      <c r="U449" s="2">
        <f t="shared" si="20"/>
        <v>1510752.4999999998</v>
      </c>
    </row>
    <row r="450" spans="1:21" ht="13.8" x14ac:dyDescent="0.3">
      <c r="A450" s="6">
        <v>45444</v>
      </c>
      <c r="B450" s="2" t="s">
        <v>922</v>
      </c>
      <c r="C450" s="2" t="s">
        <v>4</v>
      </c>
      <c r="D450" s="2" t="s">
        <v>0</v>
      </c>
      <c r="E450" s="2" t="s">
        <v>1734</v>
      </c>
      <c r="F450" s="2">
        <v>1947</v>
      </c>
      <c r="G450" s="2">
        <f>(12.1*13+12.1*9.6+23.1*10.7+6.6*4.9+11.5*13.1+10.3*10.7+6.9*6.2+22.5*13+11.1*9.9+11*15)*1.3</f>
        <v>1851.2000000000003</v>
      </c>
      <c r="H450" s="2">
        <v>5049</v>
      </c>
      <c r="J450" s="2">
        <v>1</v>
      </c>
      <c r="K450" s="2">
        <v>2</v>
      </c>
      <c r="L450" s="2">
        <v>2</v>
      </c>
      <c r="M450" s="2">
        <v>10</v>
      </c>
      <c r="N450" s="5" t="s">
        <v>868</v>
      </c>
      <c r="O450" s="12">
        <v>699000</v>
      </c>
      <c r="P450" s="3">
        <f>4844/12</f>
        <v>403.66666666666669</v>
      </c>
      <c r="R450" s="3">
        <v>3534</v>
      </c>
      <c r="S450" s="12">
        <f t="shared" ref="S450:S513" si="21">13+(G450*10*0.07)/12</f>
        <v>120.98666666666669</v>
      </c>
      <c r="T450" s="3">
        <f t="shared" ref="T450:T513" si="22">P450+R450+S450</f>
        <v>4058.6533333333332</v>
      </c>
      <c r="U450" s="12">
        <f t="shared" ref="U450:U513" si="23">120000+T450*12*25</f>
        <v>1337596</v>
      </c>
    </row>
    <row r="451" spans="1:21" ht="13.8" x14ac:dyDescent="0.3">
      <c r="A451" s="6">
        <v>45444</v>
      </c>
      <c r="B451" s="2" t="s">
        <v>923</v>
      </c>
      <c r="C451" s="2" t="s">
        <v>4</v>
      </c>
      <c r="D451" s="2" t="s">
        <v>0</v>
      </c>
      <c r="E451" s="2" t="s">
        <v>375</v>
      </c>
      <c r="F451" s="2">
        <v>1914</v>
      </c>
      <c r="G451" s="2">
        <v>1179</v>
      </c>
      <c r="H451" s="2">
        <v>1179</v>
      </c>
      <c r="J451" s="2">
        <v>1</v>
      </c>
      <c r="K451" s="2">
        <v>3</v>
      </c>
      <c r="L451" s="2">
        <v>2</v>
      </c>
      <c r="M451" s="2">
        <v>6</v>
      </c>
      <c r="N451" s="5" t="s">
        <v>869</v>
      </c>
      <c r="O451" s="12">
        <v>719000</v>
      </c>
      <c r="P451" s="3">
        <v>500</v>
      </c>
      <c r="Q451" s="2" t="s">
        <v>25</v>
      </c>
      <c r="R451" s="3">
        <v>3656</v>
      </c>
      <c r="S451" s="12">
        <f t="shared" si="21"/>
        <v>81.775000000000006</v>
      </c>
      <c r="T451" s="3">
        <f t="shared" si="22"/>
        <v>4237.7749999999996</v>
      </c>
      <c r="U451" s="12">
        <f t="shared" si="23"/>
        <v>1391332.5</v>
      </c>
    </row>
    <row r="452" spans="1:21" ht="13.8" x14ac:dyDescent="0.3">
      <c r="A452" s="6">
        <v>45444</v>
      </c>
      <c r="B452" s="2" t="s">
        <v>924</v>
      </c>
      <c r="C452" s="2" t="s">
        <v>4</v>
      </c>
      <c r="D452" s="2" t="s">
        <v>0</v>
      </c>
      <c r="E452" s="2" t="s">
        <v>1734</v>
      </c>
      <c r="F452" s="2">
        <v>1921</v>
      </c>
      <c r="G452" s="2">
        <f>(5.18*1.04+2.57*2.64+2.59*2.44+3.45*2.21+3.66*3.35+2.01*1.68+3.35*2.67)*1.3*2*3.28^2</f>
        <v>1418.1275330559999</v>
      </c>
      <c r="H452" s="2">
        <v>1800</v>
      </c>
      <c r="I452" s="2" t="s">
        <v>25</v>
      </c>
      <c r="J452" s="2">
        <v>2</v>
      </c>
      <c r="K452" s="2">
        <v>2</v>
      </c>
      <c r="L452" s="2">
        <v>2</v>
      </c>
      <c r="M452" s="2">
        <v>12</v>
      </c>
      <c r="N452" s="5" t="s">
        <v>870</v>
      </c>
      <c r="O452" s="12">
        <v>720000</v>
      </c>
      <c r="P452" s="3">
        <f>4402/12</f>
        <v>366.83333333333331</v>
      </c>
      <c r="R452" s="3">
        <v>3662.35</v>
      </c>
      <c r="S452" s="12">
        <f t="shared" si="21"/>
        <v>95.724106094933333</v>
      </c>
      <c r="T452" s="3">
        <f t="shared" si="22"/>
        <v>4124.907439428267</v>
      </c>
      <c r="U452" s="12">
        <f t="shared" si="23"/>
        <v>1357472.23182848</v>
      </c>
    </row>
    <row r="453" spans="1:21" ht="13.8" x14ac:dyDescent="0.3">
      <c r="A453" s="6">
        <v>45444</v>
      </c>
      <c r="B453" s="2" t="s">
        <v>925</v>
      </c>
      <c r="C453" s="2" t="s">
        <v>4</v>
      </c>
      <c r="D453" s="2" t="s">
        <v>0</v>
      </c>
      <c r="E453" s="2" t="s">
        <v>375</v>
      </c>
      <c r="F453" s="2">
        <v>2018</v>
      </c>
      <c r="G453" s="2">
        <v>1308</v>
      </c>
      <c r="H453" s="2">
        <v>1308</v>
      </c>
      <c r="J453" s="2">
        <v>2</v>
      </c>
      <c r="K453" s="2">
        <v>3</v>
      </c>
      <c r="L453" s="2">
        <v>2</v>
      </c>
      <c r="M453" s="2">
        <v>8</v>
      </c>
      <c r="N453" s="5" t="s">
        <v>871</v>
      </c>
      <c r="O453" s="12">
        <v>730000</v>
      </c>
      <c r="P453" s="3">
        <f>7128/12</f>
        <v>594</v>
      </c>
      <c r="R453" s="3">
        <v>3723</v>
      </c>
      <c r="S453" s="12">
        <f t="shared" si="21"/>
        <v>89.300000000000011</v>
      </c>
      <c r="T453" s="3">
        <f t="shared" si="22"/>
        <v>4406.3</v>
      </c>
      <c r="U453" s="12">
        <f t="shared" si="23"/>
        <v>1441890.0000000002</v>
      </c>
    </row>
    <row r="454" spans="1:21" ht="13.8" x14ac:dyDescent="0.3">
      <c r="A454" s="6">
        <v>45444</v>
      </c>
      <c r="B454" s="2" t="s">
        <v>926</v>
      </c>
      <c r="C454" s="2" t="s">
        <v>4</v>
      </c>
      <c r="D454" s="2" t="s">
        <v>9</v>
      </c>
      <c r="E454" s="2" t="s">
        <v>375</v>
      </c>
      <c r="F454" s="2">
        <v>2008</v>
      </c>
      <c r="G454" s="2">
        <v>947</v>
      </c>
      <c r="H454" s="2">
        <v>947</v>
      </c>
      <c r="J454" s="2">
        <v>1</v>
      </c>
      <c r="K454" s="2">
        <v>1</v>
      </c>
      <c r="L454" s="2">
        <v>1</v>
      </c>
      <c r="M454" s="2">
        <v>5</v>
      </c>
      <c r="N454" s="5" t="s">
        <v>872</v>
      </c>
      <c r="O454" s="12">
        <v>739000</v>
      </c>
      <c r="P454" s="3">
        <v>600</v>
      </c>
      <c r="Q454" s="2" t="s">
        <v>25</v>
      </c>
      <c r="R454" s="3">
        <v>3778</v>
      </c>
      <c r="S454" s="12">
        <f t="shared" si="21"/>
        <v>68.241666666666674</v>
      </c>
      <c r="T454" s="3">
        <f t="shared" si="22"/>
        <v>4446.2416666666668</v>
      </c>
      <c r="U454" s="2">
        <f t="shared" si="23"/>
        <v>1453872.5</v>
      </c>
    </row>
    <row r="455" spans="1:21" ht="13.8" x14ac:dyDescent="0.3">
      <c r="A455" s="6">
        <v>45444</v>
      </c>
      <c r="B455" s="2" t="s">
        <v>927</v>
      </c>
      <c r="C455" s="2" t="s">
        <v>4</v>
      </c>
      <c r="D455" s="2" t="s">
        <v>9</v>
      </c>
      <c r="E455" s="2" t="s">
        <v>375</v>
      </c>
      <c r="F455" s="2">
        <v>1987</v>
      </c>
      <c r="G455" s="2">
        <v>1490</v>
      </c>
      <c r="H455" s="2">
        <v>1490</v>
      </c>
      <c r="J455" s="2">
        <v>1</v>
      </c>
      <c r="K455" s="2">
        <v>2</v>
      </c>
      <c r="L455" s="2">
        <v>2</v>
      </c>
      <c r="M455" s="2">
        <v>5</v>
      </c>
      <c r="N455" s="5" t="s">
        <v>873</v>
      </c>
      <c r="O455" s="12">
        <v>755000</v>
      </c>
      <c r="P455" s="3">
        <f>(14220+4671+553)/12</f>
        <v>1620.3333333333333</v>
      </c>
      <c r="R455" s="3">
        <v>3876</v>
      </c>
      <c r="S455" s="12">
        <f t="shared" si="21"/>
        <v>99.916666666666671</v>
      </c>
      <c r="T455" s="3">
        <f t="shared" si="22"/>
        <v>5596.25</v>
      </c>
      <c r="U455" s="2">
        <f t="shared" si="23"/>
        <v>1798875</v>
      </c>
    </row>
    <row r="456" spans="1:21" ht="13.8" x14ac:dyDescent="0.3">
      <c r="A456" s="6">
        <v>45444</v>
      </c>
      <c r="B456" s="2" t="s">
        <v>928</v>
      </c>
      <c r="C456" s="2" t="s">
        <v>4</v>
      </c>
      <c r="D456" s="2" t="s">
        <v>9</v>
      </c>
      <c r="E456" s="2" t="s">
        <v>375</v>
      </c>
      <c r="F456" s="2">
        <v>2021</v>
      </c>
      <c r="G456" s="2">
        <v>1021</v>
      </c>
      <c r="H456" s="2">
        <v>1021</v>
      </c>
      <c r="J456" s="2">
        <v>1</v>
      </c>
      <c r="K456" s="2">
        <v>3</v>
      </c>
      <c r="L456" s="2">
        <v>2</v>
      </c>
      <c r="M456" s="2">
        <v>7</v>
      </c>
      <c r="N456" s="5" t="s">
        <v>874</v>
      </c>
      <c r="O456" s="12">
        <v>785000</v>
      </c>
      <c r="P456" s="3">
        <v>1000</v>
      </c>
      <c r="Q456" s="2" t="s">
        <v>25</v>
      </c>
      <c r="R456" s="3">
        <v>4059</v>
      </c>
      <c r="S456" s="12">
        <f t="shared" si="21"/>
        <v>72.558333333333337</v>
      </c>
      <c r="T456" s="3">
        <f t="shared" si="22"/>
        <v>5131.5583333333334</v>
      </c>
      <c r="U456" s="2">
        <f t="shared" si="23"/>
        <v>1659467.5</v>
      </c>
    </row>
    <row r="457" spans="1:21" ht="13.8" x14ac:dyDescent="0.3">
      <c r="A457" s="6">
        <v>45444</v>
      </c>
      <c r="B457" s="2" t="s">
        <v>929</v>
      </c>
      <c r="C457" s="2" t="s">
        <v>4</v>
      </c>
      <c r="D457" s="2" t="s">
        <v>9</v>
      </c>
      <c r="E457" s="2" t="s">
        <v>375</v>
      </c>
      <c r="F457" s="2">
        <v>2013</v>
      </c>
      <c r="G457" s="2">
        <v>1152</v>
      </c>
      <c r="H457" s="2">
        <v>1152</v>
      </c>
      <c r="J457" s="2">
        <v>1</v>
      </c>
      <c r="K457" s="2">
        <v>2</v>
      </c>
      <c r="L457" s="2">
        <v>2</v>
      </c>
      <c r="M457" s="2">
        <v>5</v>
      </c>
      <c r="N457" s="5" t="s">
        <v>875</v>
      </c>
      <c r="O457" s="12">
        <v>795000</v>
      </c>
      <c r="P457" s="3">
        <f>(732*12+4333+789)/12</f>
        <v>1158.8333333333333</v>
      </c>
      <c r="R457" s="3">
        <v>4120</v>
      </c>
      <c r="S457" s="12">
        <f t="shared" si="21"/>
        <v>80.2</v>
      </c>
      <c r="T457" s="3">
        <f t="shared" si="22"/>
        <v>5359.0333333333328</v>
      </c>
      <c r="U457" s="2">
        <f t="shared" si="23"/>
        <v>1727709.9999999998</v>
      </c>
    </row>
    <row r="458" spans="1:21" ht="13.8" x14ac:dyDescent="0.3">
      <c r="A458" s="6">
        <v>45444</v>
      </c>
      <c r="B458" s="2" t="s">
        <v>930</v>
      </c>
      <c r="C458" s="2" t="s">
        <v>4</v>
      </c>
      <c r="D458" s="2" t="s">
        <v>0</v>
      </c>
      <c r="E458" s="2" t="s">
        <v>1734</v>
      </c>
      <c r="F458" s="2">
        <v>1926</v>
      </c>
      <c r="G458" s="2">
        <f>2244*1.3</f>
        <v>2917.2000000000003</v>
      </c>
      <c r="H458" s="2">
        <v>1647</v>
      </c>
      <c r="I458" s="2" t="s">
        <v>25</v>
      </c>
      <c r="J458" s="2">
        <v>3</v>
      </c>
      <c r="K458" s="2">
        <v>3</v>
      </c>
      <c r="L458" s="2">
        <v>3</v>
      </c>
      <c r="M458" s="2">
        <v>10</v>
      </c>
      <c r="N458" s="5" t="s">
        <v>876</v>
      </c>
      <c r="O458" s="12">
        <v>799000</v>
      </c>
      <c r="P458" s="3">
        <f>(3754+476)/12</f>
        <v>352.5</v>
      </c>
      <c r="R458" s="3">
        <v>4144.5600000000004</v>
      </c>
      <c r="S458" s="12">
        <f t="shared" si="21"/>
        <v>183.17000000000004</v>
      </c>
      <c r="T458" s="3">
        <f t="shared" si="22"/>
        <v>4680.2300000000005</v>
      </c>
      <c r="U458" s="12">
        <f t="shared" si="23"/>
        <v>1524069.0000000002</v>
      </c>
    </row>
    <row r="459" spans="1:21" ht="13.8" x14ac:dyDescent="0.3">
      <c r="A459" s="6">
        <v>45444</v>
      </c>
      <c r="B459" s="2" t="s">
        <v>931</v>
      </c>
      <c r="C459" s="2" t="s">
        <v>4</v>
      </c>
      <c r="D459" s="2" t="s">
        <v>0</v>
      </c>
      <c r="E459" s="2" t="s">
        <v>1734</v>
      </c>
      <c r="F459" s="2">
        <v>1947</v>
      </c>
      <c r="G459" s="2">
        <f>(3.2*4.9+13.1*13.1+12.9*10.9+10.8*12+4.7*3+12.8*10.9+12.9*9.9+10.8*8.6+8*5.3+3.5*3.9+15.7*12.9+15.7*8.9+6.7*10.9+6.3*10.9+12.9*10)*1.3</f>
        <v>1950.9360000000001</v>
      </c>
      <c r="H459" s="2">
        <v>1800</v>
      </c>
      <c r="I459" s="2" t="s">
        <v>25</v>
      </c>
      <c r="J459" s="2">
        <v>3</v>
      </c>
      <c r="K459" s="2">
        <v>3</v>
      </c>
      <c r="L459" s="2">
        <v>3</v>
      </c>
      <c r="M459" s="2">
        <v>10</v>
      </c>
      <c r="N459" s="5" t="s">
        <v>877</v>
      </c>
      <c r="O459" s="12">
        <v>800000</v>
      </c>
      <c r="P459" s="3">
        <f>4343/12</f>
        <v>361.91666666666669</v>
      </c>
      <c r="R459" s="3">
        <v>4150.66</v>
      </c>
      <c r="S459" s="12">
        <f t="shared" si="21"/>
        <v>126.80460000000001</v>
      </c>
      <c r="T459" s="3">
        <f t="shared" si="22"/>
        <v>4639.3812666666672</v>
      </c>
      <c r="U459" s="12">
        <f t="shared" si="23"/>
        <v>1511814.3800000001</v>
      </c>
    </row>
    <row r="460" spans="1:21" ht="13.8" x14ac:dyDescent="0.3">
      <c r="A460" s="6">
        <v>45444</v>
      </c>
      <c r="B460" s="2" t="s">
        <v>932</v>
      </c>
      <c r="C460" s="2" t="s">
        <v>4</v>
      </c>
      <c r="D460" s="2" t="s">
        <v>0</v>
      </c>
      <c r="E460" s="2" t="s">
        <v>1734</v>
      </c>
      <c r="F460" s="2">
        <v>1930</v>
      </c>
      <c r="G460" s="7">
        <f>(3.54*2.92+2.71*3.63+2.93*4.16+3.5*3.6+1.6*2.3+2.9*1.85+5.73*3.39)*1.3*3.28^2*3</f>
        <v>3081.0674069759998</v>
      </c>
      <c r="H460" s="2">
        <v>1229</v>
      </c>
      <c r="I460" s="2" t="s">
        <v>25</v>
      </c>
      <c r="J460" s="2">
        <v>3</v>
      </c>
      <c r="K460" s="2">
        <v>3</v>
      </c>
      <c r="L460" s="2">
        <v>3</v>
      </c>
      <c r="M460" s="2">
        <v>10</v>
      </c>
      <c r="N460" s="5" t="s">
        <v>878</v>
      </c>
      <c r="O460" s="12">
        <v>849000</v>
      </c>
      <c r="P460" s="3">
        <f>(4306+535)/12</f>
        <v>403.41666666666669</v>
      </c>
      <c r="R460" s="3">
        <v>4449.75</v>
      </c>
      <c r="S460" s="12">
        <f t="shared" si="21"/>
        <v>192.72893207360002</v>
      </c>
      <c r="T460" s="3">
        <f t="shared" si="22"/>
        <v>5045.8955987402669</v>
      </c>
      <c r="U460" s="12">
        <f t="shared" si="23"/>
        <v>1633768.6796220802</v>
      </c>
    </row>
    <row r="461" spans="1:21" ht="13.8" x14ac:dyDescent="0.3">
      <c r="A461" s="6">
        <v>45444</v>
      </c>
      <c r="B461" s="2" t="s">
        <v>933</v>
      </c>
      <c r="C461" s="2" t="s">
        <v>4</v>
      </c>
      <c r="D461" s="2" t="s">
        <v>0</v>
      </c>
      <c r="E461" s="2" t="s">
        <v>1734</v>
      </c>
      <c r="F461" s="2">
        <v>1949</v>
      </c>
      <c r="G461" s="2">
        <f>(3.6*3.8+12.4*13.1+9.8*11.4+10.1*14.1+10.8*12.4+4.9*8.5+11.9+10.9+11.9*10.9+11.9*12.5+11.9*15.3+7.2*16.2+7.5*7.9+2.9*5.6+5.2*16.9+10.8*12.5+11.2*14.1+12.4*12.9+8.1*11.4+7.2*8.9+4.9*5.9+4.9*2.9)*1.3</f>
        <v>2628.0540000000005</v>
      </c>
      <c r="H461" s="2">
        <v>2100</v>
      </c>
      <c r="I461" s="2" t="s">
        <v>25</v>
      </c>
      <c r="J461" s="2">
        <v>2</v>
      </c>
      <c r="K461" s="2">
        <v>2</v>
      </c>
      <c r="L461" s="2">
        <v>2</v>
      </c>
      <c r="M461" s="2">
        <v>10</v>
      </c>
      <c r="N461" s="5" t="s">
        <v>879</v>
      </c>
      <c r="O461" s="12">
        <v>860000</v>
      </c>
      <c r="P461" s="3">
        <f>4882/12</f>
        <v>406.83333333333331</v>
      </c>
      <c r="R461" s="3">
        <v>4516.8999999999996</v>
      </c>
      <c r="S461" s="12">
        <f t="shared" si="21"/>
        <v>166.30315000000004</v>
      </c>
      <c r="T461" s="3">
        <f t="shared" si="22"/>
        <v>5090.0364833333324</v>
      </c>
      <c r="U461" s="12">
        <f t="shared" si="23"/>
        <v>1647010.9449999996</v>
      </c>
    </row>
    <row r="462" spans="1:21" ht="13.8" x14ac:dyDescent="0.3">
      <c r="A462" s="6">
        <v>45444</v>
      </c>
      <c r="B462" s="2" t="s">
        <v>934</v>
      </c>
      <c r="C462" s="2" t="s">
        <v>4</v>
      </c>
      <c r="D462" s="2" t="s">
        <v>0</v>
      </c>
      <c r="E462" s="2" t="s">
        <v>1734</v>
      </c>
      <c r="F462" s="2">
        <v>1952</v>
      </c>
      <c r="G462" s="2">
        <f>(5*22.2+11.9*12.8+10*12.8+11.1*11.8+10*13+4.8*7.6+7.6*8.2+3.9*4.5+12.2*13+9.6*12.7+11.1*12+10.2*10.6+4.8*7+12.9*16.2+10.2*12.7+8.8*10)*1.2</f>
        <v>2100.732</v>
      </c>
      <c r="H462" s="2">
        <v>1975</v>
      </c>
      <c r="I462" s="2" t="s">
        <v>25</v>
      </c>
      <c r="J462" s="2">
        <v>2</v>
      </c>
      <c r="K462" s="2">
        <v>3</v>
      </c>
      <c r="L462" s="2">
        <v>2</v>
      </c>
      <c r="M462" s="2">
        <v>10</v>
      </c>
      <c r="N462" s="5" t="s">
        <v>880</v>
      </c>
      <c r="O462" s="12">
        <v>860000</v>
      </c>
      <c r="P462" s="3">
        <f>(4223+538)/12</f>
        <v>396.75</v>
      </c>
      <c r="R462" s="3">
        <v>4516.8999999999996</v>
      </c>
      <c r="S462" s="12">
        <f t="shared" si="21"/>
        <v>135.54270000000002</v>
      </c>
      <c r="T462" s="3">
        <f t="shared" si="22"/>
        <v>5049.1926999999996</v>
      </c>
      <c r="U462" s="12">
        <f t="shared" si="23"/>
        <v>1634757.8099999998</v>
      </c>
    </row>
    <row r="463" spans="1:21" ht="13.8" x14ac:dyDescent="0.3">
      <c r="A463" s="6">
        <v>45444</v>
      </c>
      <c r="B463" s="2" t="s">
        <v>935</v>
      </c>
      <c r="C463" s="2" t="s">
        <v>4</v>
      </c>
      <c r="D463" s="2" t="s">
        <v>0</v>
      </c>
      <c r="E463" s="2" t="s">
        <v>1734</v>
      </c>
      <c r="F463" s="2">
        <v>1950</v>
      </c>
      <c r="G463" s="2">
        <f>(15.7*14.2+20*15+10.1*12.1+8.5*8.3+14.8*7.3+17.1*18.7+14.4*13.7+10*13.6+6.7*6.6)*1.3*2</f>
        <v>3954.6260000000002</v>
      </c>
      <c r="H463" s="2">
        <v>3391</v>
      </c>
      <c r="I463" s="2" t="s">
        <v>25</v>
      </c>
      <c r="J463" s="2">
        <v>2</v>
      </c>
      <c r="K463" s="2">
        <v>3</v>
      </c>
      <c r="L463" s="2">
        <v>2</v>
      </c>
      <c r="M463" s="2">
        <v>10</v>
      </c>
      <c r="N463" s="5" t="s">
        <v>881</v>
      </c>
      <c r="O463" s="12">
        <v>874900</v>
      </c>
      <c r="P463" s="3">
        <f>6090/12</f>
        <v>507.5</v>
      </c>
      <c r="R463" s="3">
        <v>4607.8500000000004</v>
      </c>
      <c r="S463" s="12">
        <f t="shared" si="21"/>
        <v>243.68651666666668</v>
      </c>
      <c r="T463" s="3">
        <f t="shared" si="22"/>
        <v>5359.036516666667</v>
      </c>
      <c r="U463" s="12">
        <f t="shared" si="23"/>
        <v>1727710.9550000001</v>
      </c>
    </row>
    <row r="464" spans="1:21" ht="13.8" x14ac:dyDescent="0.3">
      <c r="A464" s="6">
        <v>45444</v>
      </c>
      <c r="B464" s="2" t="s">
        <v>936</v>
      </c>
      <c r="C464" s="2" t="s">
        <v>4</v>
      </c>
      <c r="D464" s="2" t="s">
        <v>0</v>
      </c>
      <c r="E464" s="2" t="s">
        <v>1734</v>
      </c>
      <c r="F464" s="2">
        <v>1944</v>
      </c>
      <c r="G464" s="7">
        <f>(15.5*8.3+11.9*15.4+13.3*10.8+9*9+10.8*13.1)*1.3*2</f>
        <v>1762.8780000000004</v>
      </c>
      <c r="H464" s="2">
        <v>1890</v>
      </c>
      <c r="I464" s="2" t="s">
        <v>25</v>
      </c>
      <c r="J464" s="2">
        <v>2</v>
      </c>
      <c r="K464" s="2">
        <v>6</v>
      </c>
      <c r="L464" s="2">
        <v>2</v>
      </c>
      <c r="M464" s="2">
        <v>10</v>
      </c>
      <c r="N464" s="5" t="s">
        <v>882</v>
      </c>
      <c r="O464" s="12">
        <v>899000</v>
      </c>
      <c r="P464" s="3">
        <f>4011/12</f>
        <v>334.25</v>
      </c>
      <c r="R464" s="3">
        <v>4754.95</v>
      </c>
      <c r="S464" s="12">
        <f t="shared" si="21"/>
        <v>115.83455000000002</v>
      </c>
      <c r="T464" s="3">
        <f t="shared" si="22"/>
        <v>5205.0345499999994</v>
      </c>
      <c r="U464" s="12">
        <f t="shared" si="23"/>
        <v>1681510.3649999998</v>
      </c>
    </row>
    <row r="465" spans="1:21" ht="13.8" x14ac:dyDescent="0.3">
      <c r="A465" s="6">
        <v>45444</v>
      </c>
      <c r="B465" s="2" t="s">
        <v>937</v>
      </c>
      <c r="C465" s="2" t="s">
        <v>4</v>
      </c>
      <c r="D465" s="2" t="s">
        <v>0</v>
      </c>
      <c r="E465" s="2" t="s">
        <v>1734</v>
      </c>
      <c r="F465" s="2">
        <v>1941</v>
      </c>
      <c r="G465" s="7">
        <f>(13.2*13+13.9*9.1+8.7*5.6+13.6*10.3+13.3*10.3+13*10.2+6.9*6.3+10.9*9.9+11.9*11.6+9.9*7.9+7.5*6.8+12.9*9.8)*1.3*2</f>
        <v>3383.9780000000005</v>
      </c>
      <c r="H465" s="2">
        <v>2550</v>
      </c>
      <c r="I465" s="2" t="s">
        <v>25</v>
      </c>
      <c r="J465" s="2">
        <v>2</v>
      </c>
      <c r="K465" s="2">
        <v>5</v>
      </c>
      <c r="L465" s="2">
        <v>2</v>
      </c>
      <c r="M465" s="2">
        <v>10</v>
      </c>
      <c r="N465" s="5" t="s">
        <v>883</v>
      </c>
      <c r="O465" s="12">
        <v>899000</v>
      </c>
      <c r="P465" s="3">
        <v>500</v>
      </c>
      <c r="Q465" s="2" t="s">
        <v>25</v>
      </c>
      <c r="R465" s="3">
        <v>4754.95</v>
      </c>
      <c r="S465" s="12">
        <f t="shared" si="21"/>
        <v>210.39871666666673</v>
      </c>
      <c r="T465" s="3">
        <f t="shared" si="22"/>
        <v>5465.3487166666664</v>
      </c>
      <c r="U465" s="12">
        <f t="shared" si="23"/>
        <v>1759604.6149999998</v>
      </c>
    </row>
    <row r="466" spans="1:21" ht="13.8" x14ac:dyDescent="0.3">
      <c r="A466" s="6">
        <v>45444</v>
      </c>
      <c r="B466" s="2" t="s">
        <v>938</v>
      </c>
      <c r="C466" s="2" t="s">
        <v>4</v>
      </c>
      <c r="D466" s="2" t="s">
        <v>0</v>
      </c>
      <c r="E466" s="2" t="s">
        <v>1734</v>
      </c>
      <c r="F466" s="2">
        <v>1927</v>
      </c>
      <c r="G466" s="7">
        <f>(5.7*4.1+12*11.2+10.9*8.2+21.9*8.6+12.3*10.9+11.4*11.9+11.9*8.6+11.9*7.2+39.8*27.6)*1.3*2</f>
        <v>5178.4720000000007</v>
      </c>
      <c r="H466" s="2">
        <v>2156</v>
      </c>
      <c r="I466" s="2" t="s">
        <v>25</v>
      </c>
      <c r="J466" s="2">
        <v>2</v>
      </c>
      <c r="K466" s="2">
        <v>3</v>
      </c>
      <c r="L466" s="2">
        <v>2</v>
      </c>
      <c r="M466" s="2">
        <v>10</v>
      </c>
      <c r="N466" s="5" t="s">
        <v>884</v>
      </c>
      <c r="O466" s="12">
        <v>950000</v>
      </c>
      <c r="P466" s="3">
        <f>(4972+608)/12</f>
        <v>465</v>
      </c>
      <c r="R466" s="3">
        <v>5066.25</v>
      </c>
      <c r="S466" s="12">
        <f t="shared" si="21"/>
        <v>315.07753333333341</v>
      </c>
      <c r="T466" s="3">
        <f t="shared" si="22"/>
        <v>5846.3275333333331</v>
      </c>
      <c r="U466" s="12">
        <f t="shared" si="23"/>
        <v>1873898.26</v>
      </c>
    </row>
    <row r="467" spans="1:21" ht="13.8" x14ac:dyDescent="0.3">
      <c r="A467" s="6">
        <v>45444</v>
      </c>
      <c r="B467" s="2" t="s">
        <v>939</v>
      </c>
      <c r="C467" s="2" t="s">
        <v>4</v>
      </c>
      <c r="D467" s="2" t="s">
        <v>0</v>
      </c>
      <c r="E467" s="2" t="s">
        <v>1734</v>
      </c>
      <c r="F467" s="2">
        <v>1949</v>
      </c>
      <c r="G467" s="2">
        <f>(3.9*3.7+14.9*11.2+12.8*12.1+7.9*5.3+12.6*9.2+14.9*7.3+10.8*8.7+25*13.9+21*15.9+10.4*9.5+8.3*6.1+6.9*5.4+8.4*6+14.9*10.9+12.9*12.7+8.8*5.3+12.9*9.8+11.3*10.9+12.9*8.7)*1.3</f>
        <v>3054.8700000000008</v>
      </c>
      <c r="H467" s="2">
        <v>2112</v>
      </c>
      <c r="I467" s="2" t="s">
        <v>25</v>
      </c>
      <c r="J467" s="2">
        <v>2</v>
      </c>
      <c r="K467" s="2">
        <v>3</v>
      </c>
      <c r="L467" s="2">
        <v>2</v>
      </c>
      <c r="M467" s="2">
        <v>10</v>
      </c>
      <c r="N467" s="5" t="s">
        <v>885</v>
      </c>
      <c r="O467" s="12">
        <v>974999</v>
      </c>
      <c r="P467" s="3">
        <f>(625+5172)/12</f>
        <v>483.08333333333331</v>
      </c>
      <c r="R467" s="3">
        <v>5218.84</v>
      </c>
      <c r="S467" s="12">
        <f t="shared" si="21"/>
        <v>191.20075000000006</v>
      </c>
      <c r="T467" s="3">
        <f t="shared" si="22"/>
        <v>5893.1240833333331</v>
      </c>
      <c r="U467" s="12">
        <f t="shared" si="23"/>
        <v>1887937.2250000001</v>
      </c>
    </row>
    <row r="468" spans="1:21" ht="13.8" x14ac:dyDescent="0.3">
      <c r="A468" s="6">
        <v>45444</v>
      </c>
      <c r="B468" s="2" t="s">
        <v>940</v>
      </c>
      <c r="C468" s="2" t="s">
        <v>4</v>
      </c>
      <c r="D468" s="2" t="s">
        <v>0</v>
      </c>
      <c r="E468" s="2" t="s">
        <v>1734</v>
      </c>
      <c r="F468" s="2">
        <v>1941</v>
      </c>
      <c r="G468" s="2">
        <f>(28.7*4.9+13*10.4+11.6*10.3+13.5*8.8+13*10.2+6.9*4.9+17.2*11.8+25*15.2+20.5*5+13.3*10.2+12*10.3+13.7*8.9+13.6*10.2+6.9*5+8.8*7.8+20*5+13.2*10.3+12*10.2+6.9*4.9+8.8*7.9+28.7*4.9+13*10.4+11.6*10.3+12.2*5+13.5*9+13.5*10.9+16.5*13.2+17.2*16.5+17.3*7.7)*1.3</f>
        <v>4953.6370000000015</v>
      </c>
      <c r="H468" s="2">
        <v>3680</v>
      </c>
      <c r="I468" s="2" t="s">
        <v>25</v>
      </c>
      <c r="J468" s="2">
        <v>4</v>
      </c>
      <c r="K468" s="2">
        <v>4</v>
      </c>
      <c r="L468" s="2">
        <v>4</v>
      </c>
      <c r="M468" s="2">
        <v>12</v>
      </c>
      <c r="N468" s="5" t="s">
        <v>886</v>
      </c>
      <c r="O468" s="12">
        <v>995000</v>
      </c>
      <c r="P468" s="3">
        <f>(5738+743)/12</f>
        <v>540.08333333333337</v>
      </c>
      <c r="R468" s="3">
        <v>5340.93</v>
      </c>
      <c r="S468" s="12">
        <f t="shared" si="21"/>
        <v>301.96215833333343</v>
      </c>
      <c r="T468" s="3">
        <f t="shared" si="22"/>
        <v>6182.975491666667</v>
      </c>
      <c r="U468" s="12">
        <f t="shared" si="23"/>
        <v>1974892.6475</v>
      </c>
    </row>
    <row r="469" spans="1:21" ht="14.4" x14ac:dyDescent="0.3">
      <c r="A469" s="6">
        <v>45503</v>
      </c>
      <c r="B469" s="2" t="s">
        <v>1012</v>
      </c>
      <c r="C469" s="2" t="s">
        <v>4</v>
      </c>
      <c r="D469" s="2" t="s">
        <v>0</v>
      </c>
      <c r="E469" s="2" t="s">
        <v>375</v>
      </c>
      <c r="F469" s="2">
        <v>1915</v>
      </c>
      <c r="G469" s="1">
        <v>831</v>
      </c>
      <c r="H469" s="2">
        <v>831</v>
      </c>
      <c r="J469" s="2">
        <v>1</v>
      </c>
      <c r="K469" s="2">
        <v>3</v>
      </c>
      <c r="L469" s="2">
        <v>1</v>
      </c>
      <c r="M469" s="2">
        <v>7</v>
      </c>
      <c r="N469" s="9" t="s">
        <v>1011</v>
      </c>
      <c r="O469" s="8">
        <v>299000</v>
      </c>
      <c r="P469" s="3">
        <f>2589/12</f>
        <v>215.75</v>
      </c>
      <c r="R469" s="3">
        <v>1093</v>
      </c>
      <c r="S469" s="12">
        <f t="shared" si="21"/>
        <v>61.475000000000001</v>
      </c>
      <c r="T469" s="3">
        <f t="shared" si="22"/>
        <v>1370.2249999999999</v>
      </c>
      <c r="U469" s="12">
        <f t="shared" si="23"/>
        <v>531067.5</v>
      </c>
    </row>
    <row r="470" spans="1:21" ht="14.4" x14ac:dyDescent="0.3">
      <c r="A470" s="6">
        <v>45503</v>
      </c>
      <c r="B470" s="2" t="s">
        <v>1010</v>
      </c>
      <c r="C470" s="2" t="s">
        <v>4</v>
      </c>
      <c r="D470" s="2" t="s">
        <v>0</v>
      </c>
      <c r="E470" s="2" t="s">
        <v>375</v>
      </c>
      <c r="F470" s="2">
        <v>1984</v>
      </c>
      <c r="G470" s="1">
        <v>658</v>
      </c>
      <c r="H470" s="2">
        <v>658</v>
      </c>
      <c r="J470" s="2">
        <v>1</v>
      </c>
      <c r="K470" s="2">
        <v>1</v>
      </c>
      <c r="L470" s="2">
        <v>1</v>
      </c>
      <c r="M470" s="2">
        <v>6</v>
      </c>
      <c r="N470" s="9" t="s">
        <v>1009</v>
      </c>
      <c r="O470" s="8">
        <v>339000</v>
      </c>
      <c r="P470" s="3">
        <f>(3432+1640+195)/12</f>
        <v>438.91666666666669</v>
      </c>
      <c r="R470" s="3">
        <v>1337</v>
      </c>
      <c r="S470" s="12">
        <f t="shared" si="21"/>
        <v>51.383333333333333</v>
      </c>
      <c r="T470" s="3">
        <f t="shared" si="22"/>
        <v>1827.3000000000002</v>
      </c>
      <c r="U470" s="12">
        <f t="shared" si="23"/>
        <v>668190</v>
      </c>
    </row>
    <row r="471" spans="1:21" ht="14.4" x14ac:dyDescent="0.3">
      <c r="A471" s="6">
        <v>45503</v>
      </c>
      <c r="B471" s="2" t="s">
        <v>1008</v>
      </c>
      <c r="C471" s="2" t="s">
        <v>4</v>
      </c>
      <c r="D471" s="2" t="s">
        <v>9</v>
      </c>
      <c r="E471" s="2" t="s">
        <v>375</v>
      </c>
      <c r="F471" s="2">
        <v>1994</v>
      </c>
      <c r="G471" s="1">
        <v>586</v>
      </c>
      <c r="H471" s="2">
        <v>586</v>
      </c>
      <c r="J471" s="2">
        <v>1</v>
      </c>
      <c r="K471" s="2">
        <v>1</v>
      </c>
      <c r="L471" s="2">
        <v>1</v>
      </c>
      <c r="M471" s="2">
        <v>4</v>
      </c>
      <c r="N471" s="9" t="s">
        <v>1007</v>
      </c>
      <c r="O471" s="8">
        <v>348000</v>
      </c>
      <c r="P471" s="3">
        <f>(4296+1609+177)/12</f>
        <v>506.83333333333331</v>
      </c>
      <c r="R471" s="3">
        <v>1392</v>
      </c>
      <c r="S471" s="12">
        <f t="shared" si="21"/>
        <v>47.183333333333337</v>
      </c>
      <c r="T471" s="3">
        <f t="shared" si="22"/>
        <v>1946.0166666666667</v>
      </c>
      <c r="U471" s="8">
        <f t="shared" si="23"/>
        <v>703805</v>
      </c>
    </row>
    <row r="472" spans="1:21" ht="14.4" x14ac:dyDescent="0.3">
      <c r="A472" s="6">
        <v>45503</v>
      </c>
      <c r="B472" s="2" t="s">
        <v>1006</v>
      </c>
      <c r="C472" s="2" t="s">
        <v>4</v>
      </c>
      <c r="D472" s="2" t="s">
        <v>0</v>
      </c>
      <c r="E472" s="2" t="s">
        <v>375</v>
      </c>
      <c r="F472" s="2">
        <v>2009</v>
      </c>
      <c r="G472" s="1">
        <v>691</v>
      </c>
      <c r="H472" s="2">
        <v>691</v>
      </c>
      <c r="J472" s="2">
        <v>1</v>
      </c>
      <c r="K472" s="2">
        <v>1</v>
      </c>
      <c r="L472" s="2">
        <v>1</v>
      </c>
      <c r="M472" s="2">
        <v>6</v>
      </c>
      <c r="N472" s="9" t="s">
        <v>1005</v>
      </c>
      <c r="O472" s="8">
        <v>389000</v>
      </c>
      <c r="P472" s="3">
        <f>(427*12+527+2220)/12</f>
        <v>655.91666666666663</v>
      </c>
      <c r="R472" s="3">
        <v>1642</v>
      </c>
      <c r="S472" s="12">
        <f t="shared" si="21"/>
        <v>53.308333333333337</v>
      </c>
      <c r="T472" s="3">
        <f t="shared" si="22"/>
        <v>2351.2249999999999</v>
      </c>
      <c r="U472" s="8">
        <f t="shared" si="23"/>
        <v>825367.49999999988</v>
      </c>
    </row>
    <row r="473" spans="1:21" ht="27.6" x14ac:dyDescent="0.3">
      <c r="A473" s="6">
        <v>45503</v>
      </c>
      <c r="B473" s="10" t="s">
        <v>1004</v>
      </c>
      <c r="C473" s="2" t="s">
        <v>4</v>
      </c>
      <c r="D473" s="2" t="s">
        <v>0</v>
      </c>
      <c r="E473" s="2" t="s">
        <v>375</v>
      </c>
      <c r="F473" s="2">
        <v>1994</v>
      </c>
      <c r="G473" s="1">
        <v>587</v>
      </c>
      <c r="H473" s="2">
        <v>587</v>
      </c>
      <c r="J473" s="2">
        <v>1</v>
      </c>
      <c r="K473" s="2">
        <v>1</v>
      </c>
      <c r="L473" s="2">
        <v>1</v>
      </c>
      <c r="M473" s="2">
        <v>3</v>
      </c>
      <c r="N473" s="9" t="s">
        <v>1003</v>
      </c>
      <c r="O473" s="8">
        <v>395000</v>
      </c>
      <c r="P473" s="3">
        <f>(4344+1535+182)/12</f>
        <v>505.08333333333331</v>
      </c>
      <c r="R473" s="3">
        <v>1679</v>
      </c>
      <c r="S473" s="12">
        <f t="shared" si="21"/>
        <v>47.241666666666667</v>
      </c>
      <c r="T473" s="3">
        <f t="shared" si="22"/>
        <v>2231.3250000000003</v>
      </c>
      <c r="U473" s="8">
        <f t="shared" si="23"/>
        <v>789397.5</v>
      </c>
    </row>
    <row r="474" spans="1:21" ht="27.6" x14ac:dyDescent="0.3">
      <c r="A474" s="6">
        <v>45503</v>
      </c>
      <c r="B474" s="10" t="s">
        <v>1002</v>
      </c>
      <c r="C474" s="2" t="s">
        <v>4</v>
      </c>
      <c r="D474" s="2" t="s">
        <v>0</v>
      </c>
      <c r="E474" s="2" t="s">
        <v>375</v>
      </c>
      <c r="F474" s="2">
        <v>1931</v>
      </c>
      <c r="G474" s="1">
        <v>744</v>
      </c>
      <c r="H474" s="2">
        <v>744</v>
      </c>
      <c r="J474" s="2">
        <v>1</v>
      </c>
      <c r="K474" s="2">
        <v>2</v>
      </c>
      <c r="L474" s="2">
        <v>1</v>
      </c>
      <c r="M474" s="2">
        <v>8</v>
      </c>
      <c r="N474" s="9" t="s">
        <v>1001</v>
      </c>
      <c r="O474" s="8">
        <v>399000</v>
      </c>
      <c r="P474" s="3">
        <f>(8430+2913)/12</f>
        <v>945.25</v>
      </c>
      <c r="R474" s="3">
        <v>1703</v>
      </c>
      <c r="S474" s="12">
        <f t="shared" si="21"/>
        <v>56.400000000000006</v>
      </c>
      <c r="T474" s="3">
        <f t="shared" si="22"/>
        <v>2704.65</v>
      </c>
      <c r="U474" s="8">
        <f t="shared" si="23"/>
        <v>931395.00000000012</v>
      </c>
    </row>
    <row r="475" spans="1:21" ht="14.4" x14ac:dyDescent="0.3">
      <c r="A475" s="6">
        <v>45503</v>
      </c>
      <c r="B475" s="2" t="s">
        <v>1000</v>
      </c>
      <c r="C475" s="2" t="s">
        <v>4</v>
      </c>
      <c r="D475" s="2" t="s">
        <v>0</v>
      </c>
      <c r="E475" s="2" t="s">
        <v>375</v>
      </c>
      <c r="F475" s="2">
        <v>2009</v>
      </c>
      <c r="G475" s="1">
        <v>665</v>
      </c>
      <c r="H475" s="2">
        <v>665</v>
      </c>
      <c r="J475" s="2">
        <v>1</v>
      </c>
      <c r="K475" s="2">
        <v>1</v>
      </c>
      <c r="L475" s="2">
        <v>1</v>
      </c>
      <c r="M475" s="2">
        <v>6</v>
      </c>
      <c r="N475" s="9" t="s">
        <v>999</v>
      </c>
      <c r="O475" s="8">
        <v>409000</v>
      </c>
      <c r="P475" s="3">
        <f>(2470+399)/12</f>
        <v>239.08333333333334</v>
      </c>
      <c r="R475" s="3">
        <v>1764</v>
      </c>
      <c r="S475" s="12">
        <f t="shared" si="21"/>
        <v>51.791666666666671</v>
      </c>
      <c r="T475" s="3">
        <f t="shared" si="22"/>
        <v>2054.875</v>
      </c>
      <c r="U475" s="8">
        <f t="shared" si="23"/>
        <v>736462.5</v>
      </c>
    </row>
    <row r="476" spans="1:21" ht="14.4" x14ac:dyDescent="0.3">
      <c r="A476" s="6">
        <v>45503</v>
      </c>
      <c r="B476" s="2" t="s">
        <v>998</v>
      </c>
      <c r="C476" s="2" t="s">
        <v>4</v>
      </c>
      <c r="D476" s="2" t="s">
        <v>9</v>
      </c>
      <c r="E476" s="2" t="s">
        <v>375</v>
      </c>
      <c r="F476" s="2">
        <v>1980</v>
      </c>
      <c r="G476" s="1">
        <v>1045</v>
      </c>
      <c r="H476" s="2">
        <v>1045</v>
      </c>
      <c r="J476" s="2">
        <v>1</v>
      </c>
      <c r="K476" s="2">
        <v>2</v>
      </c>
      <c r="L476" s="2">
        <v>2</v>
      </c>
      <c r="M476" s="2">
        <v>6</v>
      </c>
      <c r="N476" s="9" t="s">
        <v>997</v>
      </c>
      <c r="O476" s="8">
        <v>415000</v>
      </c>
      <c r="P476" s="3">
        <f>(2724+7812)/12</f>
        <v>878</v>
      </c>
      <c r="R476" s="3">
        <v>1801</v>
      </c>
      <c r="S476" s="12">
        <f t="shared" si="21"/>
        <v>73.958333333333343</v>
      </c>
      <c r="T476" s="3">
        <f t="shared" si="22"/>
        <v>2752.9583333333335</v>
      </c>
      <c r="U476" s="8">
        <f t="shared" si="23"/>
        <v>945887.5</v>
      </c>
    </row>
    <row r="477" spans="1:21" ht="14.4" x14ac:dyDescent="0.3">
      <c r="A477" s="6">
        <v>45503</v>
      </c>
      <c r="B477" s="2" t="s">
        <v>996</v>
      </c>
      <c r="C477" s="2" t="s">
        <v>4</v>
      </c>
      <c r="D477" s="2" t="s">
        <v>0</v>
      </c>
      <c r="E477" s="2" t="s">
        <v>375</v>
      </c>
      <c r="F477" s="2">
        <v>1931</v>
      </c>
      <c r="G477" s="1">
        <f>(3.4*4.4+11.1*15.6+12.9*7.1+12*9.3+5*3.9+12.9*10.3+5.4*3.7+11.6*5.4+6*13.8)*1.3</f>
        <v>921.83000000000015</v>
      </c>
      <c r="H477" s="1">
        <f>(3.4*4.4+11.1*15.6+12.9*7.1+12*9.3+5*3.9+12.9*10.3+5.4*3.7+11.6*5.4+6*13.8)*1.3</f>
        <v>921.83000000000015</v>
      </c>
      <c r="J477" s="2">
        <v>1</v>
      </c>
      <c r="K477" s="2">
        <v>1</v>
      </c>
      <c r="L477" s="2">
        <v>1</v>
      </c>
      <c r="M477" s="2">
        <v>7</v>
      </c>
      <c r="N477" s="9" t="s">
        <v>995</v>
      </c>
      <c r="O477" s="8">
        <v>424000</v>
      </c>
      <c r="P477" s="3">
        <v>1265</v>
      </c>
      <c r="R477" s="3">
        <v>1856</v>
      </c>
      <c r="S477" s="12">
        <f t="shared" si="21"/>
        <v>66.773416666666691</v>
      </c>
      <c r="T477" s="3">
        <f t="shared" si="22"/>
        <v>3187.7734166666669</v>
      </c>
      <c r="U477" s="8">
        <f t="shared" si="23"/>
        <v>1076332.0249999999</v>
      </c>
    </row>
    <row r="478" spans="1:21" ht="14.4" x14ac:dyDescent="0.3">
      <c r="A478" s="6">
        <v>45503</v>
      </c>
      <c r="B478" s="2" t="s">
        <v>994</v>
      </c>
      <c r="C478" s="2" t="s">
        <v>4</v>
      </c>
      <c r="D478" s="2" t="s">
        <v>0</v>
      </c>
      <c r="E478" s="2" t="s">
        <v>375</v>
      </c>
      <c r="F478" s="2">
        <v>1925</v>
      </c>
      <c r="G478" s="1">
        <v>850</v>
      </c>
      <c r="H478" s="2">
        <v>850</v>
      </c>
      <c r="J478" s="2">
        <v>1</v>
      </c>
      <c r="K478" s="2">
        <v>1</v>
      </c>
      <c r="L478" s="2">
        <v>2</v>
      </c>
      <c r="M478" s="2">
        <v>6</v>
      </c>
      <c r="N478" s="9" t="s">
        <v>993</v>
      </c>
      <c r="O478" s="8">
        <v>438000</v>
      </c>
      <c r="P478" s="3">
        <f>(3360+200*12+30*12)/12</f>
        <v>510</v>
      </c>
      <c r="R478" s="3">
        <v>1941</v>
      </c>
      <c r="S478" s="12">
        <f t="shared" si="21"/>
        <v>62.583333333333336</v>
      </c>
      <c r="T478" s="3">
        <f t="shared" si="22"/>
        <v>2513.5833333333335</v>
      </c>
      <c r="U478" s="8">
        <f t="shared" si="23"/>
        <v>874075</v>
      </c>
    </row>
    <row r="479" spans="1:21" ht="14.4" x14ac:dyDescent="0.3">
      <c r="A479" s="6">
        <v>45503</v>
      </c>
      <c r="B479" s="2" t="s">
        <v>992</v>
      </c>
      <c r="C479" s="2" t="s">
        <v>4</v>
      </c>
      <c r="D479" s="2" t="s">
        <v>0</v>
      </c>
      <c r="E479" s="2" t="s">
        <v>375</v>
      </c>
      <c r="F479" s="2">
        <v>1995</v>
      </c>
      <c r="G479" s="1">
        <v>898</v>
      </c>
      <c r="H479" s="2">
        <v>898</v>
      </c>
      <c r="J479" s="2">
        <v>1</v>
      </c>
      <c r="K479" s="2">
        <v>1</v>
      </c>
      <c r="L479" s="2">
        <v>2</v>
      </c>
      <c r="M479" s="2">
        <v>7</v>
      </c>
      <c r="N479" s="9" t="s">
        <v>991</v>
      </c>
      <c r="O479" s="8">
        <v>445000</v>
      </c>
      <c r="P479" s="3">
        <f>(2180+2520+3372)/12</f>
        <v>672.66666666666663</v>
      </c>
      <c r="R479" s="3">
        <v>1984</v>
      </c>
      <c r="S479" s="12">
        <f t="shared" si="21"/>
        <v>65.383333333333326</v>
      </c>
      <c r="T479" s="3">
        <f t="shared" si="22"/>
        <v>2722.0499999999997</v>
      </c>
      <c r="U479" s="8">
        <f t="shared" si="23"/>
        <v>936615</v>
      </c>
    </row>
    <row r="480" spans="1:21" ht="14.4" x14ac:dyDescent="0.3">
      <c r="A480" s="6">
        <v>45503</v>
      </c>
      <c r="B480" s="2" t="s">
        <v>990</v>
      </c>
      <c r="C480" s="2" t="s">
        <v>4</v>
      </c>
      <c r="D480" s="2" t="s">
        <v>0</v>
      </c>
      <c r="E480" s="2" t="s">
        <v>375</v>
      </c>
      <c r="F480" s="2">
        <v>2000</v>
      </c>
      <c r="G480" s="1">
        <v>992</v>
      </c>
      <c r="H480" s="2">
        <v>992</v>
      </c>
      <c r="J480" s="2">
        <v>1</v>
      </c>
      <c r="K480" s="2">
        <v>1</v>
      </c>
      <c r="L480" s="2">
        <v>2</v>
      </c>
      <c r="M480" s="2">
        <v>5</v>
      </c>
      <c r="N480" s="9" t="s">
        <v>989</v>
      </c>
      <c r="O480" s="8">
        <v>459000</v>
      </c>
      <c r="P480" s="3">
        <f>(3589+4860)/12</f>
        <v>704.08333333333337</v>
      </c>
      <c r="R480" s="3">
        <v>2069</v>
      </c>
      <c r="S480" s="12">
        <f t="shared" si="21"/>
        <v>70.866666666666674</v>
      </c>
      <c r="T480" s="3">
        <f t="shared" si="22"/>
        <v>2843.9500000000003</v>
      </c>
      <c r="U480" s="8">
        <f t="shared" si="23"/>
        <v>973185</v>
      </c>
    </row>
    <row r="481" spans="1:21" ht="14.4" x14ac:dyDescent="0.3">
      <c r="A481" s="6">
        <v>45503</v>
      </c>
      <c r="B481" s="2" t="s">
        <v>988</v>
      </c>
      <c r="C481" s="2" t="s">
        <v>4</v>
      </c>
      <c r="D481" s="2" t="s">
        <v>0</v>
      </c>
      <c r="E481" s="2" t="s">
        <v>375</v>
      </c>
      <c r="F481" s="2">
        <v>1984</v>
      </c>
      <c r="G481" s="1">
        <v>973</v>
      </c>
      <c r="H481" s="2">
        <v>973</v>
      </c>
      <c r="J481" s="2">
        <v>1</v>
      </c>
      <c r="K481" s="2">
        <v>1</v>
      </c>
      <c r="L481" s="2">
        <v>2</v>
      </c>
      <c r="M481" s="2">
        <v>4</v>
      </c>
      <c r="N481" s="9" t="s">
        <v>987</v>
      </c>
      <c r="O481" s="8">
        <v>479900</v>
      </c>
      <c r="P481" s="3">
        <f>(2794+2820)/12</f>
        <v>467.83333333333331</v>
      </c>
      <c r="R481" s="3">
        <v>2197</v>
      </c>
      <c r="S481" s="12">
        <f t="shared" si="21"/>
        <v>69.758333333333326</v>
      </c>
      <c r="T481" s="3">
        <f t="shared" si="22"/>
        <v>2734.5916666666667</v>
      </c>
      <c r="U481" s="8">
        <f t="shared" si="23"/>
        <v>940377.5</v>
      </c>
    </row>
    <row r="482" spans="1:21" ht="14.4" x14ac:dyDescent="0.3">
      <c r="A482" s="6">
        <v>45503</v>
      </c>
      <c r="B482" s="2" t="s">
        <v>986</v>
      </c>
      <c r="C482" s="2" t="s">
        <v>4</v>
      </c>
      <c r="D482" s="2" t="s">
        <v>0</v>
      </c>
      <c r="E482" s="2" t="s">
        <v>375</v>
      </c>
      <c r="F482" s="2">
        <v>2004</v>
      </c>
      <c r="G482" s="1">
        <v>910</v>
      </c>
      <c r="H482" s="2">
        <v>910</v>
      </c>
      <c r="J482" s="2">
        <v>1</v>
      </c>
      <c r="K482" s="2">
        <v>2</v>
      </c>
      <c r="L482" s="2">
        <v>2</v>
      </c>
      <c r="M482" s="2">
        <v>7</v>
      </c>
      <c r="N482" s="9" t="s">
        <v>985</v>
      </c>
      <c r="O482" s="8">
        <v>489000</v>
      </c>
      <c r="P482" s="3">
        <f>(5322+355+2953)/12</f>
        <v>719.16666666666663</v>
      </c>
      <c r="R482" s="3">
        <v>2252</v>
      </c>
      <c r="S482" s="12">
        <f t="shared" si="21"/>
        <v>66.083333333333343</v>
      </c>
      <c r="T482" s="3">
        <f t="shared" si="22"/>
        <v>3037.25</v>
      </c>
      <c r="U482" s="8">
        <f t="shared" si="23"/>
        <v>1031175</v>
      </c>
    </row>
    <row r="483" spans="1:21" ht="14.4" x14ac:dyDescent="0.3">
      <c r="A483" s="6">
        <v>45503</v>
      </c>
      <c r="B483" s="2" t="s">
        <v>984</v>
      </c>
      <c r="C483" s="2" t="s">
        <v>4</v>
      </c>
      <c r="D483" s="2" t="s">
        <v>0</v>
      </c>
      <c r="E483" s="2" t="s">
        <v>375</v>
      </c>
      <c r="F483" s="2">
        <v>1918</v>
      </c>
      <c r="G483" s="1">
        <v>803</v>
      </c>
      <c r="H483" s="2">
        <v>803</v>
      </c>
      <c r="J483" s="2">
        <v>1</v>
      </c>
      <c r="K483" s="2">
        <v>3</v>
      </c>
      <c r="L483" s="2">
        <v>1</v>
      </c>
      <c r="M483" s="2">
        <v>6</v>
      </c>
      <c r="N483" s="9" t="s">
        <v>983</v>
      </c>
      <c r="O483" s="8">
        <v>489000</v>
      </c>
      <c r="P483" s="3">
        <f>(4560+300*12)/12</f>
        <v>680</v>
      </c>
      <c r="R483" s="3">
        <v>2252</v>
      </c>
      <c r="S483" s="12">
        <f t="shared" si="21"/>
        <v>59.841666666666669</v>
      </c>
      <c r="T483" s="3">
        <f t="shared" si="22"/>
        <v>2991.8416666666667</v>
      </c>
      <c r="U483" s="8">
        <f t="shared" si="23"/>
        <v>1017552.5</v>
      </c>
    </row>
    <row r="484" spans="1:21" ht="14.4" x14ac:dyDescent="0.3">
      <c r="A484" s="6">
        <v>45503</v>
      </c>
      <c r="B484" s="2" t="s">
        <v>982</v>
      </c>
      <c r="C484" s="2" t="s">
        <v>4</v>
      </c>
      <c r="D484" s="2" t="s">
        <v>0</v>
      </c>
      <c r="E484" s="2" t="s">
        <v>375</v>
      </c>
      <c r="F484" s="2">
        <v>2005</v>
      </c>
      <c r="G484" s="1">
        <v>717</v>
      </c>
      <c r="H484" s="2">
        <v>717</v>
      </c>
      <c r="J484" s="2">
        <v>1</v>
      </c>
      <c r="K484" s="2">
        <v>2</v>
      </c>
      <c r="L484" s="2">
        <v>1</v>
      </c>
      <c r="M484" s="2">
        <v>6</v>
      </c>
      <c r="N484" s="9" t="s">
        <v>981</v>
      </c>
      <c r="O484" s="8">
        <v>495000</v>
      </c>
      <c r="P484" s="3">
        <f>(2215+4884)/12</f>
        <v>591.58333333333337</v>
      </c>
      <c r="R484" s="3">
        <v>2289</v>
      </c>
      <c r="S484" s="12">
        <f t="shared" si="21"/>
        <v>54.825000000000003</v>
      </c>
      <c r="T484" s="3">
        <f t="shared" si="22"/>
        <v>2935.4083333333333</v>
      </c>
      <c r="U484" s="8">
        <f t="shared" si="23"/>
        <v>1000622.5</v>
      </c>
    </row>
    <row r="485" spans="1:21" ht="14.4" x14ac:dyDescent="0.3">
      <c r="A485" s="6">
        <v>45503</v>
      </c>
      <c r="B485" s="2" t="s">
        <v>980</v>
      </c>
      <c r="C485" s="2" t="s">
        <v>4</v>
      </c>
      <c r="D485" s="2" t="s">
        <v>0</v>
      </c>
      <c r="E485" s="2" t="s">
        <v>375</v>
      </c>
      <c r="F485" s="2">
        <v>1924</v>
      </c>
      <c r="G485" s="1">
        <v>848</v>
      </c>
      <c r="H485" s="2">
        <v>848</v>
      </c>
      <c r="J485" s="2">
        <v>1</v>
      </c>
      <c r="K485" s="2">
        <v>2</v>
      </c>
      <c r="L485" s="2">
        <v>1</v>
      </c>
      <c r="M485" s="2">
        <v>5</v>
      </c>
      <c r="N485" s="9" t="s">
        <v>979</v>
      </c>
      <c r="O485" s="8">
        <v>499000</v>
      </c>
      <c r="P485" s="3">
        <f>(1630+248)/12</f>
        <v>156.5</v>
      </c>
      <c r="R485" s="3">
        <v>2313</v>
      </c>
      <c r="S485" s="12">
        <f t="shared" si="21"/>
        <v>62.466666666666669</v>
      </c>
      <c r="T485" s="3">
        <f t="shared" si="22"/>
        <v>2531.9666666666667</v>
      </c>
      <c r="U485" s="8">
        <f t="shared" si="23"/>
        <v>879590</v>
      </c>
    </row>
    <row r="486" spans="1:21" ht="14.4" x14ac:dyDescent="0.3">
      <c r="A486" s="6">
        <v>45503</v>
      </c>
      <c r="B486" s="2" t="s">
        <v>978</v>
      </c>
      <c r="C486" s="2" t="s">
        <v>4</v>
      </c>
      <c r="D486" s="2" t="s">
        <v>0</v>
      </c>
      <c r="E486" s="2" t="s">
        <v>375</v>
      </c>
      <c r="F486" s="2">
        <v>2021</v>
      </c>
      <c r="G486" s="1">
        <v>608</v>
      </c>
      <c r="H486" s="2">
        <v>308</v>
      </c>
      <c r="J486" s="2">
        <v>1</v>
      </c>
      <c r="K486" s="2">
        <v>2</v>
      </c>
      <c r="L486" s="2">
        <v>1</v>
      </c>
      <c r="M486" s="2">
        <v>5</v>
      </c>
      <c r="N486" s="9" t="s">
        <v>977</v>
      </c>
      <c r="O486" s="8">
        <v>500000</v>
      </c>
      <c r="P486" s="3">
        <f>(2941+2772)/12</f>
        <v>476.08333333333331</v>
      </c>
      <c r="R486" s="3">
        <v>2319</v>
      </c>
      <c r="S486" s="12">
        <f t="shared" si="21"/>
        <v>48.466666666666669</v>
      </c>
      <c r="T486" s="3">
        <f t="shared" si="22"/>
        <v>2843.55</v>
      </c>
      <c r="U486" s="8">
        <f t="shared" si="23"/>
        <v>973065.00000000012</v>
      </c>
    </row>
    <row r="487" spans="1:21" ht="14.4" x14ac:dyDescent="0.3">
      <c r="A487" s="6">
        <v>45503</v>
      </c>
      <c r="B487" s="2" t="s">
        <v>976</v>
      </c>
      <c r="C487" s="2" t="s">
        <v>4</v>
      </c>
      <c r="D487" s="2" t="s">
        <v>0</v>
      </c>
      <c r="E487" s="2" t="s">
        <v>375</v>
      </c>
      <c r="F487" s="2">
        <v>2011</v>
      </c>
      <c r="G487" s="1">
        <v>830</v>
      </c>
      <c r="H487" s="2">
        <v>830</v>
      </c>
      <c r="J487" s="2">
        <v>1</v>
      </c>
      <c r="K487" s="2">
        <v>2</v>
      </c>
      <c r="L487" s="2">
        <v>1</v>
      </c>
      <c r="M487" s="2">
        <v>6</v>
      </c>
      <c r="N487" s="9" t="s">
        <v>975</v>
      </c>
      <c r="O487" s="8">
        <v>529000</v>
      </c>
      <c r="P487" s="3">
        <f>(4356+2867+358)/12</f>
        <v>631.75</v>
      </c>
      <c r="R487" s="3">
        <v>2497</v>
      </c>
      <c r="S487" s="12">
        <f t="shared" si="21"/>
        <v>61.416666666666664</v>
      </c>
      <c r="T487" s="3">
        <f t="shared" si="22"/>
        <v>3190.1666666666665</v>
      </c>
      <c r="U487" s="8">
        <f t="shared" si="23"/>
        <v>1077050</v>
      </c>
    </row>
    <row r="488" spans="1:21" ht="14.4" x14ac:dyDescent="0.3">
      <c r="A488" s="6">
        <v>45503</v>
      </c>
      <c r="B488" s="2" t="s">
        <v>974</v>
      </c>
      <c r="C488" s="2" t="s">
        <v>4</v>
      </c>
      <c r="D488" s="2" t="s">
        <v>0</v>
      </c>
      <c r="E488" s="2" t="s">
        <v>375</v>
      </c>
      <c r="F488" s="2">
        <v>2017</v>
      </c>
      <c r="G488" s="1">
        <v>863</v>
      </c>
      <c r="H488" s="2">
        <v>863</v>
      </c>
      <c r="J488" s="2">
        <v>1</v>
      </c>
      <c r="K488" s="2">
        <v>3</v>
      </c>
      <c r="L488" s="2">
        <v>1</v>
      </c>
      <c r="M488" s="2">
        <v>8</v>
      </c>
      <c r="N488" s="9" t="s">
        <v>973</v>
      </c>
      <c r="O488" s="8">
        <v>530000</v>
      </c>
      <c r="P488" s="3">
        <f>(3296+5880)/12</f>
        <v>764.66666666666663</v>
      </c>
      <c r="R488" s="3">
        <v>2503</v>
      </c>
      <c r="S488" s="12">
        <f t="shared" si="21"/>
        <v>63.341666666666669</v>
      </c>
      <c r="T488" s="3">
        <f t="shared" si="22"/>
        <v>3331.0083333333332</v>
      </c>
      <c r="U488" s="8">
        <f t="shared" si="23"/>
        <v>1119302.5</v>
      </c>
    </row>
    <row r="489" spans="1:21" ht="14.4" x14ac:dyDescent="0.3">
      <c r="A489" s="6">
        <v>45503</v>
      </c>
      <c r="B489" s="2" t="s">
        <v>972</v>
      </c>
      <c r="C489" s="2" t="s">
        <v>4</v>
      </c>
      <c r="D489" s="2" t="s">
        <v>0</v>
      </c>
      <c r="E489" s="2" t="s">
        <v>375</v>
      </c>
      <c r="F489" s="2">
        <v>1990</v>
      </c>
      <c r="G489" s="1">
        <v>1200</v>
      </c>
      <c r="H489" s="2">
        <v>1200</v>
      </c>
      <c r="J489" s="2">
        <v>1</v>
      </c>
      <c r="K489" s="2">
        <v>3</v>
      </c>
      <c r="L489" s="2">
        <v>1</v>
      </c>
      <c r="M489" s="2">
        <v>8</v>
      </c>
      <c r="N489" s="9" t="s">
        <v>971</v>
      </c>
      <c r="O489" s="8">
        <v>543000</v>
      </c>
      <c r="P489" s="3">
        <f>(1350+12)/12</f>
        <v>113.5</v>
      </c>
      <c r="R489" s="3">
        <v>2582</v>
      </c>
      <c r="S489" s="12">
        <f t="shared" si="21"/>
        <v>83.000000000000014</v>
      </c>
      <c r="T489" s="3">
        <f t="shared" si="22"/>
        <v>2778.5</v>
      </c>
      <c r="U489" s="8">
        <f t="shared" si="23"/>
        <v>953550</v>
      </c>
    </row>
    <row r="490" spans="1:21" ht="14.4" x14ac:dyDescent="0.3">
      <c r="A490" s="6">
        <v>45503</v>
      </c>
      <c r="B490" s="2" t="s">
        <v>970</v>
      </c>
      <c r="C490" s="2" t="s">
        <v>4</v>
      </c>
      <c r="D490" s="2" t="s">
        <v>0</v>
      </c>
      <c r="E490" s="2" t="s">
        <v>375</v>
      </c>
      <c r="F490" s="2">
        <v>1997</v>
      </c>
      <c r="G490" s="1">
        <v>1049</v>
      </c>
      <c r="H490" s="2">
        <v>1049</v>
      </c>
      <c r="J490" s="2">
        <v>2</v>
      </c>
      <c r="K490" s="2">
        <v>2</v>
      </c>
      <c r="L490" s="2">
        <v>1</v>
      </c>
      <c r="M490" s="2">
        <v>5</v>
      </c>
      <c r="N490" s="9" t="s">
        <v>969</v>
      </c>
      <c r="O490" s="8">
        <v>549900</v>
      </c>
      <c r="P490" s="3">
        <f>(3912+3266+397)/12</f>
        <v>631.25</v>
      </c>
      <c r="R490" s="3">
        <v>2624</v>
      </c>
      <c r="S490" s="12">
        <f t="shared" si="21"/>
        <v>74.191666666666663</v>
      </c>
      <c r="T490" s="3">
        <f t="shared" si="22"/>
        <v>3329.4416666666666</v>
      </c>
      <c r="U490" s="8">
        <f t="shared" si="23"/>
        <v>1118832.5</v>
      </c>
    </row>
    <row r="491" spans="1:21" ht="14.4" x14ac:dyDescent="0.3">
      <c r="A491" s="6">
        <v>45503</v>
      </c>
      <c r="B491" s="2" t="s">
        <v>968</v>
      </c>
      <c r="C491" s="2" t="s">
        <v>4</v>
      </c>
      <c r="D491" s="2" t="s">
        <v>0</v>
      </c>
      <c r="E491" s="2" t="s">
        <v>375</v>
      </c>
      <c r="F491" s="2">
        <v>2010</v>
      </c>
      <c r="G491" s="1">
        <v>1043</v>
      </c>
      <c r="H491" s="2">
        <v>1043</v>
      </c>
      <c r="J491" s="2">
        <v>1</v>
      </c>
      <c r="K491" s="2">
        <v>2</v>
      </c>
      <c r="L491" s="2">
        <v>1</v>
      </c>
      <c r="M491" s="2">
        <v>5</v>
      </c>
      <c r="N491" s="9" t="s">
        <v>967</v>
      </c>
      <c r="O491" s="8">
        <v>550000</v>
      </c>
      <c r="P491" s="3">
        <f>(3186+1428)/12</f>
        <v>384.5</v>
      </c>
      <c r="R491" s="3">
        <v>2625</v>
      </c>
      <c r="S491" s="12">
        <f t="shared" si="21"/>
        <v>73.841666666666669</v>
      </c>
      <c r="T491" s="3">
        <f t="shared" si="22"/>
        <v>3083.3416666666667</v>
      </c>
      <c r="U491" s="8">
        <f t="shared" si="23"/>
        <v>1045002.5</v>
      </c>
    </row>
    <row r="492" spans="1:21" ht="14.4" x14ac:dyDescent="0.3">
      <c r="A492" s="6">
        <v>45503</v>
      </c>
      <c r="B492" s="2" t="s">
        <v>966</v>
      </c>
      <c r="C492" s="2" t="s">
        <v>4</v>
      </c>
      <c r="D492" s="2" t="s">
        <v>0</v>
      </c>
      <c r="E492" s="2" t="s">
        <v>375</v>
      </c>
      <c r="F492" s="2">
        <v>1929</v>
      </c>
      <c r="G492" s="11">
        <f>(12.9*8.1+12.6*10.7+14*9.2+12.9*8+13.8*9.9+8.3*4.9+18.6*11.1+27.2*12.7+8.7*24.9)*1.3</f>
        <v>1842.269</v>
      </c>
      <c r="H492" s="11">
        <f>(12.9*8.1+12.6*10.7+14*9.2+12.9*8+13.8*9.9+8.3*4.9+18.6*11.1+27.2*12.7+8.7*24.9)*1.3</f>
        <v>1842.269</v>
      </c>
      <c r="J492" s="2">
        <v>1</v>
      </c>
      <c r="K492" s="2">
        <v>3</v>
      </c>
      <c r="L492" s="2">
        <v>1</v>
      </c>
      <c r="M492" s="2">
        <v>9</v>
      </c>
      <c r="N492" s="9" t="s">
        <v>965</v>
      </c>
      <c r="O492" s="8">
        <v>574900</v>
      </c>
      <c r="P492" s="3">
        <f>(6349)/12</f>
        <v>529.08333333333337</v>
      </c>
      <c r="R492" s="3">
        <v>2777</v>
      </c>
      <c r="S492" s="12">
        <f t="shared" si="21"/>
        <v>120.46569166666667</v>
      </c>
      <c r="T492" s="3">
        <f t="shared" si="22"/>
        <v>3426.5490250000003</v>
      </c>
      <c r="U492" s="8">
        <f t="shared" si="23"/>
        <v>1147964.7075</v>
      </c>
    </row>
    <row r="493" spans="1:21" ht="14.4" x14ac:dyDescent="0.3">
      <c r="A493" s="6">
        <v>45503</v>
      </c>
      <c r="B493" s="2" t="s">
        <v>964</v>
      </c>
      <c r="C493" s="2" t="s">
        <v>4</v>
      </c>
      <c r="D493" s="2" t="s">
        <v>0</v>
      </c>
      <c r="E493" s="2" t="s">
        <v>375</v>
      </c>
      <c r="F493" s="2">
        <v>1929</v>
      </c>
      <c r="G493" s="1">
        <v>987</v>
      </c>
      <c r="H493" s="2">
        <v>987</v>
      </c>
      <c r="J493" s="2">
        <v>1</v>
      </c>
      <c r="K493" s="2">
        <v>2</v>
      </c>
      <c r="L493" s="2">
        <v>1</v>
      </c>
      <c r="M493" s="2">
        <v>5</v>
      </c>
      <c r="N493" s="9" t="s">
        <v>963</v>
      </c>
      <c r="O493" s="8">
        <v>589000</v>
      </c>
      <c r="P493" s="3">
        <f>(3470+3324)/12</f>
        <v>566.16666666666663</v>
      </c>
      <c r="R493" s="3">
        <v>2863</v>
      </c>
      <c r="S493" s="12">
        <f t="shared" si="21"/>
        <v>70.575000000000017</v>
      </c>
      <c r="T493" s="3">
        <f t="shared" si="22"/>
        <v>3499.7416666666663</v>
      </c>
      <c r="U493" s="8">
        <f t="shared" si="23"/>
        <v>1169922.4999999998</v>
      </c>
    </row>
    <row r="494" spans="1:21" ht="14.4" x14ac:dyDescent="0.3">
      <c r="A494" s="6">
        <v>45503</v>
      </c>
      <c r="B494" s="2" t="s">
        <v>962</v>
      </c>
      <c r="C494" s="2" t="s">
        <v>4</v>
      </c>
      <c r="D494" s="2" t="s">
        <v>0</v>
      </c>
      <c r="E494" s="2" t="s">
        <v>375</v>
      </c>
      <c r="F494" s="2">
        <v>1925</v>
      </c>
      <c r="G494" s="1">
        <v>1200</v>
      </c>
      <c r="H494" s="2">
        <v>1200</v>
      </c>
      <c r="J494" s="2">
        <v>1</v>
      </c>
      <c r="K494" s="2">
        <v>2</v>
      </c>
      <c r="L494" s="2">
        <v>1</v>
      </c>
      <c r="M494" s="2">
        <v>10</v>
      </c>
      <c r="N494" s="9" t="s">
        <v>961</v>
      </c>
      <c r="O494" s="8">
        <v>599000</v>
      </c>
      <c r="P494" s="3">
        <f>(1433+12)/12</f>
        <v>120.41666666666667</v>
      </c>
      <c r="R494" s="3">
        <v>2924</v>
      </c>
      <c r="S494" s="12">
        <f t="shared" si="21"/>
        <v>83.000000000000014</v>
      </c>
      <c r="T494" s="3">
        <f t="shared" si="22"/>
        <v>3127.4166666666665</v>
      </c>
      <c r="U494" s="8">
        <f t="shared" si="23"/>
        <v>1058225</v>
      </c>
    </row>
    <row r="495" spans="1:21" ht="14.4" x14ac:dyDescent="0.3">
      <c r="A495" s="6">
        <v>45503</v>
      </c>
      <c r="B495" s="2" t="s">
        <v>960</v>
      </c>
      <c r="C495" s="2" t="s">
        <v>4</v>
      </c>
      <c r="D495" s="2" t="s">
        <v>0</v>
      </c>
      <c r="E495" s="2" t="s">
        <v>375</v>
      </c>
      <c r="F495" s="2">
        <v>2005</v>
      </c>
      <c r="G495" s="1">
        <v>1165</v>
      </c>
      <c r="H495" s="2">
        <v>1165</v>
      </c>
      <c r="J495" s="2">
        <v>1</v>
      </c>
      <c r="K495" s="2">
        <v>2</v>
      </c>
      <c r="L495" s="2">
        <v>2</v>
      </c>
      <c r="M495" s="2">
        <v>7</v>
      </c>
      <c r="N495" s="9" t="s">
        <v>959</v>
      </c>
      <c r="O495" s="8">
        <v>599900</v>
      </c>
      <c r="P495" s="3">
        <f>(4170+6888)/12</f>
        <v>921.5</v>
      </c>
      <c r="R495" s="3">
        <v>2929</v>
      </c>
      <c r="S495" s="12">
        <f t="shared" si="21"/>
        <v>80.958333333333343</v>
      </c>
      <c r="T495" s="3">
        <f t="shared" si="22"/>
        <v>3931.4583333333335</v>
      </c>
      <c r="U495" s="8">
        <f t="shared" si="23"/>
        <v>1299437.5</v>
      </c>
    </row>
    <row r="496" spans="1:21" ht="14.4" x14ac:dyDescent="0.3">
      <c r="A496" s="6">
        <v>45503</v>
      </c>
      <c r="B496" s="2" t="s">
        <v>958</v>
      </c>
      <c r="C496" s="2" t="s">
        <v>4</v>
      </c>
      <c r="D496" s="2" t="s">
        <v>0</v>
      </c>
      <c r="E496" s="2" t="s">
        <v>375</v>
      </c>
      <c r="F496" s="2">
        <v>1914</v>
      </c>
      <c r="G496" s="1">
        <v>1140</v>
      </c>
      <c r="H496" s="2">
        <v>1140</v>
      </c>
      <c r="J496" s="2">
        <v>1</v>
      </c>
      <c r="K496" s="2">
        <v>3</v>
      </c>
      <c r="L496" s="2">
        <v>1</v>
      </c>
      <c r="M496" s="2">
        <v>7</v>
      </c>
      <c r="N496" s="9" t="s">
        <v>957</v>
      </c>
      <c r="O496" s="8">
        <v>639900</v>
      </c>
      <c r="P496" s="3">
        <f>(5462+663)/12</f>
        <v>510.41666666666669</v>
      </c>
      <c r="R496" s="3">
        <v>3173</v>
      </c>
      <c r="S496" s="12">
        <f t="shared" si="21"/>
        <v>79.500000000000014</v>
      </c>
      <c r="T496" s="3">
        <f t="shared" si="22"/>
        <v>3762.9166666666665</v>
      </c>
      <c r="U496" s="8">
        <f t="shared" si="23"/>
        <v>1248875</v>
      </c>
    </row>
    <row r="497" spans="1:21" ht="27.6" x14ac:dyDescent="0.3">
      <c r="A497" s="6">
        <v>45503</v>
      </c>
      <c r="B497" s="10" t="s">
        <v>956</v>
      </c>
      <c r="C497" s="2" t="s">
        <v>4</v>
      </c>
      <c r="D497" s="2" t="s">
        <v>0</v>
      </c>
      <c r="E497" s="2" t="s">
        <v>375</v>
      </c>
      <c r="F497" s="2">
        <v>1930</v>
      </c>
      <c r="G497" s="1">
        <v>2630</v>
      </c>
      <c r="H497" s="2">
        <v>2630</v>
      </c>
      <c r="J497" s="2">
        <v>1</v>
      </c>
      <c r="K497" s="2">
        <v>3</v>
      </c>
      <c r="L497" s="2">
        <v>2</v>
      </c>
      <c r="M497" s="2">
        <v>8</v>
      </c>
      <c r="N497" s="9" t="s">
        <v>955</v>
      </c>
      <c r="O497" s="8">
        <v>650000</v>
      </c>
      <c r="P497" s="3">
        <v>500</v>
      </c>
      <c r="Q497" s="1" t="s">
        <v>25</v>
      </c>
      <c r="R497" s="3">
        <v>3235</v>
      </c>
      <c r="S497" s="12">
        <f t="shared" si="21"/>
        <v>166.41666666666669</v>
      </c>
      <c r="T497" s="3">
        <f t="shared" si="22"/>
        <v>3901.4166666666665</v>
      </c>
      <c r="U497" s="8">
        <f t="shared" si="23"/>
        <v>1290425</v>
      </c>
    </row>
    <row r="498" spans="1:21" ht="14.4" x14ac:dyDescent="0.3">
      <c r="A498" s="6">
        <v>45503</v>
      </c>
      <c r="B498" s="2" t="s">
        <v>954</v>
      </c>
      <c r="C498" s="2" t="s">
        <v>4</v>
      </c>
      <c r="D498" s="2" t="s">
        <v>0</v>
      </c>
      <c r="E498" s="2" t="s">
        <v>375</v>
      </c>
      <c r="F498" s="2">
        <v>1985</v>
      </c>
      <c r="G498" s="1">
        <v>1445</v>
      </c>
      <c r="H498" s="2">
        <v>1445</v>
      </c>
      <c r="J498" s="2">
        <v>1</v>
      </c>
      <c r="K498" s="2">
        <v>3</v>
      </c>
      <c r="L498" s="2">
        <v>2</v>
      </c>
      <c r="M498" s="2">
        <v>7</v>
      </c>
      <c r="N498" s="9" t="s">
        <v>953</v>
      </c>
      <c r="O498" s="8">
        <v>674900</v>
      </c>
      <c r="P498" s="3">
        <f>(3841+6708)/12</f>
        <v>879.08333333333337</v>
      </c>
      <c r="R498" s="3">
        <v>3387</v>
      </c>
      <c r="S498" s="12">
        <f t="shared" si="21"/>
        <v>97.291666666666671</v>
      </c>
      <c r="T498" s="3">
        <f t="shared" si="22"/>
        <v>4363.375</v>
      </c>
      <c r="U498" s="8">
        <f t="shared" si="23"/>
        <v>1429012.5</v>
      </c>
    </row>
    <row r="499" spans="1:21" ht="14.4" x14ac:dyDescent="0.3">
      <c r="A499" s="6">
        <v>45503</v>
      </c>
      <c r="B499" s="2" t="s">
        <v>952</v>
      </c>
      <c r="C499" s="2" t="s">
        <v>4</v>
      </c>
      <c r="D499" s="2" t="s">
        <v>0</v>
      </c>
      <c r="E499" s="2" t="s">
        <v>375</v>
      </c>
      <c r="F499" s="2">
        <v>2020</v>
      </c>
      <c r="G499" s="1">
        <v>871</v>
      </c>
      <c r="H499" s="2">
        <v>871</v>
      </c>
      <c r="J499" s="2">
        <v>1</v>
      </c>
      <c r="K499" s="2">
        <v>3</v>
      </c>
      <c r="L499" s="2">
        <v>1</v>
      </c>
      <c r="M499" s="2">
        <v>9</v>
      </c>
      <c r="N499" s="9" t="s">
        <v>951</v>
      </c>
      <c r="O499" s="8">
        <v>674900</v>
      </c>
      <c r="P499" s="3">
        <f>(4185+3852)/12</f>
        <v>669.75</v>
      </c>
      <c r="R499" s="3">
        <v>3387</v>
      </c>
      <c r="S499" s="12">
        <f t="shared" si="21"/>
        <v>63.808333333333337</v>
      </c>
      <c r="T499" s="3">
        <f t="shared" si="22"/>
        <v>4120.5583333333334</v>
      </c>
      <c r="U499" s="8">
        <f t="shared" si="23"/>
        <v>1356167.5</v>
      </c>
    </row>
    <row r="500" spans="1:21" ht="14.4" x14ac:dyDescent="0.3">
      <c r="A500" s="6">
        <v>45503</v>
      </c>
      <c r="B500" s="2" t="s">
        <v>950</v>
      </c>
      <c r="C500" s="2" t="s">
        <v>4</v>
      </c>
      <c r="D500" s="2" t="s">
        <v>0</v>
      </c>
      <c r="E500" s="2" t="s">
        <v>375</v>
      </c>
      <c r="F500" s="2">
        <v>1914</v>
      </c>
      <c r="G500" s="1">
        <v>1136</v>
      </c>
      <c r="H500" s="2">
        <v>1136</v>
      </c>
      <c r="J500" s="2">
        <v>1</v>
      </c>
      <c r="K500" s="2">
        <v>3</v>
      </c>
      <c r="L500" s="2">
        <v>2</v>
      </c>
      <c r="M500" s="2">
        <v>6</v>
      </c>
      <c r="N500" s="9" t="s">
        <v>949</v>
      </c>
      <c r="O500" s="8">
        <v>699000</v>
      </c>
      <c r="P500" s="3">
        <v>600</v>
      </c>
      <c r="Q500" s="1" t="s">
        <v>25</v>
      </c>
      <c r="R500" s="3">
        <v>3534</v>
      </c>
      <c r="S500" s="12">
        <f t="shared" si="21"/>
        <v>79.266666666666666</v>
      </c>
      <c r="T500" s="3">
        <f t="shared" si="22"/>
        <v>4213.2666666666664</v>
      </c>
      <c r="U500" s="8">
        <f t="shared" si="23"/>
        <v>1383980</v>
      </c>
    </row>
    <row r="501" spans="1:21" ht="14.4" x14ac:dyDescent="0.3">
      <c r="A501" s="6">
        <v>45503</v>
      </c>
      <c r="B501" s="2" t="s">
        <v>948</v>
      </c>
      <c r="C501" s="2" t="s">
        <v>4</v>
      </c>
      <c r="D501" s="2" t="s">
        <v>0</v>
      </c>
      <c r="E501" s="2" t="s">
        <v>375</v>
      </c>
      <c r="F501" s="2">
        <v>2000</v>
      </c>
      <c r="G501" s="1">
        <v>1272</v>
      </c>
      <c r="H501" s="2">
        <v>1272</v>
      </c>
      <c r="J501" s="2">
        <v>1</v>
      </c>
      <c r="K501" s="2">
        <v>3</v>
      </c>
      <c r="L501" s="2">
        <v>2</v>
      </c>
      <c r="M501" s="2">
        <v>8</v>
      </c>
      <c r="N501" s="9" t="s">
        <v>947</v>
      </c>
      <c r="O501" s="8">
        <v>699000</v>
      </c>
      <c r="P501" s="3">
        <f>(6948+4629)/12</f>
        <v>964.75</v>
      </c>
      <c r="R501" s="3">
        <v>3534</v>
      </c>
      <c r="S501" s="12">
        <f t="shared" si="21"/>
        <v>87.2</v>
      </c>
      <c r="T501" s="3">
        <f t="shared" si="22"/>
        <v>4585.95</v>
      </c>
      <c r="U501" s="8">
        <f t="shared" si="23"/>
        <v>1495784.9999999998</v>
      </c>
    </row>
    <row r="502" spans="1:21" ht="14.4" x14ac:dyDescent="0.3">
      <c r="A502" s="6">
        <v>45503</v>
      </c>
      <c r="B502" s="2" t="s">
        <v>946</v>
      </c>
      <c r="C502" s="2" t="s">
        <v>4</v>
      </c>
      <c r="D502" s="2" t="s">
        <v>0</v>
      </c>
      <c r="E502" s="2" t="s">
        <v>375</v>
      </c>
      <c r="F502" s="2">
        <v>1914</v>
      </c>
      <c r="G502" s="1">
        <v>1179</v>
      </c>
      <c r="H502" s="2">
        <v>1179</v>
      </c>
      <c r="J502" s="2">
        <v>1</v>
      </c>
      <c r="K502" s="2">
        <v>3</v>
      </c>
      <c r="L502" s="2">
        <v>2</v>
      </c>
      <c r="M502" s="2">
        <v>6</v>
      </c>
      <c r="N502" s="9" t="s">
        <v>945</v>
      </c>
      <c r="O502" s="8">
        <v>719000</v>
      </c>
      <c r="P502" s="3">
        <v>600</v>
      </c>
      <c r="Q502" s="1" t="s">
        <v>25</v>
      </c>
      <c r="R502" s="3">
        <v>3656</v>
      </c>
      <c r="S502" s="12">
        <f t="shared" si="21"/>
        <v>81.775000000000006</v>
      </c>
      <c r="T502" s="3">
        <f t="shared" si="22"/>
        <v>4337.7749999999996</v>
      </c>
      <c r="U502" s="8">
        <f t="shared" si="23"/>
        <v>1421332.5</v>
      </c>
    </row>
    <row r="503" spans="1:21" ht="14.4" x14ac:dyDescent="0.3">
      <c r="A503" s="6">
        <v>45503</v>
      </c>
      <c r="B503" s="2" t="s">
        <v>944</v>
      </c>
      <c r="C503" s="2" t="s">
        <v>4</v>
      </c>
      <c r="D503" s="2" t="s">
        <v>0</v>
      </c>
      <c r="E503" s="2" t="s">
        <v>375</v>
      </c>
      <c r="F503" s="2">
        <v>2004</v>
      </c>
      <c r="G503" s="1">
        <v>1133</v>
      </c>
      <c r="H503" s="2">
        <v>1133</v>
      </c>
      <c r="J503" s="2">
        <v>1</v>
      </c>
      <c r="K503" s="2">
        <v>2</v>
      </c>
      <c r="L503" s="2">
        <v>1</v>
      </c>
      <c r="M503" s="2">
        <v>6</v>
      </c>
      <c r="N503" s="9" t="s">
        <v>943</v>
      </c>
      <c r="O503" s="8">
        <v>728000</v>
      </c>
      <c r="P503" s="3">
        <f>(3900+3537)/12</f>
        <v>619.75</v>
      </c>
      <c r="R503" s="3">
        <v>3711</v>
      </c>
      <c r="S503" s="12">
        <f t="shared" si="21"/>
        <v>79.091666666666669</v>
      </c>
      <c r="T503" s="3">
        <f t="shared" si="22"/>
        <v>4409.8416666666662</v>
      </c>
      <c r="U503" s="8">
        <f t="shared" si="23"/>
        <v>1442952.4999999998</v>
      </c>
    </row>
    <row r="504" spans="1:21" ht="14.4" x14ac:dyDescent="0.3">
      <c r="A504" s="6">
        <v>45503</v>
      </c>
      <c r="B504" s="2" t="s">
        <v>942</v>
      </c>
      <c r="C504" s="2" t="s">
        <v>4</v>
      </c>
      <c r="D504" s="2" t="s">
        <v>0</v>
      </c>
      <c r="E504" s="2" t="s">
        <v>375</v>
      </c>
      <c r="F504" s="2">
        <v>1996</v>
      </c>
      <c r="G504" s="1">
        <v>819</v>
      </c>
      <c r="H504" s="1">
        <v>819</v>
      </c>
      <c r="J504" s="2">
        <v>2</v>
      </c>
      <c r="K504" s="2">
        <v>2</v>
      </c>
      <c r="L504" s="2">
        <v>2</v>
      </c>
      <c r="M504" s="2">
        <v>7</v>
      </c>
      <c r="N504" s="9" t="s">
        <v>941</v>
      </c>
      <c r="O504" s="8">
        <v>749000</v>
      </c>
      <c r="P504" s="3">
        <f>(3018+1692)/12</f>
        <v>392.5</v>
      </c>
      <c r="R504" s="3">
        <v>3839</v>
      </c>
      <c r="S504" s="12">
        <f t="shared" si="21"/>
        <v>60.775000000000006</v>
      </c>
      <c r="T504" s="3">
        <f t="shared" si="22"/>
        <v>4292.2749999999996</v>
      </c>
      <c r="U504" s="8">
        <f t="shared" si="23"/>
        <v>1407682.5</v>
      </c>
    </row>
    <row r="505" spans="1:21" ht="14.4" x14ac:dyDescent="0.3">
      <c r="A505" s="13">
        <v>45503</v>
      </c>
      <c r="B505" s="2" t="s">
        <v>1096</v>
      </c>
      <c r="C505" s="2" t="s">
        <v>4</v>
      </c>
      <c r="D505" s="2" t="s">
        <v>162</v>
      </c>
      <c r="E505" s="2" t="s">
        <v>375</v>
      </c>
      <c r="F505" s="2">
        <v>1988</v>
      </c>
      <c r="G505" s="2">
        <v>339</v>
      </c>
      <c r="H505" s="2">
        <v>339</v>
      </c>
      <c r="J505" s="2">
        <v>1</v>
      </c>
      <c r="K505" s="2">
        <v>1</v>
      </c>
      <c r="L505" s="2">
        <v>1</v>
      </c>
      <c r="M505" s="2">
        <v>4</v>
      </c>
      <c r="N505" s="9" t="s">
        <v>1095</v>
      </c>
      <c r="O505" s="8">
        <v>200000</v>
      </c>
      <c r="P505" s="3">
        <f>(1180+1440)/12</f>
        <v>218.33333333333334</v>
      </c>
      <c r="R505" s="3">
        <v>488</v>
      </c>
      <c r="S505" s="12">
        <f t="shared" si="21"/>
        <v>32.775000000000006</v>
      </c>
      <c r="T505" s="3">
        <f t="shared" si="22"/>
        <v>739.10833333333335</v>
      </c>
      <c r="U505" s="2">
        <f t="shared" si="23"/>
        <v>341732.5</v>
      </c>
    </row>
    <row r="506" spans="1:21" ht="14.4" x14ac:dyDescent="0.3">
      <c r="A506" s="13">
        <v>45503</v>
      </c>
      <c r="B506" s="2" t="s">
        <v>581</v>
      </c>
      <c r="C506" s="2" t="s">
        <v>4</v>
      </c>
      <c r="D506" s="2" t="s">
        <v>162</v>
      </c>
      <c r="E506" s="2" t="s">
        <v>375</v>
      </c>
      <c r="F506" s="2">
        <v>1977</v>
      </c>
      <c r="G506" s="2">
        <v>596</v>
      </c>
      <c r="H506" s="2">
        <v>596</v>
      </c>
      <c r="J506" s="2">
        <v>1</v>
      </c>
      <c r="K506" s="2">
        <v>1</v>
      </c>
      <c r="L506" s="2">
        <v>1</v>
      </c>
      <c r="M506" s="2">
        <v>4</v>
      </c>
      <c r="N506" s="9" t="s">
        <v>1094</v>
      </c>
      <c r="O506" s="8">
        <v>267909</v>
      </c>
      <c r="P506" s="3">
        <f>(1582+4524)/12</f>
        <v>508.83333333333331</v>
      </c>
      <c r="R506" s="3">
        <v>903</v>
      </c>
      <c r="S506" s="12">
        <f t="shared" si="21"/>
        <v>47.766666666666673</v>
      </c>
      <c r="T506" s="3">
        <f t="shared" si="22"/>
        <v>1459.6</v>
      </c>
      <c r="U506" s="8">
        <f t="shared" si="23"/>
        <v>557880</v>
      </c>
    </row>
    <row r="507" spans="1:21" ht="14.4" x14ac:dyDescent="0.3">
      <c r="A507" s="13">
        <v>45503</v>
      </c>
      <c r="B507" s="2" t="s">
        <v>1093</v>
      </c>
      <c r="C507" s="2" t="s">
        <v>4</v>
      </c>
      <c r="D507" s="2" t="s">
        <v>162</v>
      </c>
      <c r="E507" s="2" t="s">
        <v>375</v>
      </c>
      <c r="F507" s="2">
        <v>1988</v>
      </c>
      <c r="G507" s="2">
        <v>805</v>
      </c>
      <c r="H507" s="2">
        <v>805</v>
      </c>
      <c r="J507" s="2">
        <v>1</v>
      </c>
      <c r="K507" s="2">
        <v>2</v>
      </c>
      <c r="L507" s="2">
        <v>1</v>
      </c>
      <c r="M507" s="2">
        <v>5</v>
      </c>
      <c r="N507" s="9" t="s">
        <v>1092</v>
      </c>
      <c r="O507" s="8">
        <v>270000</v>
      </c>
      <c r="P507" s="3">
        <f>(2208+1593+135)/12</f>
        <v>328</v>
      </c>
      <c r="R507" s="3">
        <v>916</v>
      </c>
      <c r="S507" s="12">
        <f t="shared" si="21"/>
        <v>59.958333333333336</v>
      </c>
      <c r="T507" s="3">
        <f t="shared" si="22"/>
        <v>1303.9583333333333</v>
      </c>
      <c r="U507" s="8">
        <f t="shared" si="23"/>
        <v>511187.5</v>
      </c>
    </row>
    <row r="508" spans="1:21" ht="14.4" x14ac:dyDescent="0.3">
      <c r="A508" s="13">
        <v>45503</v>
      </c>
      <c r="B508" s="2" t="s">
        <v>1091</v>
      </c>
      <c r="C508" s="2" t="s">
        <v>4</v>
      </c>
      <c r="D508" s="2" t="s">
        <v>162</v>
      </c>
      <c r="E508" s="2" t="s">
        <v>375</v>
      </c>
      <c r="F508" s="2">
        <v>2009</v>
      </c>
      <c r="G508" s="2">
        <v>498</v>
      </c>
      <c r="H508" s="2">
        <v>498</v>
      </c>
      <c r="J508" s="2">
        <v>1</v>
      </c>
      <c r="K508" s="2">
        <v>1</v>
      </c>
      <c r="L508" s="2">
        <v>1</v>
      </c>
      <c r="M508" s="2">
        <v>5</v>
      </c>
      <c r="N508" s="9" t="s">
        <v>1090</v>
      </c>
      <c r="O508" s="8">
        <v>295000</v>
      </c>
      <c r="P508" s="3">
        <f>(1660+2160)/12</f>
        <v>318.33333333333331</v>
      </c>
      <c r="R508" s="3">
        <v>1068</v>
      </c>
      <c r="S508" s="12">
        <f t="shared" si="21"/>
        <v>42.05</v>
      </c>
      <c r="T508" s="3">
        <f t="shared" si="22"/>
        <v>1428.3833333333332</v>
      </c>
      <c r="U508" s="8">
        <f t="shared" si="23"/>
        <v>548515</v>
      </c>
    </row>
    <row r="509" spans="1:21" ht="14.4" x14ac:dyDescent="0.3">
      <c r="A509" s="13">
        <v>45503</v>
      </c>
      <c r="B509" s="2" t="s">
        <v>582</v>
      </c>
      <c r="C509" s="2" t="s">
        <v>4</v>
      </c>
      <c r="D509" s="2" t="s">
        <v>162</v>
      </c>
      <c r="E509" s="2" t="s">
        <v>375</v>
      </c>
      <c r="F509" s="2">
        <v>2018</v>
      </c>
      <c r="G509" s="2">
        <v>707</v>
      </c>
      <c r="H509" s="2">
        <v>707</v>
      </c>
      <c r="J509" s="2">
        <v>1</v>
      </c>
      <c r="K509" s="2">
        <v>1</v>
      </c>
      <c r="L509" s="2">
        <v>1</v>
      </c>
      <c r="M509" s="2">
        <v>4</v>
      </c>
      <c r="N509" s="9" t="s">
        <v>1089</v>
      </c>
      <c r="O509" s="8">
        <v>299000</v>
      </c>
      <c r="P509" s="3">
        <f>(2040+3420)/12</f>
        <v>455</v>
      </c>
      <c r="R509" s="3">
        <v>1093</v>
      </c>
      <c r="S509" s="12">
        <f t="shared" si="21"/>
        <v>54.241666666666667</v>
      </c>
      <c r="T509" s="3">
        <f t="shared" si="22"/>
        <v>1602.2416666666666</v>
      </c>
      <c r="U509" s="8">
        <f t="shared" si="23"/>
        <v>600672.5</v>
      </c>
    </row>
    <row r="510" spans="1:21" ht="14.4" x14ac:dyDescent="0.3">
      <c r="A510" s="13">
        <v>45503</v>
      </c>
      <c r="B510" s="2" t="s">
        <v>1088</v>
      </c>
      <c r="C510" s="2" t="s">
        <v>4</v>
      </c>
      <c r="D510" s="2" t="s">
        <v>162</v>
      </c>
      <c r="E510" s="2" t="s">
        <v>375</v>
      </c>
      <c r="F510" s="2">
        <v>1977</v>
      </c>
      <c r="G510" s="2">
        <v>800</v>
      </c>
      <c r="H510" s="2">
        <v>800</v>
      </c>
      <c r="J510" s="2">
        <v>1</v>
      </c>
      <c r="K510" s="2">
        <v>1</v>
      </c>
      <c r="L510" s="2">
        <v>1</v>
      </c>
      <c r="M510" s="2">
        <v>6</v>
      </c>
      <c r="N510" s="9" t="s">
        <v>1087</v>
      </c>
      <c r="O510" s="8">
        <v>299000</v>
      </c>
      <c r="P510" s="3">
        <f>(1906+5676)/12</f>
        <v>631.83333333333337</v>
      </c>
      <c r="R510" s="3">
        <v>1093</v>
      </c>
      <c r="S510" s="12">
        <f t="shared" si="21"/>
        <v>59.666666666666664</v>
      </c>
      <c r="T510" s="3">
        <f t="shared" si="22"/>
        <v>1784.5000000000002</v>
      </c>
      <c r="U510" s="8">
        <f t="shared" si="23"/>
        <v>655350.00000000012</v>
      </c>
    </row>
    <row r="511" spans="1:21" ht="14.4" x14ac:dyDescent="0.3">
      <c r="A511" s="13">
        <v>45503</v>
      </c>
      <c r="B511" s="2" t="s">
        <v>1086</v>
      </c>
      <c r="C511" s="2" t="s">
        <v>4</v>
      </c>
      <c r="D511" s="2" t="s">
        <v>162</v>
      </c>
      <c r="E511" s="2" t="s">
        <v>375</v>
      </c>
      <c r="F511" s="2">
        <v>1987</v>
      </c>
      <c r="G511" s="2">
        <v>785</v>
      </c>
      <c r="H511" s="2">
        <v>785</v>
      </c>
      <c r="J511" s="2">
        <v>1</v>
      </c>
      <c r="K511" s="2">
        <v>2</v>
      </c>
      <c r="L511" s="2">
        <v>1</v>
      </c>
      <c r="M511" s="2">
        <v>6</v>
      </c>
      <c r="N511" s="9" t="s">
        <v>1085</v>
      </c>
      <c r="O511" s="8">
        <v>314900</v>
      </c>
      <c r="P511" s="3">
        <f>(1971+3564)/12</f>
        <v>461.25</v>
      </c>
      <c r="R511" s="3">
        <v>1190</v>
      </c>
      <c r="S511" s="12">
        <f t="shared" si="21"/>
        <v>58.791666666666664</v>
      </c>
      <c r="T511" s="3">
        <f t="shared" si="22"/>
        <v>1710.0416666666667</v>
      </c>
      <c r="U511" s="8">
        <f t="shared" si="23"/>
        <v>633012.5</v>
      </c>
    </row>
    <row r="512" spans="1:21" ht="14.4" x14ac:dyDescent="0.3">
      <c r="A512" s="13">
        <v>45503</v>
      </c>
      <c r="B512" s="2" t="s">
        <v>1084</v>
      </c>
      <c r="C512" s="2" t="s">
        <v>4</v>
      </c>
      <c r="D512" s="2" t="s">
        <v>162</v>
      </c>
      <c r="E512" s="2" t="s">
        <v>375</v>
      </c>
      <c r="F512" s="2">
        <v>1991</v>
      </c>
      <c r="G512" s="2">
        <v>950</v>
      </c>
      <c r="H512" s="2">
        <v>950</v>
      </c>
      <c r="J512" s="2">
        <v>1</v>
      </c>
      <c r="K512" s="2">
        <v>2</v>
      </c>
      <c r="L512" s="2">
        <v>1</v>
      </c>
      <c r="M512" s="2">
        <v>8</v>
      </c>
      <c r="N512" s="9" t="s">
        <v>1083</v>
      </c>
      <c r="O512" s="8">
        <v>319000</v>
      </c>
      <c r="P512" s="3">
        <f>(1864+1800)/12</f>
        <v>305.33333333333331</v>
      </c>
      <c r="R512" s="3">
        <v>1215</v>
      </c>
      <c r="S512" s="12">
        <f t="shared" si="21"/>
        <v>68.416666666666686</v>
      </c>
      <c r="T512" s="3">
        <f t="shared" si="22"/>
        <v>1588.75</v>
      </c>
      <c r="U512" s="8">
        <f t="shared" si="23"/>
        <v>596625</v>
      </c>
    </row>
    <row r="513" spans="1:21" ht="14.4" x14ac:dyDescent="0.3">
      <c r="A513" s="13">
        <v>45503</v>
      </c>
      <c r="B513" s="2" t="s">
        <v>1082</v>
      </c>
      <c r="C513" s="2" t="s">
        <v>4</v>
      </c>
      <c r="D513" s="2" t="s">
        <v>162</v>
      </c>
      <c r="E513" s="2" t="s">
        <v>375</v>
      </c>
      <c r="F513" s="2">
        <v>2017</v>
      </c>
      <c r="G513" s="2">
        <v>785</v>
      </c>
      <c r="H513" s="2">
        <v>785</v>
      </c>
      <c r="J513" s="2">
        <v>1</v>
      </c>
      <c r="K513" s="2">
        <v>2</v>
      </c>
      <c r="L513" s="2">
        <v>1</v>
      </c>
      <c r="M513" s="2">
        <v>6</v>
      </c>
      <c r="N513" s="9" t="s">
        <v>1081</v>
      </c>
      <c r="O513" s="8">
        <v>324900</v>
      </c>
      <c r="P513" s="3">
        <f>(2856+1879+179)/12</f>
        <v>409.5</v>
      </c>
      <c r="R513" s="3">
        <v>1251</v>
      </c>
      <c r="S513" s="12">
        <f t="shared" si="21"/>
        <v>58.791666666666664</v>
      </c>
      <c r="T513" s="3">
        <f t="shared" si="22"/>
        <v>1719.2916666666667</v>
      </c>
      <c r="U513" s="8">
        <f t="shared" si="23"/>
        <v>635787.5</v>
      </c>
    </row>
    <row r="514" spans="1:21" ht="14.4" x14ac:dyDescent="0.3">
      <c r="A514" s="13">
        <v>45503</v>
      </c>
      <c r="B514" s="2" t="s">
        <v>586</v>
      </c>
      <c r="C514" s="2" t="s">
        <v>4</v>
      </c>
      <c r="D514" s="2" t="s">
        <v>162</v>
      </c>
      <c r="E514" s="2" t="s">
        <v>375</v>
      </c>
      <c r="F514" s="2">
        <v>2010</v>
      </c>
      <c r="G514" s="2">
        <v>703</v>
      </c>
      <c r="H514" s="2">
        <v>703</v>
      </c>
      <c r="J514" s="2">
        <v>1</v>
      </c>
      <c r="K514" s="2">
        <v>1</v>
      </c>
      <c r="L514" s="2">
        <v>1</v>
      </c>
      <c r="M514" s="2">
        <v>5</v>
      </c>
      <c r="N514" s="9" t="s">
        <v>1080</v>
      </c>
      <c r="O514" s="8">
        <v>329000</v>
      </c>
      <c r="P514" s="3">
        <f>(2432+2676)/12</f>
        <v>425.66666666666669</v>
      </c>
      <c r="R514" s="3">
        <v>1276</v>
      </c>
      <c r="S514" s="12">
        <f t="shared" ref="S514:S577" si="24">13+(G514*10*0.07)/12</f>
        <v>54.008333333333333</v>
      </c>
      <c r="T514" s="3">
        <f t="shared" ref="T514:T577" si="25">P514+R514+S514</f>
        <v>1755.6750000000002</v>
      </c>
      <c r="U514" s="8">
        <f t="shared" ref="U514:U577" si="26">120000+T514*12*25</f>
        <v>646702.5</v>
      </c>
    </row>
    <row r="515" spans="1:21" ht="14.4" x14ac:dyDescent="0.3">
      <c r="A515" s="13">
        <v>45503</v>
      </c>
      <c r="B515" s="2" t="s">
        <v>1079</v>
      </c>
      <c r="C515" s="2" t="s">
        <v>4</v>
      </c>
      <c r="D515" s="2" t="s">
        <v>162</v>
      </c>
      <c r="E515" s="2" t="s">
        <v>375</v>
      </c>
      <c r="F515" s="2">
        <v>1977</v>
      </c>
      <c r="G515" s="2">
        <v>837</v>
      </c>
      <c r="H515" s="2">
        <v>837</v>
      </c>
      <c r="J515" s="2">
        <v>1</v>
      </c>
      <c r="K515" s="2">
        <v>2</v>
      </c>
      <c r="L515" s="2">
        <v>1</v>
      </c>
      <c r="M515" s="2">
        <v>8</v>
      </c>
      <c r="N515" s="9" t="s">
        <v>1078</v>
      </c>
      <c r="O515" s="8">
        <v>329000</v>
      </c>
      <c r="P515" s="3">
        <f>(1888+498)/12</f>
        <v>198.83333333333334</v>
      </c>
      <c r="R515" s="3">
        <v>1276</v>
      </c>
      <c r="S515" s="12">
        <f t="shared" si="24"/>
        <v>61.82500000000001</v>
      </c>
      <c r="T515" s="3">
        <f t="shared" si="25"/>
        <v>1536.6583333333333</v>
      </c>
      <c r="U515" s="8">
        <f t="shared" si="26"/>
        <v>580997.5</v>
      </c>
    </row>
    <row r="516" spans="1:21" ht="14.4" x14ac:dyDescent="0.3">
      <c r="A516" s="13">
        <v>45503</v>
      </c>
      <c r="B516" s="2" t="s">
        <v>587</v>
      </c>
      <c r="C516" s="2" t="s">
        <v>4</v>
      </c>
      <c r="D516" s="2" t="s">
        <v>162</v>
      </c>
      <c r="E516" s="2" t="s">
        <v>375</v>
      </c>
      <c r="F516" s="2">
        <v>2014</v>
      </c>
      <c r="G516" s="2">
        <v>528</v>
      </c>
      <c r="H516" s="2">
        <v>528</v>
      </c>
      <c r="J516" s="2">
        <v>1</v>
      </c>
      <c r="K516" s="2">
        <v>1</v>
      </c>
      <c r="L516" s="2">
        <v>1</v>
      </c>
      <c r="M516" s="2">
        <v>6</v>
      </c>
      <c r="N516" s="9" t="s">
        <v>1077</v>
      </c>
      <c r="O516" s="8">
        <v>329900</v>
      </c>
      <c r="P516" s="3">
        <f>(1975+1716)/12</f>
        <v>307.58333333333331</v>
      </c>
      <c r="R516" s="3">
        <v>1281</v>
      </c>
      <c r="S516" s="12">
        <f t="shared" si="24"/>
        <v>43.8</v>
      </c>
      <c r="T516" s="3">
        <f t="shared" si="25"/>
        <v>1632.3833333333332</v>
      </c>
      <c r="U516" s="8">
        <f t="shared" si="26"/>
        <v>609715</v>
      </c>
    </row>
    <row r="517" spans="1:21" ht="14.4" x14ac:dyDescent="0.3">
      <c r="A517" s="13">
        <v>45503</v>
      </c>
      <c r="B517" s="2" t="s">
        <v>1076</v>
      </c>
      <c r="C517" s="2" t="s">
        <v>4</v>
      </c>
      <c r="D517" s="2" t="s">
        <v>162</v>
      </c>
      <c r="E517" s="2" t="s">
        <v>375</v>
      </c>
      <c r="F517" s="2">
        <v>2009</v>
      </c>
      <c r="G517" s="2">
        <v>1043</v>
      </c>
      <c r="H517" s="2">
        <v>1043</v>
      </c>
      <c r="J517" s="2">
        <v>1</v>
      </c>
      <c r="K517" s="2">
        <v>2</v>
      </c>
      <c r="L517" s="2">
        <v>2</v>
      </c>
      <c r="M517" s="2">
        <v>5</v>
      </c>
      <c r="N517" s="9" t="s">
        <v>1075</v>
      </c>
      <c r="O517" s="8">
        <v>500000</v>
      </c>
      <c r="P517" s="3">
        <f>(3367+4596)/12</f>
        <v>663.58333333333337</v>
      </c>
      <c r="R517" s="3">
        <v>2319</v>
      </c>
      <c r="S517" s="12">
        <f t="shared" si="24"/>
        <v>73.841666666666669</v>
      </c>
      <c r="T517" s="3">
        <f t="shared" si="25"/>
        <v>3056.4250000000002</v>
      </c>
      <c r="U517" s="8">
        <f t="shared" si="26"/>
        <v>1036927.5000000001</v>
      </c>
    </row>
    <row r="518" spans="1:21" ht="14.4" x14ac:dyDescent="0.3">
      <c r="A518" s="13">
        <v>45503</v>
      </c>
      <c r="B518" s="2" t="s">
        <v>1074</v>
      </c>
      <c r="C518" s="2" t="s">
        <v>4</v>
      </c>
      <c r="D518" s="2" t="s">
        <v>162</v>
      </c>
      <c r="E518" s="2" t="s">
        <v>375</v>
      </c>
      <c r="F518" s="2">
        <v>2014</v>
      </c>
      <c r="G518" s="2">
        <v>1005</v>
      </c>
      <c r="H518" s="2">
        <v>1005</v>
      </c>
      <c r="J518" s="2">
        <v>1</v>
      </c>
      <c r="K518" s="2">
        <v>2</v>
      </c>
      <c r="L518" s="2">
        <v>2</v>
      </c>
      <c r="M518" s="2">
        <v>5</v>
      </c>
      <c r="N518" s="9" t="s">
        <v>1073</v>
      </c>
      <c r="O518" s="8">
        <v>509000</v>
      </c>
      <c r="P518" s="3">
        <f>(1881+556)/12</f>
        <v>203.08333333333334</v>
      </c>
      <c r="R518" s="3">
        <v>2374</v>
      </c>
      <c r="S518" s="12">
        <f t="shared" si="24"/>
        <v>71.625</v>
      </c>
      <c r="T518" s="3">
        <f t="shared" si="25"/>
        <v>2648.7083333333335</v>
      </c>
      <c r="U518" s="8">
        <f t="shared" si="26"/>
        <v>914612.5</v>
      </c>
    </row>
    <row r="519" spans="1:21" ht="14.4" x14ac:dyDescent="0.3">
      <c r="A519" s="13">
        <v>45503</v>
      </c>
      <c r="B519" s="2" t="s">
        <v>1072</v>
      </c>
      <c r="C519" s="2" t="s">
        <v>4</v>
      </c>
      <c r="D519" s="2" t="s">
        <v>162</v>
      </c>
      <c r="E519" s="2" t="s">
        <v>375</v>
      </c>
      <c r="F519" s="2">
        <v>1980</v>
      </c>
      <c r="G519" s="2">
        <v>1186</v>
      </c>
      <c r="H519" s="2">
        <v>1186</v>
      </c>
      <c r="J519" s="2">
        <v>1</v>
      </c>
      <c r="K519" s="2">
        <v>2</v>
      </c>
      <c r="L519" s="2">
        <v>1</v>
      </c>
      <c r="M519" s="2">
        <v>6</v>
      </c>
      <c r="N519" s="9" t="s">
        <v>1071</v>
      </c>
      <c r="O519" s="8">
        <v>509000</v>
      </c>
      <c r="P519" s="3">
        <f>(3217+8662)/12</f>
        <v>989.91666666666663</v>
      </c>
      <c r="R519" s="3">
        <v>2374</v>
      </c>
      <c r="S519" s="12">
        <f t="shared" si="24"/>
        <v>82.183333333333337</v>
      </c>
      <c r="T519" s="3">
        <f t="shared" si="25"/>
        <v>3446.1</v>
      </c>
      <c r="U519" s="8">
        <f t="shared" si="26"/>
        <v>1153830</v>
      </c>
    </row>
    <row r="520" spans="1:21" ht="14.4" x14ac:dyDescent="0.3">
      <c r="A520" s="13">
        <v>45503</v>
      </c>
      <c r="B520" s="2" t="s">
        <v>1070</v>
      </c>
      <c r="C520" s="2" t="s">
        <v>4</v>
      </c>
      <c r="D520" s="2" t="s">
        <v>162</v>
      </c>
      <c r="E520" s="2" t="s">
        <v>375</v>
      </c>
      <c r="F520" s="2">
        <v>2017</v>
      </c>
      <c r="G520" s="2">
        <v>965</v>
      </c>
      <c r="H520" s="2">
        <v>965</v>
      </c>
      <c r="J520" s="2">
        <v>1</v>
      </c>
      <c r="K520" s="2">
        <v>2</v>
      </c>
      <c r="L520" s="2">
        <v>1</v>
      </c>
      <c r="M520" s="2">
        <v>8</v>
      </c>
      <c r="N520" s="9" t="s">
        <v>1069</v>
      </c>
      <c r="O520" s="8">
        <v>519000</v>
      </c>
      <c r="P520" s="3">
        <f>(3247+4032)/12</f>
        <v>606.58333333333337</v>
      </c>
      <c r="R520" s="3">
        <v>2435</v>
      </c>
      <c r="S520" s="12">
        <f t="shared" si="24"/>
        <v>69.291666666666686</v>
      </c>
      <c r="T520" s="3">
        <f t="shared" si="25"/>
        <v>3110.875</v>
      </c>
      <c r="U520" s="8">
        <f t="shared" si="26"/>
        <v>1053262.5</v>
      </c>
    </row>
    <row r="521" spans="1:21" ht="14.4" x14ac:dyDescent="0.3">
      <c r="A521" s="13">
        <v>45503</v>
      </c>
      <c r="B521" s="2" t="s">
        <v>1068</v>
      </c>
      <c r="C521" s="2" t="s">
        <v>4</v>
      </c>
      <c r="D521" s="2" t="s">
        <v>162</v>
      </c>
      <c r="E521" s="2" t="s">
        <v>375</v>
      </c>
      <c r="F521" s="2">
        <v>2023</v>
      </c>
      <c r="G521" s="2">
        <v>912</v>
      </c>
      <c r="H521" s="2">
        <v>912</v>
      </c>
      <c r="J521" s="2">
        <v>1</v>
      </c>
      <c r="K521" s="2">
        <v>1</v>
      </c>
      <c r="L521" s="2">
        <v>1</v>
      </c>
      <c r="M521" s="2">
        <v>8</v>
      </c>
      <c r="N521" s="9" t="s">
        <v>1067</v>
      </c>
      <c r="O521" s="8">
        <v>519999</v>
      </c>
      <c r="P521" s="3">
        <f>(4332+250*12)/12</f>
        <v>611</v>
      </c>
      <c r="R521" s="3">
        <v>2442</v>
      </c>
      <c r="S521" s="12">
        <f t="shared" si="24"/>
        <v>66.200000000000017</v>
      </c>
      <c r="T521" s="3">
        <f t="shared" si="25"/>
        <v>3119.2</v>
      </c>
      <c r="U521" s="8">
        <f t="shared" si="26"/>
        <v>1055760</v>
      </c>
    </row>
    <row r="522" spans="1:21" ht="14.4" x14ac:dyDescent="0.3">
      <c r="A522" s="13">
        <v>45503</v>
      </c>
      <c r="B522" s="2" t="s">
        <v>1066</v>
      </c>
      <c r="C522" s="2" t="s">
        <v>4</v>
      </c>
      <c r="D522" s="2" t="s">
        <v>162</v>
      </c>
      <c r="E522" s="2" t="s">
        <v>375</v>
      </c>
      <c r="F522" s="2">
        <v>1982</v>
      </c>
      <c r="G522" s="2">
        <v>1022</v>
      </c>
      <c r="H522" s="2">
        <v>1022</v>
      </c>
      <c r="J522" s="2">
        <v>1</v>
      </c>
      <c r="K522" s="2">
        <v>2</v>
      </c>
      <c r="L522" s="2">
        <v>2</v>
      </c>
      <c r="M522" s="2">
        <v>7</v>
      </c>
      <c r="N522" s="9" t="s">
        <v>1065</v>
      </c>
      <c r="O522" s="8">
        <v>524000</v>
      </c>
      <c r="P522" s="3">
        <f>(3344+7044)/12</f>
        <v>865.66666666666663</v>
      </c>
      <c r="R522" s="3">
        <v>2466</v>
      </c>
      <c r="S522" s="12">
        <f t="shared" si="24"/>
        <v>72.616666666666674</v>
      </c>
      <c r="T522" s="3">
        <f t="shared" si="25"/>
        <v>3404.2833333333333</v>
      </c>
      <c r="U522" s="8">
        <f t="shared" si="26"/>
        <v>1141285</v>
      </c>
    </row>
    <row r="523" spans="1:21" ht="14.4" x14ac:dyDescent="0.3">
      <c r="A523" s="13">
        <v>45503</v>
      </c>
      <c r="B523" s="2" t="s">
        <v>1064</v>
      </c>
      <c r="C523" s="2" t="s">
        <v>4</v>
      </c>
      <c r="D523" s="2" t="s">
        <v>162</v>
      </c>
      <c r="E523" s="2" t="s">
        <v>375</v>
      </c>
      <c r="F523" s="2">
        <v>2013</v>
      </c>
      <c r="G523" s="2">
        <v>1097</v>
      </c>
      <c r="H523" s="2">
        <v>1097</v>
      </c>
      <c r="J523" s="2">
        <v>1</v>
      </c>
      <c r="K523" s="2">
        <v>2</v>
      </c>
      <c r="L523" s="2">
        <v>1</v>
      </c>
      <c r="M523" s="2">
        <v>5</v>
      </c>
      <c r="N523" s="9" t="s">
        <v>1063</v>
      </c>
      <c r="O523" s="8">
        <v>524900</v>
      </c>
      <c r="P523" s="3">
        <f>(3501+5092)/12</f>
        <v>716.08333333333337</v>
      </c>
      <c r="R523" s="3">
        <v>2471</v>
      </c>
      <c r="S523" s="12">
        <f t="shared" si="24"/>
        <v>76.991666666666674</v>
      </c>
      <c r="T523" s="3">
        <f t="shared" si="25"/>
        <v>3264.0750000000003</v>
      </c>
      <c r="U523" s="8">
        <f t="shared" si="26"/>
        <v>1099222.5</v>
      </c>
    </row>
    <row r="524" spans="1:21" ht="14.4" x14ac:dyDescent="0.3">
      <c r="A524" s="13">
        <v>45503</v>
      </c>
      <c r="B524" s="2" t="s">
        <v>1062</v>
      </c>
      <c r="C524" s="2" t="s">
        <v>4</v>
      </c>
      <c r="D524" s="2" t="s">
        <v>162</v>
      </c>
      <c r="E524" s="2" t="s">
        <v>375</v>
      </c>
      <c r="F524" s="2">
        <v>1981</v>
      </c>
      <c r="G524" s="2">
        <v>1304</v>
      </c>
      <c r="H524" s="2">
        <v>1304</v>
      </c>
      <c r="J524" s="2">
        <v>1</v>
      </c>
      <c r="K524" s="2">
        <v>2</v>
      </c>
      <c r="L524" s="2">
        <v>2</v>
      </c>
      <c r="M524" s="2">
        <v>6</v>
      </c>
      <c r="N524" s="9" t="s">
        <v>1061</v>
      </c>
      <c r="O524" s="8">
        <v>600000</v>
      </c>
      <c r="P524" s="3">
        <f>(4565+6420)/12</f>
        <v>915.41666666666663</v>
      </c>
      <c r="R524" s="3">
        <v>2930</v>
      </c>
      <c r="S524" s="12">
        <f t="shared" si="24"/>
        <v>89.066666666666677</v>
      </c>
      <c r="T524" s="3">
        <f t="shared" si="25"/>
        <v>3934.4833333333331</v>
      </c>
      <c r="U524" s="8">
        <f t="shared" si="26"/>
        <v>1300345</v>
      </c>
    </row>
    <row r="525" spans="1:21" ht="14.4" x14ac:dyDescent="0.3">
      <c r="A525" s="13">
        <v>45503</v>
      </c>
      <c r="B525" s="2" t="s">
        <v>1060</v>
      </c>
      <c r="C525" s="2" t="s">
        <v>4</v>
      </c>
      <c r="D525" s="2" t="s">
        <v>162</v>
      </c>
      <c r="E525" s="2" t="s">
        <v>375</v>
      </c>
      <c r="F525" s="2">
        <v>1980</v>
      </c>
      <c r="G525" s="2">
        <v>1339</v>
      </c>
      <c r="H525" s="2">
        <v>1339</v>
      </c>
      <c r="J525" s="2">
        <v>1</v>
      </c>
      <c r="K525" s="2">
        <v>3</v>
      </c>
      <c r="L525" s="2">
        <v>2</v>
      </c>
      <c r="M525" s="2">
        <v>6</v>
      </c>
      <c r="N525" s="9" t="s">
        <v>1059</v>
      </c>
      <c r="O525" s="8">
        <v>615000</v>
      </c>
      <c r="P525" s="3">
        <f>(3415+9351)/12</f>
        <v>1063.8333333333333</v>
      </c>
      <c r="R525" s="3">
        <v>3021</v>
      </c>
      <c r="S525" s="12">
        <f t="shared" si="24"/>
        <v>91.108333333333334</v>
      </c>
      <c r="T525" s="3">
        <f t="shared" si="25"/>
        <v>4175.9416666666666</v>
      </c>
      <c r="U525" s="8">
        <f t="shared" si="26"/>
        <v>1372782.5</v>
      </c>
    </row>
    <row r="526" spans="1:21" ht="14.4" x14ac:dyDescent="0.3">
      <c r="A526" s="13">
        <v>45503</v>
      </c>
      <c r="B526" s="2" t="s">
        <v>1058</v>
      </c>
      <c r="C526" s="2" t="s">
        <v>4</v>
      </c>
      <c r="D526" s="2" t="s">
        <v>162</v>
      </c>
      <c r="E526" s="2" t="s">
        <v>375</v>
      </c>
      <c r="F526" s="2">
        <v>2014</v>
      </c>
      <c r="G526" s="2">
        <v>1076</v>
      </c>
      <c r="H526" s="2">
        <v>1076</v>
      </c>
      <c r="J526" s="2">
        <v>1</v>
      </c>
      <c r="K526" s="2">
        <v>2</v>
      </c>
      <c r="L526" s="2">
        <v>2</v>
      </c>
      <c r="M526" s="2">
        <v>7</v>
      </c>
      <c r="N526" s="9" t="s">
        <v>1057</v>
      </c>
      <c r="O526" s="8">
        <v>615000</v>
      </c>
      <c r="P526" s="3">
        <f>(3999+5700)/12</f>
        <v>808.25</v>
      </c>
      <c r="R526" s="3">
        <v>3021</v>
      </c>
      <c r="S526" s="12">
        <f t="shared" si="24"/>
        <v>75.76666666666668</v>
      </c>
      <c r="T526" s="3">
        <f t="shared" si="25"/>
        <v>3905.0166666666669</v>
      </c>
      <c r="U526" s="8">
        <f t="shared" si="26"/>
        <v>1291505</v>
      </c>
    </row>
    <row r="527" spans="1:21" ht="27.6" x14ac:dyDescent="0.3">
      <c r="A527" s="13">
        <v>45503</v>
      </c>
      <c r="B527" s="10" t="s">
        <v>1056</v>
      </c>
      <c r="C527" s="2" t="s">
        <v>4</v>
      </c>
      <c r="D527" s="2" t="s">
        <v>162</v>
      </c>
      <c r="E527" s="2" t="s">
        <v>375</v>
      </c>
      <c r="F527" s="2">
        <v>1991</v>
      </c>
      <c r="G527" s="2">
        <v>1296</v>
      </c>
      <c r="H527" s="2">
        <v>1296</v>
      </c>
      <c r="J527" s="2">
        <v>1</v>
      </c>
      <c r="K527" s="2">
        <v>2</v>
      </c>
      <c r="L527" s="2">
        <v>2</v>
      </c>
      <c r="M527" s="2">
        <v>5</v>
      </c>
      <c r="N527" s="9" t="s">
        <v>1055</v>
      </c>
      <c r="O527" s="8">
        <v>619000</v>
      </c>
      <c r="P527" s="3">
        <f>(3510+9732)/12</f>
        <v>1103.5</v>
      </c>
      <c r="R527" s="3">
        <v>3046</v>
      </c>
      <c r="S527" s="12">
        <f t="shared" si="24"/>
        <v>88.600000000000009</v>
      </c>
      <c r="T527" s="3">
        <f t="shared" si="25"/>
        <v>4238.1000000000004</v>
      </c>
      <c r="U527" s="8">
        <f t="shared" si="26"/>
        <v>1391430</v>
      </c>
    </row>
    <row r="528" spans="1:21" ht="14.4" x14ac:dyDescent="0.3">
      <c r="A528" s="13">
        <v>45503</v>
      </c>
      <c r="B528" s="2" t="s">
        <v>1054</v>
      </c>
      <c r="C528" s="2" t="s">
        <v>4</v>
      </c>
      <c r="D528" s="2" t="s">
        <v>162</v>
      </c>
      <c r="E528" s="2" t="s">
        <v>375</v>
      </c>
      <c r="F528" s="2">
        <v>2011</v>
      </c>
      <c r="G528" s="2">
        <v>1213</v>
      </c>
      <c r="H528" s="2">
        <v>1213</v>
      </c>
      <c r="J528" s="2">
        <v>1</v>
      </c>
      <c r="K528" s="2">
        <v>2</v>
      </c>
      <c r="L528" s="2">
        <v>2</v>
      </c>
      <c r="M528" s="2">
        <v>8</v>
      </c>
      <c r="N528" s="9" t="s">
        <v>1053</v>
      </c>
      <c r="O528" s="8">
        <v>619000</v>
      </c>
      <c r="P528" s="3">
        <f>(3634+4778)/12</f>
        <v>701</v>
      </c>
      <c r="R528" s="3">
        <v>3046</v>
      </c>
      <c r="S528" s="12">
        <f t="shared" si="24"/>
        <v>83.75833333333334</v>
      </c>
      <c r="T528" s="3">
        <f t="shared" si="25"/>
        <v>3830.7583333333332</v>
      </c>
      <c r="U528" s="8">
        <f t="shared" si="26"/>
        <v>1269227.5</v>
      </c>
    </row>
    <row r="529" spans="1:21" ht="14.4" x14ac:dyDescent="0.3">
      <c r="A529" s="13">
        <v>45503</v>
      </c>
      <c r="B529" s="2" t="s">
        <v>1052</v>
      </c>
      <c r="C529" s="2" t="s">
        <v>4</v>
      </c>
      <c r="D529" s="2" t="s">
        <v>162</v>
      </c>
      <c r="E529" s="2" t="s">
        <v>375</v>
      </c>
      <c r="F529" s="2">
        <v>2024</v>
      </c>
      <c r="G529" s="2">
        <v>1094</v>
      </c>
      <c r="H529" s="2">
        <v>1094</v>
      </c>
      <c r="J529" s="2">
        <v>1</v>
      </c>
      <c r="K529" s="2">
        <v>2</v>
      </c>
      <c r="L529" s="2">
        <v>1</v>
      </c>
      <c r="M529" s="2">
        <v>5</v>
      </c>
      <c r="N529" s="9" t="s">
        <v>1051</v>
      </c>
      <c r="O529" s="8">
        <v>621669</v>
      </c>
      <c r="P529" s="3">
        <v>800</v>
      </c>
      <c r="Q529" s="1" t="s">
        <v>25</v>
      </c>
      <c r="R529" s="3">
        <v>3062</v>
      </c>
      <c r="S529" s="12">
        <f t="shared" si="24"/>
        <v>76.816666666666663</v>
      </c>
      <c r="T529" s="3">
        <f t="shared" si="25"/>
        <v>3938.8166666666666</v>
      </c>
      <c r="U529" s="8">
        <f t="shared" si="26"/>
        <v>1301645</v>
      </c>
    </row>
    <row r="530" spans="1:21" ht="27.6" x14ac:dyDescent="0.3">
      <c r="A530" s="13">
        <v>45503</v>
      </c>
      <c r="B530" s="10" t="s">
        <v>1050</v>
      </c>
      <c r="C530" s="2" t="s">
        <v>4</v>
      </c>
      <c r="D530" s="2" t="s">
        <v>162</v>
      </c>
      <c r="E530" s="2" t="s">
        <v>1734</v>
      </c>
      <c r="F530" s="2">
        <v>2005</v>
      </c>
      <c r="G530" s="1">
        <f>(7.4*5+23.9*15+12.9*10+11.3*8.8+16.5*13.2+11.2*9.9+11.2*8.6+12.9*8.9+14.9*12.3+10*3.3)*1.3</f>
        <v>1794.0260000000001</v>
      </c>
      <c r="H530" s="1">
        <f>121.5*3.28^2</f>
        <v>1307.1455999999998</v>
      </c>
      <c r="J530" s="2">
        <v>1</v>
      </c>
      <c r="K530" s="2">
        <v>4</v>
      </c>
      <c r="L530" s="2">
        <v>2</v>
      </c>
      <c r="M530" s="2">
        <v>9</v>
      </c>
      <c r="N530" s="9" t="s">
        <v>1049</v>
      </c>
      <c r="O530" s="8">
        <v>625000</v>
      </c>
      <c r="P530" s="3">
        <f>(4010+4776)/12</f>
        <v>732.16666666666663</v>
      </c>
      <c r="R530" s="3">
        <v>3082</v>
      </c>
      <c r="S530" s="12">
        <f t="shared" si="24"/>
        <v>117.65151666666668</v>
      </c>
      <c r="T530" s="3">
        <f t="shared" si="25"/>
        <v>3931.8181833333333</v>
      </c>
      <c r="U530" s="8">
        <f t="shared" si="26"/>
        <v>1299545.4550000001</v>
      </c>
    </row>
    <row r="531" spans="1:21" ht="14.4" x14ac:dyDescent="0.3">
      <c r="A531" s="13">
        <v>45503</v>
      </c>
      <c r="B531" s="2" t="s">
        <v>1048</v>
      </c>
      <c r="C531" s="2" t="s">
        <v>4</v>
      </c>
      <c r="D531" s="2" t="s">
        <v>162</v>
      </c>
      <c r="E531" s="2" t="s">
        <v>375</v>
      </c>
      <c r="F531" s="2">
        <v>2023</v>
      </c>
      <c r="G531" s="2">
        <v>1105</v>
      </c>
      <c r="H531" s="2">
        <v>1105</v>
      </c>
      <c r="J531" s="2">
        <v>1</v>
      </c>
      <c r="K531" s="2">
        <v>2</v>
      </c>
      <c r="L531" s="2">
        <v>2</v>
      </c>
      <c r="M531" s="2">
        <v>8</v>
      </c>
      <c r="N531" s="9" t="s">
        <v>1047</v>
      </c>
      <c r="O531" s="8">
        <v>628000</v>
      </c>
      <c r="P531" s="3">
        <v>700</v>
      </c>
      <c r="Q531" s="1" t="s">
        <v>25</v>
      </c>
      <c r="R531" s="3">
        <v>3101</v>
      </c>
      <c r="S531" s="12">
        <f t="shared" si="24"/>
        <v>77.458333333333343</v>
      </c>
      <c r="T531" s="3">
        <f t="shared" si="25"/>
        <v>3878.4583333333335</v>
      </c>
      <c r="U531" s="8">
        <f t="shared" si="26"/>
        <v>1283537.5</v>
      </c>
    </row>
    <row r="532" spans="1:21" ht="14.4" x14ac:dyDescent="0.3">
      <c r="A532" s="13">
        <v>45503</v>
      </c>
      <c r="B532" s="2" t="s">
        <v>1046</v>
      </c>
      <c r="C532" s="2" t="s">
        <v>4</v>
      </c>
      <c r="D532" s="2" t="s">
        <v>162</v>
      </c>
      <c r="E532" s="2" t="s">
        <v>375</v>
      </c>
      <c r="F532" s="2">
        <v>2018</v>
      </c>
      <c r="G532" s="2">
        <v>1117</v>
      </c>
      <c r="H532" s="2">
        <v>1117</v>
      </c>
      <c r="J532" s="2">
        <v>1</v>
      </c>
      <c r="K532" s="2">
        <v>2</v>
      </c>
      <c r="L532" s="2">
        <v>2</v>
      </c>
      <c r="M532" s="2">
        <v>9</v>
      </c>
      <c r="N532" s="9" t="s">
        <v>1045</v>
      </c>
      <c r="O532" s="8">
        <v>629000</v>
      </c>
      <c r="P532" s="3">
        <f>(4409+6660)/12</f>
        <v>922.41666666666663</v>
      </c>
      <c r="R532" s="3">
        <v>3107</v>
      </c>
      <c r="S532" s="12">
        <f t="shared" si="24"/>
        <v>78.158333333333346</v>
      </c>
      <c r="T532" s="3">
        <f t="shared" si="25"/>
        <v>4107.5749999999998</v>
      </c>
      <c r="U532" s="8">
        <f t="shared" si="26"/>
        <v>1352272.4999999998</v>
      </c>
    </row>
    <row r="533" spans="1:21" ht="14.4" x14ac:dyDescent="0.3">
      <c r="A533" s="13">
        <v>45503</v>
      </c>
      <c r="B533" s="2" t="s">
        <v>1044</v>
      </c>
      <c r="C533" s="2" t="s">
        <v>4</v>
      </c>
      <c r="D533" s="2" t="s">
        <v>162</v>
      </c>
      <c r="E533" s="2" t="s">
        <v>375</v>
      </c>
      <c r="F533" s="2">
        <v>1982</v>
      </c>
      <c r="G533" s="2">
        <v>1520</v>
      </c>
      <c r="H533" s="2">
        <v>1520</v>
      </c>
      <c r="J533" s="2">
        <v>1</v>
      </c>
      <c r="K533" s="2">
        <v>2</v>
      </c>
      <c r="L533" s="2">
        <v>2</v>
      </c>
      <c r="M533" s="2">
        <v>9</v>
      </c>
      <c r="N533" s="9" t="s">
        <v>1043</v>
      </c>
      <c r="O533" s="8">
        <v>630000</v>
      </c>
      <c r="P533" s="3">
        <f>(4020+10728)/12</f>
        <v>1229</v>
      </c>
      <c r="R533" s="3">
        <v>3113</v>
      </c>
      <c r="S533" s="12">
        <f t="shared" si="24"/>
        <v>101.66666666666667</v>
      </c>
      <c r="T533" s="3">
        <f t="shared" si="25"/>
        <v>4443.666666666667</v>
      </c>
      <c r="U533" s="8">
        <f t="shared" si="26"/>
        <v>1453100</v>
      </c>
    </row>
    <row r="534" spans="1:21" ht="27.6" x14ac:dyDescent="0.3">
      <c r="A534" s="13">
        <v>45503</v>
      </c>
      <c r="B534" s="10" t="s">
        <v>1042</v>
      </c>
      <c r="C534" s="2" t="s">
        <v>4</v>
      </c>
      <c r="D534" s="2" t="s">
        <v>162</v>
      </c>
      <c r="E534" s="2" t="s">
        <v>1734</v>
      </c>
      <c r="F534" s="2">
        <v>2007</v>
      </c>
      <c r="G534" s="1">
        <f>(7.5*4.7+13.8*9.4+19.1*12.4+23*12+4.9*6.7+8.4*10.2+11.7*12.2+11.4*12.4+19.1*10.9+7*8.6+10.2*9.9+7.1*5.9+3.1*10.6+14.9*12.1+3*4.4+7.5*7.3+10.9*7.8)*1.3</f>
        <v>2415.1400000000003</v>
      </c>
      <c r="H534" s="1">
        <f>(5.96*19.65)*3.28^2</f>
        <v>1259.9592575999998</v>
      </c>
      <c r="J534" s="2">
        <v>2</v>
      </c>
      <c r="K534" s="2">
        <v>3</v>
      </c>
      <c r="L534" s="2">
        <v>2</v>
      </c>
      <c r="M534" s="2">
        <v>17</v>
      </c>
      <c r="N534" s="9" t="s">
        <v>1041</v>
      </c>
      <c r="O534" s="8">
        <v>659900</v>
      </c>
      <c r="P534" s="3">
        <f>(4645+4824)/12</f>
        <v>789.08333333333337</v>
      </c>
      <c r="R534" s="3">
        <v>3296</v>
      </c>
      <c r="S534" s="12">
        <f t="shared" si="24"/>
        <v>153.88316666666668</v>
      </c>
      <c r="T534" s="3">
        <f t="shared" si="25"/>
        <v>4238.9665000000005</v>
      </c>
      <c r="U534" s="8">
        <f t="shared" si="26"/>
        <v>1391689.9500000002</v>
      </c>
    </row>
    <row r="535" spans="1:21" ht="14.4" x14ac:dyDescent="0.3">
      <c r="A535" s="13">
        <v>45503</v>
      </c>
      <c r="B535" s="2" t="s">
        <v>1040</v>
      </c>
      <c r="C535" s="2" t="s">
        <v>4</v>
      </c>
      <c r="D535" s="2" t="s">
        <v>162</v>
      </c>
      <c r="E535" s="2" t="s">
        <v>375</v>
      </c>
      <c r="F535" s="2">
        <v>2024</v>
      </c>
      <c r="G535" s="2">
        <v>1119</v>
      </c>
      <c r="H535" s="2">
        <v>1119</v>
      </c>
      <c r="J535" s="2">
        <v>1</v>
      </c>
      <c r="K535" s="2">
        <v>2</v>
      </c>
      <c r="L535" s="2">
        <v>2</v>
      </c>
      <c r="M535" s="2">
        <v>5</v>
      </c>
      <c r="N535" s="9" t="s">
        <v>1039</v>
      </c>
      <c r="O535" s="8">
        <v>663000</v>
      </c>
      <c r="P535" s="3">
        <v>800</v>
      </c>
      <c r="Q535" s="1" t="s">
        <v>25</v>
      </c>
      <c r="R535" s="3">
        <v>3314</v>
      </c>
      <c r="S535" s="12">
        <f t="shared" si="24"/>
        <v>78.275000000000006</v>
      </c>
      <c r="T535" s="3">
        <f t="shared" si="25"/>
        <v>4192.2749999999996</v>
      </c>
      <c r="U535" s="8">
        <f t="shared" si="26"/>
        <v>1377682.5</v>
      </c>
    </row>
    <row r="536" spans="1:21" ht="14.4" x14ac:dyDescent="0.3">
      <c r="A536" s="13">
        <v>45503</v>
      </c>
      <c r="B536" s="2" t="s">
        <v>1038</v>
      </c>
      <c r="C536" s="2" t="s">
        <v>4</v>
      </c>
      <c r="D536" s="2" t="s">
        <v>162</v>
      </c>
      <c r="E536" s="2" t="s">
        <v>375</v>
      </c>
      <c r="F536" s="2">
        <v>2018</v>
      </c>
      <c r="G536" s="2">
        <v>1349</v>
      </c>
      <c r="H536" s="2">
        <v>1349</v>
      </c>
      <c r="J536" s="2">
        <v>1</v>
      </c>
      <c r="K536" s="2">
        <v>2</v>
      </c>
      <c r="L536" s="2">
        <v>2</v>
      </c>
      <c r="M536" s="2">
        <v>9</v>
      </c>
      <c r="N536" s="9" t="s">
        <v>1037</v>
      </c>
      <c r="O536" s="8">
        <v>689000</v>
      </c>
      <c r="P536" s="3">
        <f>(4316+7488)/12</f>
        <v>983.66666666666663</v>
      </c>
      <c r="R536" s="3">
        <v>3473</v>
      </c>
      <c r="S536" s="12">
        <f t="shared" si="24"/>
        <v>91.691666666666677</v>
      </c>
      <c r="T536" s="3">
        <f t="shared" si="25"/>
        <v>4548.3583333333336</v>
      </c>
      <c r="U536" s="8">
        <f t="shared" si="26"/>
        <v>1484507.5</v>
      </c>
    </row>
    <row r="537" spans="1:21" ht="14.4" x14ac:dyDescent="0.3">
      <c r="A537" s="13">
        <v>45503</v>
      </c>
      <c r="B537" s="2" t="s">
        <v>1036</v>
      </c>
      <c r="C537" s="2" t="s">
        <v>4</v>
      </c>
      <c r="D537" s="2" t="s">
        <v>162</v>
      </c>
      <c r="E537" s="2" t="s">
        <v>375</v>
      </c>
      <c r="F537" s="2">
        <v>2010</v>
      </c>
      <c r="G537" s="2">
        <v>1284</v>
      </c>
      <c r="H537" s="2">
        <v>1284</v>
      </c>
      <c r="J537" s="2">
        <v>1</v>
      </c>
      <c r="K537" s="2">
        <v>2</v>
      </c>
      <c r="L537" s="2">
        <v>2</v>
      </c>
      <c r="M537" s="2">
        <v>7</v>
      </c>
      <c r="N537" s="9" t="s">
        <v>1035</v>
      </c>
      <c r="O537" s="8">
        <v>694000</v>
      </c>
      <c r="P537" s="3">
        <f>(4842+5208)/12</f>
        <v>837.5</v>
      </c>
      <c r="R537" s="3">
        <v>3504</v>
      </c>
      <c r="S537" s="12">
        <f t="shared" si="24"/>
        <v>87.9</v>
      </c>
      <c r="T537" s="3">
        <f t="shared" si="25"/>
        <v>4429.3999999999996</v>
      </c>
      <c r="U537" s="8">
        <f t="shared" si="26"/>
        <v>1448820</v>
      </c>
    </row>
    <row r="538" spans="1:21" ht="14.4" x14ac:dyDescent="0.3">
      <c r="A538" s="13">
        <v>45503</v>
      </c>
      <c r="B538" s="2" t="s">
        <v>1034</v>
      </c>
      <c r="C538" s="2" t="s">
        <v>4</v>
      </c>
      <c r="D538" s="2" t="s">
        <v>162</v>
      </c>
      <c r="E538" s="2" t="s">
        <v>375</v>
      </c>
      <c r="F538" s="2">
        <v>2009</v>
      </c>
      <c r="G538" s="2">
        <v>1490</v>
      </c>
      <c r="H538" s="2">
        <v>1490</v>
      </c>
      <c r="J538" s="2">
        <v>1</v>
      </c>
      <c r="K538" s="2">
        <v>3</v>
      </c>
      <c r="L538" s="2">
        <v>2</v>
      </c>
      <c r="M538" s="2">
        <v>9</v>
      </c>
      <c r="N538" s="9" t="s">
        <v>1033</v>
      </c>
      <c r="O538" s="8">
        <v>698000</v>
      </c>
      <c r="P538" s="3">
        <f>(5038+7836)/12</f>
        <v>1072.8333333333333</v>
      </c>
      <c r="R538" s="3">
        <v>3528</v>
      </c>
      <c r="S538" s="12">
        <f t="shared" si="24"/>
        <v>99.916666666666671</v>
      </c>
      <c r="T538" s="3">
        <f t="shared" si="25"/>
        <v>4700.75</v>
      </c>
      <c r="U538" s="8">
        <f t="shared" si="26"/>
        <v>1530225</v>
      </c>
    </row>
    <row r="539" spans="1:21" ht="14.4" x14ac:dyDescent="0.3">
      <c r="A539" s="13">
        <v>45503</v>
      </c>
      <c r="B539" s="2" t="s">
        <v>1032</v>
      </c>
      <c r="C539" s="2" t="s">
        <v>4</v>
      </c>
      <c r="D539" s="2" t="s">
        <v>162</v>
      </c>
      <c r="E539" s="2" t="s">
        <v>375</v>
      </c>
      <c r="F539" s="2">
        <v>2023</v>
      </c>
      <c r="G539" s="2">
        <v>1101</v>
      </c>
      <c r="H539" s="2">
        <v>1101</v>
      </c>
      <c r="J539" s="2">
        <v>1</v>
      </c>
      <c r="K539" s="2">
        <v>2</v>
      </c>
      <c r="L539" s="2">
        <v>2</v>
      </c>
      <c r="M539" s="2">
        <v>7</v>
      </c>
      <c r="N539" s="9" t="s">
        <v>1031</v>
      </c>
      <c r="O539" s="8">
        <v>699900</v>
      </c>
      <c r="P539" s="3">
        <f>(4102+5760)/12</f>
        <v>821.83333333333337</v>
      </c>
      <c r="R539" s="3">
        <v>3540</v>
      </c>
      <c r="S539" s="12">
        <f t="shared" si="24"/>
        <v>77.225000000000009</v>
      </c>
      <c r="T539" s="3">
        <f t="shared" si="25"/>
        <v>4439.0583333333334</v>
      </c>
      <c r="U539" s="8">
        <f t="shared" si="26"/>
        <v>1451717.5</v>
      </c>
    </row>
    <row r="540" spans="1:21" ht="14.4" x14ac:dyDescent="0.3">
      <c r="A540" s="13">
        <v>45503</v>
      </c>
      <c r="B540" s="2" t="s">
        <v>1030</v>
      </c>
      <c r="C540" s="2" t="s">
        <v>4</v>
      </c>
      <c r="D540" s="2" t="s">
        <v>162</v>
      </c>
      <c r="E540" s="2" t="s">
        <v>1734</v>
      </c>
      <c r="F540" s="2">
        <v>2016</v>
      </c>
      <c r="G540" s="1">
        <f>(2.18*3.3+1.24*1.52+3.48*2.74+3.66*2.59+3.78*4.67+2.41*1.6+3.48*2.87+3.89*3.94+3.02*3.63+6.81*5.49+2.16*5.23)*3.28^2*1.3</f>
        <v>1881.9803599999998</v>
      </c>
      <c r="H540" s="1">
        <f>168.2*3.28^2</f>
        <v>1809.5628799999995</v>
      </c>
      <c r="J540" s="2">
        <v>2</v>
      </c>
      <c r="K540" s="2">
        <v>3</v>
      </c>
      <c r="L540" s="2">
        <v>1</v>
      </c>
      <c r="M540" s="2">
        <v>11</v>
      </c>
      <c r="N540" s="9" t="s">
        <v>1029</v>
      </c>
      <c r="O540" s="8">
        <v>709000</v>
      </c>
      <c r="P540" s="3">
        <f>(5377+2640)/12</f>
        <v>668.08333333333337</v>
      </c>
      <c r="R540" s="3">
        <v>3595</v>
      </c>
      <c r="S540" s="12">
        <f t="shared" si="24"/>
        <v>122.78218766666667</v>
      </c>
      <c r="T540" s="3">
        <f t="shared" si="25"/>
        <v>4385.8655209999997</v>
      </c>
      <c r="U540" s="8">
        <f t="shared" si="26"/>
        <v>1435759.6562999999</v>
      </c>
    </row>
    <row r="541" spans="1:21" ht="14.4" x14ac:dyDescent="0.3">
      <c r="A541" s="13">
        <v>45503</v>
      </c>
      <c r="B541" s="2" t="s">
        <v>1028</v>
      </c>
      <c r="C541" s="2" t="s">
        <v>4</v>
      </c>
      <c r="D541" s="2" t="s">
        <v>162</v>
      </c>
      <c r="E541" s="2" t="s">
        <v>375</v>
      </c>
      <c r="F541" s="2">
        <v>2024</v>
      </c>
      <c r="G541" s="2">
        <v>1272</v>
      </c>
      <c r="H541" s="2">
        <v>1272</v>
      </c>
      <c r="J541" s="2">
        <v>1</v>
      </c>
      <c r="K541" s="2">
        <v>2</v>
      </c>
      <c r="L541" s="2">
        <v>2</v>
      </c>
      <c r="M541" s="2">
        <v>6</v>
      </c>
      <c r="N541" s="9" t="s">
        <v>1027</v>
      </c>
      <c r="O541" s="8">
        <v>710019</v>
      </c>
      <c r="P541" s="3">
        <v>800</v>
      </c>
      <c r="Q541" s="1" t="s">
        <v>25</v>
      </c>
      <c r="R541" s="3">
        <v>3601</v>
      </c>
      <c r="S541" s="12">
        <f t="shared" si="24"/>
        <v>87.2</v>
      </c>
      <c r="T541" s="3">
        <f t="shared" si="25"/>
        <v>4488.2</v>
      </c>
      <c r="U541" s="8">
        <f t="shared" si="26"/>
        <v>1466459.9999999998</v>
      </c>
    </row>
    <row r="542" spans="1:21" ht="14.4" x14ac:dyDescent="0.3">
      <c r="A542" s="13">
        <v>45503</v>
      </c>
      <c r="B542" s="2" t="s">
        <v>1026</v>
      </c>
      <c r="C542" s="2" t="s">
        <v>4</v>
      </c>
      <c r="D542" s="2" t="s">
        <v>162</v>
      </c>
      <c r="E542" s="2" t="s">
        <v>375</v>
      </c>
      <c r="F542" s="2">
        <v>2019</v>
      </c>
      <c r="G542" s="2">
        <v>1197</v>
      </c>
      <c r="H542" s="2">
        <v>1197</v>
      </c>
      <c r="J542" s="2">
        <v>1</v>
      </c>
      <c r="K542" s="2">
        <v>1</v>
      </c>
      <c r="L542" s="2">
        <v>2</v>
      </c>
      <c r="M542" s="2">
        <v>6</v>
      </c>
      <c r="N542" s="9" t="s">
        <v>1025</v>
      </c>
      <c r="O542" s="8">
        <v>715000</v>
      </c>
      <c r="P542" s="3">
        <f>(4949+7608)/12</f>
        <v>1046.4166666666667</v>
      </c>
      <c r="R542" s="3">
        <v>3632</v>
      </c>
      <c r="S542" s="12">
        <f t="shared" si="24"/>
        <v>82.825000000000003</v>
      </c>
      <c r="T542" s="3">
        <f t="shared" si="25"/>
        <v>4761.2416666666668</v>
      </c>
      <c r="U542" s="8">
        <f t="shared" si="26"/>
        <v>1548372.5</v>
      </c>
    </row>
    <row r="543" spans="1:21" ht="14.4" x14ac:dyDescent="0.3">
      <c r="A543" s="13">
        <v>45503</v>
      </c>
      <c r="B543" s="2" t="s">
        <v>1024</v>
      </c>
      <c r="C543" s="2" t="s">
        <v>4</v>
      </c>
      <c r="D543" s="2" t="s">
        <v>162</v>
      </c>
      <c r="E543" s="2" t="s">
        <v>375</v>
      </c>
      <c r="F543" s="2">
        <v>1991</v>
      </c>
      <c r="G543" s="2">
        <v>1296</v>
      </c>
      <c r="H543" s="2">
        <v>1296</v>
      </c>
      <c r="J543" s="2">
        <v>1</v>
      </c>
      <c r="K543" s="2">
        <v>2</v>
      </c>
      <c r="L543" s="2">
        <v>2</v>
      </c>
      <c r="M543" s="2">
        <v>8</v>
      </c>
      <c r="N543" s="9" t="s">
        <v>1023</v>
      </c>
      <c r="O543" s="8">
        <v>729000</v>
      </c>
      <c r="P543" s="3">
        <f>(3403+8256)/12</f>
        <v>971.58333333333337</v>
      </c>
      <c r="R543" s="3">
        <v>3717</v>
      </c>
      <c r="S543" s="12">
        <f t="shared" si="24"/>
        <v>88.600000000000009</v>
      </c>
      <c r="T543" s="3">
        <f t="shared" si="25"/>
        <v>4777.1833333333334</v>
      </c>
      <c r="U543" s="8">
        <f t="shared" si="26"/>
        <v>1553155</v>
      </c>
    </row>
    <row r="544" spans="1:21" ht="14.4" x14ac:dyDescent="0.3">
      <c r="A544" s="13">
        <v>45503</v>
      </c>
      <c r="B544" s="2" t="s">
        <v>1022</v>
      </c>
      <c r="C544" s="2" t="s">
        <v>4</v>
      </c>
      <c r="D544" s="2" t="s">
        <v>162</v>
      </c>
      <c r="E544" s="2" t="s">
        <v>375</v>
      </c>
      <c r="F544" s="2">
        <v>2012</v>
      </c>
      <c r="G544" s="2">
        <v>1328</v>
      </c>
      <c r="H544" s="2">
        <v>1328</v>
      </c>
      <c r="J544" s="2">
        <v>1</v>
      </c>
      <c r="K544" s="2">
        <v>2</v>
      </c>
      <c r="L544" s="2">
        <v>2</v>
      </c>
      <c r="M544" s="2">
        <v>7</v>
      </c>
      <c r="N544" s="9" t="s">
        <v>1021</v>
      </c>
      <c r="O544" s="8">
        <v>748500</v>
      </c>
      <c r="P544" s="3">
        <f>(5396+9600)/12</f>
        <v>1249.6666666666667</v>
      </c>
      <c r="R544" s="3">
        <v>3836</v>
      </c>
      <c r="S544" s="12">
        <f t="shared" si="24"/>
        <v>90.466666666666683</v>
      </c>
      <c r="T544" s="3">
        <f t="shared" si="25"/>
        <v>5176.1333333333332</v>
      </c>
      <c r="U544" s="8">
        <f t="shared" si="26"/>
        <v>1672840</v>
      </c>
    </row>
    <row r="545" spans="1:21" ht="14.4" x14ac:dyDescent="0.3">
      <c r="A545" s="13">
        <v>45503</v>
      </c>
      <c r="B545" s="2" t="s">
        <v>1020</v>
      </c>
      <c r="C545" s="2" t="s">
        <v>4</v>
      </c>
      <c r="D545" s="2" t="s">
        <v>162</v>
      </c>
      <c r="E545" s="2" t="s">
        <v>1734</v>
      </c>
      <c r="F545" s="2">
        <v>2005</v>
      </c>
      <c r="G545" s="1">
        <f>(7.7*13.7+14.8*13.3+3.2*9.2+18.5*11.8+13.3*9.5+8.1*12.8+10.4*8.6+5*4.7+16.1*13.9+10*11.3+8.1*11.6+8.4*12.2)*1.3</f>
        <v>1854.1510000000003</v>
      </c>
      <c r="H545" s="2">
        <v>1451</v>
      </c>
      <c r="J545" s="2">
        <v>2</v>
      </c>
      <c r="K545" s="2">
        <v>2</v>
      </c>
      <c r="L545" s="2">
        <v>3</v>
      </c>
      <c r="M545" s="2">
        <v>12</v>
      </c>
      <c r="N545" s="9" t="s">
        <v>1019</v>
      </c>
      <c r="O545" s="8">
        <v>750000</v>
      </c>
      <c r="P545" s="3">
        <f>(3546+4620)/12</f>
        <v>680.5</v>
      </c>
      <c r="R545" s="3">
        <v>3845</v>
      </c>
      <c r="S545" s="12">
        <f t="shared" si="24"/>
        <v>121.15880833333335</v>
      </c>
      <c r="T545" s="3">
        <f t="shared" si="25"/>
        <v>4646.6588083333336</v>
      </c>
      <c r="U545" s="8">
        <f t="shared" si="26"/>
        <v>1513997.6425000001</v>
      </c>
    </row>
    <row r="546" spans="1:21" ht="14.4" x14ac:dyDescent="0.3">
      <c r="A546" s="13">
        <v>45503</v>
      </c>
      <c r="B546" s="2" t="s">
        <v>1018</v>
      </c>
      <c r="C546" s="2" t="s">
        <v>4</v>
      </c>
      <c r="D546" s="2" t="s">
        <v>162</v>
      </c>
      <c r="E546" s="2" t="s">
        <v>375</v>
      </c>
      <c r="F546" s="2">
        <v>1982</v>
      </c>
      <c r="G546" s="2">
        <v>1290</v>
      </c>
      <c r="H546" s="2">
        <v>1290</v>
      </c>
      <c r="J546" s="2">
        <v>1</v>
      </c>
      <c r="K546" s="2">
        <v>2</v>
      </c>
      <c r="L546" s="2">
        <v>2</v>
      </c>
      <c r="M546" s="2">
        <v>8</v>
      </c>
      <c r="N546" s="9" t="s">
        <v>1017</v>
      </c>
      <c r="O546" s="8">
        <v>784900</v>
      </c>
      <c r="P546" s="3">
        <f>(4709+13800)/12</f>
        <v>1542.4166666666667</v>
      </c>
      <c r="R546" s="3">
        <v>4058</v>
      </c>
      <c r="S546" s="12">
        <f t="shared" si="24"/>
        <v>88.250000000000014</v>
      </c>
      <c r="T546" s="3">
        <f t="shared" si="25"/>
        <v>5688.666666666667</v>
      </c>
      <c r="U546" s="8">
        <f t="shared" si="26"/>
        <v>1826600</v>
      </c>
    </row>
    <row r="547" spans="1:21" ht="14.4" x14ac:dyDescent="0.3">
      <c r="A547" s="13">
        <v>45503</v>
      </c>
      <c r="B547" s="2" t="s">
        <v>1016</v>
      </c>
      <c r="C547" s="2" t="s">
        <v>4</v>
      </c>
      <c r="D547" s="2" t="s">
        <v>162</v>
      </c>
      <c r="E547" s="2" t="s">
        <v>375</v>
      </c>
      <c r="F547" s="2">
        <v>2013</v>
      </c>
      <c r="G547" s="2">
        <v>1388</v>
      </c>
      <c r="H547" s="2">
        <v>1388</v>
      </c>
      <c r="J547" s="2">
        <v>1</v>
      </c>
      <c r="K547" s="2">
        <v>3</v>
      </c>
      <c r="L547" s="2">
        <v>2</v>
      </c>
      <c r="M547" s="2">
        <v>11</v>
      </c>
      <c r="N547" s="9" t="s">
        <v>1015</v>
      </c>
      <c r="O547" s="8">
        <v>799000</v>
      </c>
      <c r="P547" s="3">
        <f>(5302+16787)/12</f>
        <v>1840.75</v>
      </c>
      <c r="R547" s="3">
        <v>4145</v>
      </c>
      <c r="S547" s="12">
        <f t="shared" si="24"/>
        <v>93.966666666666683</v>
      </c>
      <c r="T547" s="3">
        <f t="shared" si="25"/>
        <v>6079.7166666666662</v>
      </c>
      <c r="U547" s="8">
        <f t="shared" si="26"/>
        <v>1943914.9999999998</v>
      </c>
    </row>
    <row r="548" spans="1:21" ht="14.4" x14ac:dyDescent="0.3">
      <c r="A548" s="13">
        <v>45503</v>
      </c>
      <c r="B548" s="2" t="s">
        <v>1014</v>
      </c>
      <c r="C548" s="2" t="s">
        <v>4</v>
      </c>
      <c r="D548" s="2" t="s">
        <v>162</v>
      </c>
      <c r="E548" s="2" t="s">
        <v>375</v>
      </c>
      <c r="F548" s="2">
        <v>2014</v>
      </c>
      <c r="G548" s="2">
        <v>1482</v>
      </c>
      <c r="H548" s="2">
        <v>1482</v>
      </c>
      <c r="J548" s="2">
        <v>1</v>
      </c>
      <c r="K548" s="2">
        <v>2</v>
      </c>
      <c r="L548" s="2">
        <v>2</v>
      </c>
      <c r="M548" s="2">
        <v>7</v>
      </c>
      <c r="N548" s="9" t="s">
        <v>1013</v>
      </c>
      <c r="O548" s="8">
        <v>799900</v>
      </c>
      <c r="P548" s="3">
        <f>(5870+10752)/12</f>
        <v>1385.1666666666667</v>
      </c>
      <c r="R548" s="3">
        <v>4150</v>
      </c>
      <c r="S548" s="12">
        <f t="shared" si="24"/>
        <v>99.45</v>
      </c>
      <c r="T548" s="3">
        <f t="shared" si="25"/>
        <v>5634.6166666666668</v>
      </c>
      <c r="U548" s="8">
        <f t="shared" si="26"/>
        <v>1810384.9999999998</v>
      </c>
    </row>
    <row r="549" spans="1:21" ht="27.6" x14ac:dyDescent="0.3">
      <c r="A549" s="13">
        <v>45503</v>
      </c>
      <c r="B549" s="10" t="s">
        <v>1143</v>
      </c>
      <c r="C549" s="2" t="s">
        <v>4</v>
      </c>
      <c r="D549" s="2" t="s">
        <v>227</v>
      </c>
      <c r="E549" s="2" t="s">
        <v>375</v>
      </c>
      <c r="F549" s="2">
        <v>2003</v>
      </c>
      <c r="G549" s="2">
        <v>625</v>
      </c>
      <c r="H549" s="2">
        <v>625</v>
      </c>
      <c r="J549" s="2">
        <v>1</v>
      </c>
      <c r="K549" s="2">
        <v>1</v>
      </c>
      <c r="L549" s="2">
        <v>1</v>
      </c>
      <c r="M549" s="2">
        <v>7</v>
      </c>
      <c r="N549" s="9" t="s">
        <v>1142</v>
      </c>
      <c r="O549" s="8">
        <v>279900</v>
      </c>
      <c r="P549" s="3">
        <f>(1893+2268)/12</f>
        <v>346.75</v>
      </c>
      <c r="R549" s="3">
        <v>976</v>
      </c>
      <c r="S549" s="12">
        <f t="shared" si="24"/>
        <v>49.458333333333336</v>
      </c>
      <c r="T549" s="3">
        <f t="shared" si="25"/>
        <v>1372.2083333333333</v>
      </c>
      <c r="U549" s="8">
        <f t="shared" si="26"/>
        <v>531662.5</v>
      </c>
    </row>
    <row r="550" spans="1:21" ht="14.4" x14ac:dyDescent="0.3">
      <c r="A550" s="13">
        <v>45503</v>
      </c>
      <c r="B550" s="2" t="s">
        <v>1141</v>
      </c>
      <c r="C550" s="2" t="s">
        <v>4</v>
      </c>
      <c r="D550" s="2" t="s">
        <v>227</v>
      </c>
      <c r="E550" s="2" t="s">
        <v>375</v>
      </c>
      <c r="F550" s="2">
        <v>2010</v>
      </c>
      <c r="G550" s="2">
        <v>662</v>
      </c>
      <c r="H550" s="2">
        <v>662</v>
      </c>
      <c r="J550" s="2">
        <v>1</v>
      </c>
      <c r="K550" s="2">
        <v>1</v>
      </c>
      <c r="L550" s="2">
        <v>1</v>
      </c>
      <c r="M550" s="2">
        <v>5</v>
      </c>
      <c r="N550" s="9" t="s">
        <v>1140</v>
      </c>
      <c r="O550" s="8">
        <v>289000</v>
      </c>
      <c r="P550" s="3">
        <f>(1817+4392)/12</f>
        <v>517.41666666666663</v>
      </c>
      <c r="R550" s="3">
        <v>1032</v>
      </c>
      <c r="S550" s="12">
        <f t="shared" si="24"/>
        <v>51.616666666666667</v>
      </c>
      <c r="T550" s="3">
        <f t="shared" si="25"/>
        <v>1601.0333333333331</v>
      </c>
      <c r="U550" s="8">
        <f t="shared" si="26"/>
        <v>600310</v>
      </c>
    </row>
    <row r="551" spans="1:21" ht="14.4" x14ac:dyDescent="0.3">
      <c r="A551" s="13">
        <v>45503</v>
      </c>
      <c r="B551" s="2" t="s">
        <v>1139</v>
      </c>
      <c r="C551" s="2" t="s">
        <v>4</v>
      </c>
      <c r="D551" s="2" t="s">
        <v>227</v>
      </c>
      <c r="E551" s="2" t="s">
        <v>375</v>
      </c>
      <c r="F551" s="2">
        <v>2019</v>
      </c>
      <c r="G551" s="2">
        <v>334</v>
      </c>
      <c r="H551" s="2">
        <v>334</v>
      </c>
      <c r="J551" s="2">
        <v>1</v>
      </c>
      <c r="K551" s="2">
        <v>1</v>
      </c>
      <c r="L551" s="2">
        <v>1</v>
      </c>
      <c r="M551" s="2">
        <v>3</v>
      </c>
      <c r="N551" s="9" t="s">
        <v>1138</v>
      </c>
      <c r="O551" s="8">
        <v>299000</v>
      </c>
      <c r="P551" s="3">
        <f>(2115+2664)/12</f>
        <v>398.25</v>
      </c>
      <c r="R551" s="3">
        <v>1093</v>
      </c>
      <c r="S551" s="12">
        <f t="shared" si="24"/>
        <v>32.483333333333334</v>
      </c>
      <c r="T551" s="3">
        <f t="shared" si="25"/>
        <v>1523.7333333333333</v>
      </c>
      <c r="U551" s="8">
        <f t="shared" si="26"/>
        <v>577120</v>
      </c>
    </row>
    <row r="552" spans="1:21" ht="14.4" x14ac:dyDescent="0.3">
      <c r="A552" s="13">
        <v>45503</v>
      </c>
      <c r="B552" s="2" t="s">
        <v>1137</v>
      </c>
      <c r="C552" s="2" t="s">
        <v>4</v>
      </c>
      <c r="D552" s="2" t="s">
        <v>227</v>
      </c>
      <c r="E552" s="2" t="s">
        <v>375</v>
      </c>
      <c r="F552" s="2">
        <v>2011</v>
      </c>
      <c r="G552" s="2">
        <v>673</v>
      </c>
      <c r="H552" s="2">
        <v>673</v>
      </c>
      <c r="J552" s="2">
        <v>1</v>
      </c>
      <c r="K552" s="2">
        <v>1</v>
      </c>
      <c r="L552" s="2">
        <v>1</v>
      </c>
      <c r="M552" s="2">
        <v>6</v>
      </c>
      <c r="N552" s="9" t="s">
        <v>1136</v>
      </c>
      <c r="O552" s="8">
        <v>319000</v>
      </c>
      <c r="P552" s="3">
        <f>(2234+4740)/12</f>
        <v>581.16666666666663</v>
      </c>
      <c r="R552" s="3">
        <v>1215</v>
      </c>
      <c r="S552" s="12">
        <f t="shared" si="24"/>
        <v>52.258333333333333</v>
      </c>
      <c r="T552" s="3">
        <f t="shared" si="25"/>
        <v>1848.425</v>
      </c>
      <c r="U552" s="8">
        <f t="shared" si="26"/>
        <v>674527.5</v>
      </c>
    </row>
    <row r="553" spans="1:21" ht="14.4" x14ac:dyDescent="0.3">
      <c r="A553" s="13">
        <v>45503</v>
      </c>
      <c r="B553" s="2" t="s">
        <v>1135</v>
      </c>
      <c r="C553" s="2" t="s">
        <v>4</v>
      </c>
      <c r="D553" s="2" t="s">
        <v>227</v>
      </c>
      <c r="E553" s="2" t="s">
        <v>375</v>
      </c>
      <c r="F553" s="2">
        <v>2013</v>
      </c>
      <c r="G553" s="2">
        <v>494</v>
      </c>
      <c r="H553" s="2">
        <v>494</v>
      </c>
      <c r="J553" s="2">
        <v>1</v>
      </c>
      <c r="K553" s="2">
        <v>1</v>
      </c>
      <c r="L553" s="2">
        <v>1</v>
      </c>
      <c r="M553" s="2">
        <v>4</v>
      </c>
      <c r="N553" s="9" t="s">
        <v>1134</v>
      </c>
      <c r="O553" s="8">
        <v>324000</v>
      </c>
      <c r="P553" s="3">
        <f>(2158+2280)/12</f>
        <v>369.83333333333331</v>
      </c>
      <c r="R553" s="3">
        <v>1245</v>
      </c>
      <c r="S553" s="12">
        <f t="shared" si="24"/>
        <v>41.816666666666663</v>
      </c>
      <c r="T553" s="3">
        <f t="shared" si="25"/>
        <v>1656.6499999999999</v>
      </c>
      <c r="U553" s="8">
        <f t="shared" si="26"/>
        <v>616995</v>
      </c>
    </row>
    <row r="554" spans="1:21" ht="14.4" x14ac:dyDescent="0.3">
      <c r="A554" s="13">
        <v>45503</v>
      </c>
      <c r="B554" s="2" t="s">
        <v>1133</v>
      </c>
      <c r="C554" s="2" t="s">
        <v>4</v>
      </c>
      <c r="D554" s="2" t="s">
        <v>227</v>
      </c>
      <c r="E554" s="2" t="s">
        <v>375</v>
      </c>
      <c r="F554" s="2">
        <v>2018</v>
      </c>
      <c r="G554" s="2">
        <v>576</v>
      </c>
      <c r="H554" s="2">
        <v>576</v>
      </c>
      <c r="J554" s="2">
        <v>1</v>
      </c>
      <c r="K554" s="2">
        <v>1</v>
      </c>
      <c r="L554" s="2">
        <v>1</v>
      </c>
      <c r="M554" s="2">
        <v>6</v>
      </c>
      <c r="N554" s="9" t="s">
        <v>1132</v>
      </c>
      <c r="O554" s="8">
        <v>330000</v>
      </c>
      <c r="P554" s="3">
        <f>(2142+3168)/12</f>
        <v>442.5</v>
      </c>
      <c r="R554" s="3">
        <v>1282</v>
      </c>
      <c r="S554" s="12">
        <f t="shared" si="24"/>
        <v>46.6</v>
      </c>
      <c r="T554" s="3">
        <f t="shared" si="25"/>
        <v>1771.1</v>
      </c>
      <c r="U554" s="8">
        <f t="shared" si="26"/>
        <v>651329.99999999988</v>
      </c>
    </row>
    <row r="555" spans="1:21" ht="14.4" x14ac:dyDescent="0.3">
      <c r="A555" s="13">
        <v>45503</v>
      </c>
      <c r="B555" s="2" t="s">
        <v>1131</v>
      </c>
      <c r="C555" s="2" t="s">
        <v>4</v>
      </c>
      <c r="D555" s="2" t="s">
        <v>227</v>
      </c>
      <c r="E555" s="2" t="s">
        <v>375</v>
      </c>
      <c r="F555" s="2">
        <v>1988</v>
      </c>
      <c r="G555" s="2">
        <v>894</v>
      </c>
      <c r="H555" s="2">
        <v>894</v>
      </c>
      <c r="J555" s="2">
        <v>1</v>
      </c>
      <c r="K555" s="2">
        <v>2</v>
      </c>
      <c r="L555" s="2">
        <v>1</v>
      </c>
      <c r="M555" s="2">
        <v>8</v>
      </c>
      <c r="N555" s="9" t="s">
        <v>1130</v>
      </c>
      <c r="O555" s="8">
        <v>337900</v>
      </c>
      <c r="P555" s="3">
        <f>(2111+4428)/12</f>
        <v>544.91666666666663</v>
      </c>
      <c r="R555" s="3">
        <v>1330</v>
      </c>
      <c r="S555" s="12">
        <f t="shared" si="24"/>
        <v>65.150000000000006</v>
      </c>
      <c r="T555" s="3">
        <f t="shared" si="25"/>
        <v>1940.0666666666666</v>
      </c>
      <c r="U555" s="8">
        <f t="shared" si="26"/>
        <v>702020</v>
      </c>
    </row>
    <row r="556" spans="1:21" ht="14.4" x14ac:dyDescent="0.3">
      <c r="A556" s="13">
        <v>45503</v>
      </c>
      <c r="B556" s="2" t="s">
        <v>1129</v>
      </c>
      <c r="C556" s="2" t="s">
        <v>4</v>
      </c>
      <c r="D556" s="2" t="s">
        <v>227</v>
      </c>
      <c r="E556" s="2" t="s">
        <v>375</v>
      </c>
      <c r="F556" s="2">
        <v>1987</v>
      </c>
      <c r="G556" s="2">
        <v>829</v>
      </c>
      <c r="H556" s="2">
        <v>829</v>
      </c>
      <c r="J556" s="2">
        <v>1</v>
      </c>
      <c r="K556" s="2">
        <v>2</v>
      </c>
      <c r="L556" s="2">
        <v>1</v>
      </c>
      <c r="M556" s="2">
        <v>6</v>
      </c>
      <c r="N556" s="9" t="s">
        <v>1128</v>
      </c>
      <c r="O556" s="8">
        <v>338000</v>
      </c>
      <c r="P556" s="3">
        <f>(1966+2484)/12</f>
        <v>370.83333333333331</v>
      </c>
      <c r="R556" s="3">
        <v>1331</v>
      </c>
      <c r="S556" s="12">
        <f t="shared" si="24"/>
        <v>61.358333333333341</v>
      </c>
      <c r="T556" s="3">
        <f t="shared" si="25"/>
        <v>1763.1916666666666</v>
      </c>
      <c r="U556" s="8">
        <f t="shared" si="26"/>
        <v>648957.5</v>
      </c>
    </row>
    <row r="557" spans="1:21" ht="14.4" x14ac:dyDescent="0.3">
      <c r="A557" s="13">
        <v>45503</v>
      </c>
      <c r="B557" s="2" t="s">
        <v>1127</v>
      </c>
      <c r="C557" s="2" t="s">
        <v>4</v>
      </c>
      <c r="D557" s="2" t="s">
        <v>227</v>
      </c>
      <c r="E557" s="2" t="s">
        <v>375</v>
      </c>
      <c r="F557" s="2">
        <v>2010</v>
      </c>
      <c r="G557" s="2">
        <v>861</v>
      </c>
      <c r="H557" s="2">
        <v>861</v>
      </c>
      <c r="J557" s="2">
        <v>1</v>
      </c>
      <c r="K557" s="2">
        <v>2</v>
      </c>
      <c r="L557" s="2">
        <v>1</v>
      </c>
      <c r="M557" s="2">
        <v>8</v>
      </c>
      <c r="N557" s="14" t="s">
        <v>1126</v>
      </c>
      <c r="O557" s="8">
        <v>344000</v>
      </c>
      <c r="P557" s="3">
        <f>(2159+5232)/12</f>
        <v>615.91666666666663</v>
      </c>
      <c r="R557" s="3">
        <v>1367</v>
      </c>
      <c r="S557" s="12">
        <f t="shared" si="24"/>
        <v>63.225000000000001</v>
      </c>
      <c r="T557" s="3">
        <f t="shared" si="25"/>
        <v>2046.1416666666664</v>
      </c>
      <c r="U557" s="8">
        <f t="shared" si="26"/>
        <v>733842.49999999988</v>
      </c>
    </row>
    <row r="558" spans="1:21" ht="14.4" x14ac:dyDescent="0.3">
      <c r="A558" s="13">
        <v>45503</v>
      </c>
      <c r="B558" s="2" t="s">
        <v>591</v>
      </c>
      <c r="C558" s="2" t="s">
        <v>4</v>
      </c>
      <c r="D558" s="2" t="s">
        <v>227</v>
      </c>
      <c r="E558" s="2" t="s">
        <v>375</v>
      </c>
      <c r="F558" s="2">
        <v>2011</v>
      </c>
      <c r="G558" s="2">
        <v>904</v>
      </c>
      <c r="H558" s="2">
        <v>904</v>
      </c>
      <c r="J558" s="2">
        <v>1</v>
      </c>
      <c r="K558" s="2">
        <v>2</v>
      </c>
      <c r="L558" s="2">
        <v>1</v>
      </c>
      <c r="M558" s="2">
        <v>4</v>
      </c>
      <c r="N558" s="9" t="s">
        <v>1125</v>
      </c>
      <c r="O558" s="8">
        <v>369000</v>
      </c>
      <c r="P558" s="3">
        <f>(2573+5292)/12</f>
        <v>655.41666666666663</v>
      </c>
      <c r="R558" s="3">
        <v>1520</v>
      </c>
      <c r="S558" s="12">
        <f t="shared" si="24"/>
        <v>65.733333333333348</v>
      </c>
      <c r="T558" s="3">
        <f t="shared" si="25"/>
        <v>2241.1499999999996</v>
      </c>
      <c r="U558" s="8">
        <f t="shared" si="26"/>
        <v>792344.99999999988</v>
      </c>
    </row>
    <row r="559" spans="1:21" ht="14.4" x14ac:dyDescent="0.3">
      <c r="A559" s="13">
        <v>45503</v>
      </c>
      <c r="B559" s="2" t="s">
        <v>1124</v>
      </c>
      <c r="C559" s="2" t="s">
        <v>4</v>
      </c>
      <c r="D559" s="2" t="s">
        <v>227</v>
      </c>
      <c r="E559" s="2" t="s">
        <v>375</v>
      </c>
      <c r="F559" s="2">
        <v>2013</v>
      </c>
      <c r="G559" s="2">
        <v>541</v>
      </c>
      <c r="H559" s="2">
        <v>541</v>
      </c>
      <c r="J559" s="2">
        <v>1</v>
      </c>
      <c r="K559" s="2">
        <v>1</v>
      </c>
      <c r="L559" s="2">
        <v>1</v>
      </c>
      <c r="M559" s="2">
        <v>4</v>
      </c>
      <c r="N559" s="9" t="s">
        <v>1123</v>
      </c>
      <c r="O559" s="8">
        <v>370000</v>
      </c>
      <c r="P559" s="3">
        <f>(2118+2448)/12</f>
        <v>380.5</v>
      </c>
      <c r="R559" s="3">
        <v>1526</v>
      </c>
      <c r="S559" s="12">
        <f t="shared" si="24"/>
        <v>44.558333333333337</v>
      </c>
      <c r="T559" s="3">
        <f t="shared" si="25"/>
        <v>1951.0583333333334</v>
      </c>
      <c r="U559" s="8">
        <f t="shared" si="26"/>
        <v>705317.5</v>
      </c>
    </row>
    <row r="560" spans="1:21" ht="14.4" x14ac:dyDescent="0.3">
      <c r="A560" s="13">
        <v>45503</v>
      </c>
      <c r="B560" s="2" t="s">
        <v>1122</v>
      </c>
      <c r="C560" s="2" t="s">
        <v>4</v>
      </c>
      <c r="D560" s="2" t="s">
        <v>227</v>
      </c>
      <c r="E560" s="2" t="s">
        <v>375</v>
      </c>
      <c r="F560" s="2">
        <v>2012</v>
      </c>
      <c r="G560" s="2">
        <v>864</v>
      </c>
      <c r="H560" s="2">
        <v>864</v>
      </c>
      <c r="J560" s="2">
        <v>1</v>
      </c>
      <c r="K560" s="2">
        <v>2</v>
      </c>
      <c r="L560" s="2">
        <v>1</v>
      </c>
      <c r="M560" s="2">
        <v>8</v>
      </c>
      <c r="N560" s="9" t="s">
        <v>1121</v>
      </c>
      <c r="O560" s="8">
        <v>375900</v>
      </c>
      <c r="P560" s="3">
        <f>(2599+5448)/12</f>
        <v>670.58333333333337</v>
      </c>
      <c r="R560" s="3">
        <v>1562</v>
      </c>
      <c r="S560" s="12">
        <f t="shared" si="24"/>
        <v>63.400000000000006</v>
      </c>
      <c r="T560" s="3">
        <f t="shared" si="25"/>
        <v>2295.9833333333336</v>
      </c>
      <c r="U560" s="8">
        <f t="shared" si="26"/>
        <v>808795.00000000012</v>
      </c>
    </row>
    <row r="561" spans="1:21" ht="14.4" x14ac:dyDescent="0.3">
      <c r="A561" s="13">
        <v>45503</v>
      </c>
      <c r="B561" s="2" t="s">
        <v>1120</v>
      </c>
      <c r="C561" s="2" t="s">
        <v>4</v>
      </c>
      <c r="D561" s="2" t="s">
        <v>227</v>
      </c>
      <c r="E561" s="2" t="s">
        <v>375</v>
      </c>
      <c r="F561" s="2">
        <v>2011</v>
      </c>
      <c r="G561" s="2">
        <v>1013</v>
      </c>
      <c r="H561" s="2">
        <v>1013</v>
      </c>
      <c r="J561" s="2">
        <v>1</v>
      </c>
      <c r="K561" s="2">
        <v>3</v>
      </c>
      <c r="L561" s="2">
        <v>1</v>
      </c>
      <c r="M561" s="2">
        <v>1</v>
      </c>
      <c r="N561" s="9" t="s">
        <v>1119</v>
      </c>
      <c r="O561" s="8">
        <v>379000</v>
      </c>
      <c r="P561" s="3">
        <f>(2660+5760)/12</f>
        <v>701.66666666666663</v>
      </c>
      <c r="R561" s="3">
        <v>1581</v>
      </c>
      <c r="S561" s="12">
        <f t="shared" si="24"/>
        <v>72.091666666666669</v>
      </c>
      <c r="T561" s="3">
        <f t="shared" si="25"/>
        <v>2354.7583333333332</v>
      </c>
      <c r="U561" s="8">
        <f t="shared" si="26"/>
        <v>826427.5</v>
      </c>
    </row>
    <row r="562" spans="1:21" ht="14.4" x14ac:dyDescent="0.3">
      <c r="A562" s="13">
        <v>45503</v>
      </c>
      <c r="B562" s="2" t="s">
        <v>594</v>
      </c>
      <c r="C562" s="2" t="s">
        <v>4</v>
      </c>
      <c r="D562" s="2" t="s">
        <v>227</v>
      </c>
      <c r="E562" s="2" t="s">
        <v>375</v>
      </c>
      <c r="F562" s="2">
        <v>2012</v>
      </c>
      <c r="G562" s="2">
        <v>1020</v>
      </c>
      <c r="H562" s="2">
        <v>1020</v>
      </c>
      <c r="J562" s="2">
        <v>1</v>
      </c>
      <c r="K562" s="2">
        <v>3</v>
      </c>
      <c r="L562" s="2">
        <v>1</v>
      </c>
      <c r="M562" s="2">
        <v>9</v>
      </c>
      <c r="N562" s="9" t="s">
        <v>1118</v>
      </c>
      <c r="O562" s="8">
        <v>385000</v>
      </c>
      <c r="P562" s="3">
        <f>(2699+6360)/12</f>
        <v>754.91666666666663</v>
      </c>
      <c r="R562" s="3">
        <v>1618</v>
      </c>
      <c r="S562" s="12">
        <f t="shared" si="24"/>
        <v>72.5</v>
      </c>
      <c r="T562" s="3">
        <f t="shared" si="25"/>
        <v>2445.4166666666665</v>
      </c>
      <c r="U562" s="8">
        <f t="shared" si="26"/>
        <v>853625</v>
      </c>
    </row>
    <row r="563" spans="1:21" ht="14.4" x14ac:dyDescent="0.3">
      <c r="A563" s="13">
        <v>45503</v>
      </c>
      <c r="B563" s="2" t="s">
        <v>1117</v>
      </c>
      <c r="C563" s="2" t="s">
        <v>4</v>
      </c>
      <c r="D563" s="2" t="s">
        <v>227</v>
      </c>
      <c r="E563" s="2" t="s">
        <v>375</v>
      </c>
      <c r="F563" s="2">
        <v>2017</v>
      </c>
      <c r="G563" s="2">
        <v>568</v>
      </c>
      <c r="H563" s="2">
        <v>568</v>
      </c>
      <c r="J563" s="2">
        <v>1</v>
      </c>
      <c r="K563" s="2">
        <v>1</v>
      </c>
      <c r="L563" s="2">
        <v>1</v>
      </c>
      <c r="M563" s="2">
        <v>6</v>
      </c>
      <c r="N563" s="9" t="s">
        <v>1116</v>
      </c>
      <c r="O563" s="8">
        <v>385000</v>
      </c>
      <c r="P563" s="3">
        <f>(2741+2832)/12</f>
        <v>464.41666666666669</v>
      </c>
      <c r="R563" s="3">
        <v>1618</v>
      </c>
      <c r="S563" s="12">
        <f t="shared" si="24"/>
        <v>46.133333333333333</v>
      </c>
      <c r="T563" s="3">
        <f t="shared" si="25"/>
        <v>2128.5499999999997</v>
      </c>
      <c r="U563" s="8">
        <f t="shared" si="26"/>
        <v>758565</v>
      </c>
    </row>
    <row r="564" spans="1:21" ht="14.4" x14ac:dyDescent="0.3">
      <c r="A564" s="13">
        <v>45503</v>
      </c>
      <c r="B564" s="2" t="s">
        <v>1115</v>
      </c>
      <c r="C564" s="2" t="s">
        <v>4</v>
      </c>
      <c r="D564" s="2" t="s">
        <v>227</v>
      </c>
      <c r="E564" s="2" t="s">
        <v>375</v>
      </c>
      <c r="F564" s="2">
        <v>2018</v>
      </c>
      <c r="G564" s="2">
        <v>578</v>
      </c>
      <c r="H564" s="2">
        <v>578</v>
      </c>
      <c r="J564" s="2">
        <v>1</v>
      </c>
      <c r="K564" s="2">
        <v>1</v>
      </c>
      <c r="L564" s="2">
        <v>1</v>
      </c>
      <c r="M564" s="2">
        <v>5</v>
      </c>
      <c r="N564" s="9" t="s">
        <v>1114</v>
      </c>
      <c r="O564" s="8">
        <v>399000</v>
      </c>
      <c r="P564" s="3">
        <f>(2432+3308)/12</f>
        <v>478.33333333333331</v>
      </c>
      <c r="R564" s="3">
        <v>1703</v>
      </c>
      <c r="S564" s="12">
        <f t="shared" si="24"/>
        <v>46.716666666666669</v>
      </c>
      <c r="T564" s="3">
        <f t="shared" si="25"/>
        <v>2228.0500000000002</v>
      </c>
      <c r="U564" s="8">
        <f t="shared" si="26"/>
        <v>788415</v>
      </c>
    </row>
    <row r="565" spans="1:21" ht="14.4" x14ac:dyDescent="0.3">
      <c r="A565" s="13">
        <v>45503</v>
      </c>
      <c r="B565" s="2" t="s">
        <v>1113</v>
      </c>
      <c r="C565" s="2" t="s">
        <v>4</v>
      </c>
      <c r="D565" s="2" t="s">
        <v>227</v>
      </c>
      <c r="E565" s="2" t="s">
        <v>375</v>
      </c>
      <c r="F565" s="2">
        <v>2018</v>
      </c>
      <c r="G565" s="2">
        <v>955</v>
      </c>
      <c r="H565" s="2">
        <v>955</v>
      </c>
      <c r="J565" s="2">
        <v>1</v>
      </c>
      <c r="K565" s="2">
        <v>2</v>
      </c>
      <c r="L565" s="2">
        <v>1</v>
      </c>
      <c r="M565" s="2">
        <v>4</v>
      </c>
      <c r="N565" s="9" t="s">
        <v>1112</v>
      </c>
      <c r="O565" s="8">
        <v>399900</v>
      </c>
      <c r="P565" s="3">
        <f>(2880+4662)/12</f>
        <v>628.5</v>
      </c>
      <c r="R565" s="3">
        <v>1708</v>
      </c>
      <c r="S565" s="12">
        <f t="shared" si="24"/>
        <v>68.708333333333343</v>
      </c>
      <c r="T565" s="3">
        <f t="shared" si="25"/>
        <v>2405.2083333333335</v>
      </c>
      <c r="U565" s="8">
        <f t="shared" si="26"/>
        <v>841562.5</v>
      </c>
    </row>
    <row r="566" spans="1:21" ht="14.4" x14ac:dyDescent="0.3">
      <c r="A566" s="13">
        <v>45503</v>
      </c>
      <c r="B566" s="2" t="s">
        <v>599</v>
      </c>
      <c r="C566" s="2" t="s">
        <v>4</v>
      </c>
      <c r="D566" s="2" t="s">
        <v>227</v>
      </c>
      <c r="E566" s="2" t="s">
        <v>375</v>
      </c>
      <c r="F566" s="2">
        <v>2016</v>
      </c>
      <c r="G566" s="2">
        <v>761</v>
      </c>
      <c r="H566" s="2">
        <v>761</v>
      </c>
      <c r="J566" s="2">
        <v>1</v>
      </c>
      <c r="K566" s="2">
        <v>2</v>
      </c>
      <c r="L566" s="2">
        <v>1</v>
      </c>
      <c r="M566" s="2">
        <v>8</v>
      </c>
      <c r="N566" s="9" t="s">
        <v>1111</v>
      </c>
      <c r="O566" s="8">
        <v>419000</v>
      </c>
      <c r="P566" s="3">
        <f>(2295+3290)/12</f>
        <v>465.41666666666669</v>
      </c>
      <c r="R566" s="3">
        <v>1825</v>
      </c>
      <c r="S566" s="12">
        <f t="shared" si="24"/>
        <v>57.391666666666673</v>
      </c>
      <c r="T566" s="3">
        <f t="shared" si="25"/>
        <v>2347.8083333333334</v>
      </c>
      <c r="U566" s="8">
        <f t="shared" si="26"/>
        <v>824342.5</v>
      </c>
    </row>
    <row r="567" spans="1:21" ht="14.4" x14ac:dyDescent="0.3">
      <c r="A567" s="13">
        <v>45503</v>
      </c>
      <c r="B567" s="2" t="s">
        <v>1110</v>
      </c>
      <c r="C567" s="2" t="s">
        <v>4</v>
      </c>
      <c r="D567" s="2" t="s">
        <v>227</v>
      </c>
      <c r="E567" s="2" t="s">
        <v>375</v>
      </c>
      <c r="F567" s="2">
        <v>2011</v>
      </c>
      <c r="G567" s="2">
        <v>849</v>
      </c>
      <c r="H567" s="2">
        <v>849</v>
      </c>
      <c r="J567" s="2">
        <v>1</v>
      </c>
      <c r="K567" s="2">
        <v>2</v>
      </c>
      <c r="L567" s="2">
        <v>1</v>
      </c>
      <c r="M567" s="2">
        <v>7</v>
      </c>
      <c r="N567" s="9" t="s">
        <v>1109</v>
      </c>
      <c r="O567" s="8">
        <v>419900</v>
      </c>
      <c r="P567" s="3">
        <f>(2609+5676)/12</f>
        <v>690.41666666666663</v>
      </c>
      <c r="R567" s="3">
        <v>1831</v>
      </c>
      <c r="S567" s="12">
        <f t="shared" si="24"/>
        <v>62.525000000000006</v>
      </c>
      <c r="T567" s="3">
        <f t="shared" si="25"/>
        <v>2583.9416666666666</v>
      </c>
      <c r="U567" s="8">
        <f t="shared" si="26"/>
        <v>895182.5</v>
      </c>
    </row>
    <row r="568" spans="1:21" ht="14.4" x14ac:dyDescent="0.3">
      <c r="A568" s="13">
        <v>45503</v>
      </c>
      <c r="B568" s="2" t="s">
        <v>1108</v>
      </c>
      <c r="C568" s="2" t="s">
        <v>4</v>
      </c>
      <c r="D568" s="2" t="s">
        <v>227</v>
      </c>
      <c r="E568" s="2" t="s">
        <v>375</v>
      </c>
      <c r="F568" s="2">
        <v>2012</v>
      </c>
      <c r="G568" s="1">
        <f>(4.9*5.2+11.3*14.1+5.9*11.3+8.6*14.1+9.4*11.1+9.7*11.1+9.7*14+3.1*6.7+6.6*8.2+8.3*10.4)*1.3</f>
        <v>1146.288</v>
      </c>
      <c r="H568" s="1">
        <f>(4.9*5.2+11.3*14.1+5.9*11.3+8.6*14.1+9.4*11.1+9.7*11.1+9.7*14+3.1*6.7+6.6*8.2+8.3*10.4)*1.3</f>
        <v>1146.288</v>
      </c>
      <c r="J568" s="2">
        <v>1</v>
      </c>
      <c r="K568" s="2">
        <v>3</v>
      </c>
      <c r="L568" s="2">
        <v>1</v>
      </c>
      <c r="M568" s="2">
        <v>10</v>
      </c>
      <c r="N568" s="9" t="s">
        <v>1107</v>
      </c>
      <c r="O568" s="8">
        <v>470000</v>
      </c>
      <c r="P568" s="3">
        <f>(2756+6252)/12</f>
        <v>750.66666666666663</v>
      </c>
      <c r="R568" s="3">
        <v>2136</v>
      </c>
      <c r="S568" s="12">
        <f t="shared" si="24"/>
        <v>79.866800000000012</v>
      </c>
      <c r="T568" s="3">
        <f t="shared" si="25"/>
        <v>2966.5334666666668</v>
      </c>
      <c r="U568" s="8">
        <f t="shared" si="26"/>
        <v>1009960.0399999999</v>
      </c>
    </row>
    <row r="569" spans="1:21" ht="14.4" x14ac:dyDescent="0.3">
      <c r="A569" s="13">
        <v>45503</v>
      </c>
      <c r="B569" s="2" t="s">
        <v>1106</v>
      </c>
      <c r="C569" s="2" t="s">
        <v>4</v>
      </c>
      <c r="D569" s="2" t="s">
        <v>227</v>
      </c>
      <c r="E569" s="2" t="s">
        <v>375</v>
      </c>
      <c r="F569" s="2">
        <v>2017</v>
      </c>
      <c r="G569" s="2">
        <v>818</v>
      </c>
      <c r="H569" s="2">
        <v>818</v>
      </c>
      <c r="J569" s="2">
        <v>1</v>
      </c>
      <c r="K569" s="2">
        <v>2</v>
      </c>
      <c r="L569" s="2">
        <v>2</v>
      </c>
      <c r="M569" s="2">
        <v>6</v>
      </c>
      <c r="N569" s="9" t="s">
        <v>1105</v>
      </c>
      <c r="O569" s="8">
        <v>574900</v>
      </c>
      <c r="P569" s="3">
        <f>(4111+4860)/12</f>
        <v>747.58333333333337</v>
      </c>
      <c r="R569" s="3">
        <v>2777</v>
      </c>
      <c r="S569" s="12">
        <f t="shared" si="24"/>
        <v>60.716666666666669</v>
      </c>
      <c r="T569" s="3">
        <f t="shared" si="25"/>
        <v>3585.3</v>
      </c>
      <c r="U569" s="8">
        <f t="shared" si="26"/>
        <v>1195590.0000000002</v>
      </c>
    </row>
    <row r="570" spans="1:21" ht="14.4" x14ac:dyDescent="0.3">
      <c r="A570" s="13">
        <v>45503</v>
      </c>
      <c r="B570" s="2" t="s">
        <v>1104</v>
      </c>
      <c r="C570" s="2" t="s">
        <v>4</v>
      </c>
      <c r="D570" s="2" t="s">
        <v>227</v>
      </c>
      <c r="E570" s="2" t="s">
        <v>375</v>
      </c>
      <c r="F570" s="2">
        <v>2010</v>
      </c>
      <c r="G570" s="2">
        <v>941</v>
      </c>
      <c r="H570" s="2">
        <v>941</v>
      </c>
      <c r="J570" s="2">
        <v>1</v>
      </c>
      <c r="K570" s="2">
        <v>2</v>
      </c>
      <c r="L570" s="2">
        <v>2</v>
      </c>
      <c r="M570" s="2">
        <v>8</v>
      </c>
      <c r="N570" s="9" t="s">
        <v>1103</v>
      </c>
      <c r="O570" s="8">
        <v>574900</v>
      </c>
      <c r="P570" s="3">
        <f>(3699+4044)/12</f>
        <v>645.25</v>
      </c>
      <c r="R570" s="3">
        <v>2777</v>
      </c>
      <c r="S570" s="12">
        <f t="shared" si="24"/>
        <v>67.89166666666668</v>
      </c>
      <c r="T570" s="3">
        <f t="shared" si="25"/>
        <v>3490.1416666666669</v>
      </c>
      <c r="U570" s="8">
        <f t="shared" si="26"/>
        <v>1167042.5</v>
      </c>
    </row>
    <row r="571" spans="1:21" ht="14.4" x14ac:dyDescent="0.3">
      <c r="A571" s="13">
        <v>45503</v>
      </c>
      <c r="B571" s="2" t="s">
        <v>1102</v>
      </c>
      <c r="C571" s="2" t="s">
        <v>4</v>
      </c>
      <c r="D571" s="2" t="s">
        <v>227</v>
      </c>
      <c r="E571" s="2" t="s">
        <v>375</v>
      </c>
      <c r="F571" s="2">
        <v>2012</v>
      </c>
      <c r="G571" s="2">
        <v>1110</v>
      </c>
      <c r="H571" s="2">
        <v>1110</v>
      </c>
      <c r="J571" s="2">
        <v>1</v>
      </c>
      <c r="K571" s="2">
        <v>2</v>
      </c>
      <c r="L571" s="2">
        <v>1</v>
      </c>
      <c r="M571" s="2">
        <v>9</v>
      </c>
      <c r="N571" s="9" t="s">
        <v>1101</v>
      </c>
      <c r="O571" s="8">
        <v>635000</v>
      </c>
      <c r="P571" s="3">
        <f>(4152+6300)/12</f>
        <v>871</v>
      </c>
      <c r="R571" s="3">
        <v>3144</v>
      </c>
      <c r="S571" s="12">
        <f t="shared" si="24"/>
        <v>77.750000000000014</v>
      </c>
      <c r="T571" s="3">
        <f t="shared" si="25"/>
        <v>4092.75</v>
      </c>
      <c r="U571" s="8">
        <f t="shared" si="26"/>
        <v>1347825</v>
      </c>
    </row>
    <row r="572" spans="1:21" ht="14.4" x14ac:dyDescent="0.3">
      <c r="A572" s="13">
        <v>45503</v>
      </c>
      <c r="B572" s="2" t="s">
        <v>1100</v>
      </c>
      <c r="C572" s="2" t="s">
        <v>4</v>
      </c>
      <c r="D572" s="2" t="s">
        <v>227</v>
      </c>
      <c r="E572" s="2" t="s">
        <v>375</v>
      </c>
      <c r="F572" s="2">
        <v>2017</v>
      </c>
      <c r="G572" s="2">
        <v>1144</v>
      </c>
      <c r="H572" s="2">
        <v>1144</v>
      </c>
      <c r="J572" s="2">
        <v>1</v>
      </c>
      <c r="K572" s="2">
        <v>2</v>
      </c>
      <c r="L572" s="2">
        <v>2</v>
      </c>
      <c r="M572" s="2">
        <v>10</v>
      </c>
      <c r="N572" s="9" t="s">
        <v>1099</v>
      </c>
      <c r="O572" s="8">
        <v>699999</v>
      </c>
      <c r="P572" s="3">
        <f>(5143+6209)/12</f>
        <v>946</v>
      </c>
      <c r="R572" s="3">
        <v>3540</v>
      </c>
      <c r="S572" s="12">
        <f t="shared" si="24"/>
        <v>79.733333333333334</v>
      </c>
      <c r="T572" s="3">
        <f t="shared" si="25"/>
        <v>4565.7333333333336</v>
      </c>
      <c r="U572" s="8">
        <f t="shared" si="26"/>
        <v>1489720</v>
      </c>
    </row>
    <row r="573" spans="1:21" ht="14.4" x14ac:dyDescent="0.3">
      <c r="A573" s="13">
        <v>45503</v>
      </c>
      <c r="B573" s="2" t="s">
        <v>1098</v>
      </c>
      <c r="C573" s="2" t="s">
        <v>4</v>
      </c>
      <c r="D573" s="2" t="s">
        <v>227</v>
      </c>
      <c r="E573" s="2" t="s">
        <v>375</v>
      </c>
      <c r="F573" s="2">
        <v>2017</v>
      </c>
      <c r="G573" s="2">
        <v>1428</v>
      </c>
      <c r="H573" s="2">
        <v>1428</v>
      </c>
      <c r="J573" s="2">
        <v>1</v>
      </c>
      <c r="K573" s="2">
        <v>2</v>
      </c>
      <c r="L573" s="2">
        <v>1</v>
      </c>
      <c r="M573" s="2">
        <v>11</v>
      </c>
      <c r="N573" s="9" t="s">
        <v>1097</v>
      </c>
      <c r="O573" s="8">
        <v>749000</v>
      </c>
      <c r="P573" s="3">
        <f>(4763+4932)/12</f>
        <v>807.91666666666663</v>
      </c>
      <c r="R573" s="3">
        <v>3839</v>
      </c>
      <c r="S573" s="12">
        <f t="shared" si="24"/>
        <v>96.300000000000011</v>
      </c>
      <c r="T573" s="3">
        <f t="shared" si="25"/>
        <v>4743.2166666666672</v>
      </c>
      <c r="U573" s="8">
        <f t="shared" si="26"/>
        <v>1542965.0000000002</v>
      </c>
    </row>
    <row r="574" spans="1:21" ht="14.4" x14ac:dyDescent="0.3">
      <c r="A574" s="13">
        <v>45503</v>
      </c>
      <c r="B574" s="2" t="s">
        <v>1172</v>
      </c>
      <c r="C574" s="2" t="s">
        <v>4</v>
      </c>
      <c r="D574" s="2" t="s">
        <v>297</v>
      </c>
      <c r="E574" s="2" t="s">
        <v>375</v>
      </c>
      <c r="F574" s="2">
        <v>2023</v>
      </c>
      <c r="G574" s="1">
        <v>570</v>
      </c>
      <c r="H574" s="1">
        <v>570</v>
      </c>
      <c r="J574" s="2">
        <v>1</v>
      </c>
      <c r="K574" s="2">
        <v>1</v>
      </c>
      <c r="L574" s="2">
        <v>1</v>
      </c>
      <c r="M574" s="2">
        <v>5</v>
      </c>
      <c r="N574" s="9" t="s">
        <v>1171</v>
      </c>
      <c r="O574" s="8">
        <v>333367</v>
      </c>
      <c r="P574" s="3">
        <v>300</v>
      </c>
      <c r="Q574" s="1" t="s">
        <v>25</v>
      </c>
      <c r="R574" s="3">
        <v>1302</v>
      </c>
      <c r="S574" s="12">
        <f t="shared" si="24"/>
        <v>46.250000000000007</v>
      </c>
      <c r="T574" s="3">
        <f t="shared" si="25"/>
        <v>1648.25</v>
      </c>
      <c r="U574" s="2">
        <f t="shared" si="26"/>
        <v>614475</v>
      </c>
    </row>
    <row r="575" spans="1:21" ht="14.4" x14ac:dyDescent="0.3">
      <c r="A575" s="13">
        <v>45503</v>
      </c>
      <c r="B575" s="2" t="s">
        <v>1170</v>
      </c>
      <c r="C575" s="2" t="s">
        <v>4</v>
      </c>
      <c r="D575" s="2" t="s">
        <v>297</v>
      </c>
      <c r="E575" s="2" t="s">
        <v>375</v>
      </c>
      <c r="F575" s="2">
        <v>2023</v>
      </c>
      <c r="G575" s="1">
        <v>593</v>
      </c>
      <c r="H575" s="2">
        <v>593</v>
      </c>
      <c r="J575" s="2">
        <v>1</v>
      </c>
      <c r="K575" s="2">
        <v>1</v>
      </c>
      <c r="L575" s="2">
        <v>1</v>
      </c>
      <c r="M575" s="2">
        <v>5</v>
      </c>
      <c r="N575" s="9" t="s">
        <v>1169</v>
      </c>
      <c r="O575" s="8">
        <v>345183</v>
      </c>
      <c r="P575" s="3">
        <v>300</v>
      </c>
      <c r="Q575" s="1" t="s">
        <v>25</v>
      </c>
      <c r="R575" s="3">
        <v>1374</v>
      </c>
      <c r="S575" s="12">
        <f t="shared" si="24"/>
        <v>47.591666666666669</v>
      </c>
      <c r="T575" s="3">
        <f t="shared" si="25"/>
        <v>1721.5916666666667</v>
      </c>
      <c r="U575" s="8">
        <f t="shared" si="26"/>
        <v>636477.5</v>
      </c>
    </row>
    <row r="576" spans="1:21" ht="14.4" x14ac:dyDescent="0.3">
      <c r="A576" s="13">
        <v>45503</v>
      </c>
      <c r="B576" s="2" t="s">
        <v>1168</v>
      </c>
      <c r="C576" s="2" t="s">
        <v>4</v>
      </c>
      <c r="D576" s="2" t="s">
        <v>297</v>
      </c>
      <c r="E576" s="2" t="s">
        <v>375</v>
      </c>
      <c r="F576" s="2">
        <v>2020</v>
      </c>
      <c r="G576" s="1">
        <v>580</v>
      </c>
      <c r="H576" s="1">
        <v>580</v>
      </c>
      <c r="J576" s="2">
        <v>1</v>
      </c>
      <c r="K576" s="2">
        <v>1</v>
      </c>
      <c r="L576" s="2">
        <v>1</v>
      </c>
      <c r="M576" s="2">
        <v>5</v>
      </c>
      <c r="N576" s="9" t="s">
        <v>1167</v>
      </c>
      <c r="O576" s="8">
        <v>349000</v>
      </c>
      <c r="P576" s="3">
        <f>(2495+3720)/12</f>
        <v>517.91666666666663</v>
      </c>
      <c r="R576" s="3">
        <v>1398</v>
      </c>
      <c r="S576" s="12">
        <f t="shared" si="24"/>
        <v>46.833333333333336</v>
      </c>
      <c r="T576" s="3">
        <f t="shared" si="25"/>
        <v>1962.7499999999998</v>
      </c>
      <c r="U576" s="8">
        <f t="shared" si="26"/>
        <v>708824.99999999988</v>
      </c>
    </row>
    <row r="577" spans="1:21" ht="14.4" x14ac:dyDescent="0.3">
      <c r="A577" s="13">
        <v>45503</v>
      </c>
      <c r="B577" s="2" t="s">
        <v>1166</v>
      </c>
      <c r="C577" s="2" t="s">
        <v>4</v>
      </c>
      <c r="D577" s="2" t="s">
        <v>297</v>
      </c>
      <c r="E577" s="2" t="s">
        <v>375</v>
      </c>
      <c r="F577" s="2">
        <v>2023</v>
      </c>
      <c r="G577" s="1">
        <v>534</v>
      </c>
      <c r="H577" s="2">
        <v>534</v>
      </c>
      <c r="J577" s="2">
        <v>1</v>
      </c>
      <c r="K577" s="2">
        <v>1</v>
      </c>
      <c r="L577" s="2">
        <v>1</v>
      </c>
      <c r="M577" s="2">
        <v>6</v>
      </c>
      <c r="N577" s="9" t="s">
        <v>1165</v>
      </c>
      <c r="O577" s="8">
        <v>349900</v>
      </c>
      <c r="P577" s="3">
        <f>(1726+2568)/12</f>
        <v>357.83333333333331</v>
      </c>
      <c r="R577" s="3">
        <v>1403</v>
      </c>
      <c r="S577" s="12">
        <f t="shared" si="24"/>
        <v>44.150000000000006</v>
      </c>
      <c r="T577" s="3">
        <f t="shared" si="25"/>
        <v>1804.9833333333333</v>
      </c>
      <c r="U577" s="8">
        <f t="shared" si="26"/>
        <v>661495</v>
      </c>
    </row>
    <row r="578" spans="1:21" ht="14.4" x14ac:dyDescent="0.3">
      <c r="A578" s="13">
        <v>45503</v>
      </c>
      <c r="B578" s="2" t="s">
        <v>1164</v>
      </c>
      <c r="C578" s="2" t="s">
        <v>4</v>
      </c>
      <c r="D578" s="2" t="s">
        <v>297</v>
      </c>
      <c r="E578" s="2" t="s">
        <v>375</v>
      </c>
      <c r="F578" s="2">
        <v>2001</v>
      </c>
      <c r="G578" s="1">
        <v>1018</v>
      </c>
      <c r="H578" s="1">
        <v>1018</v>
      </c>
      <c r="J578" s="2">
        <v>1</v>
      </c>
      <c r="K578" s="2">
        <v>2</v>
      </c>
      <c r="L578" s="2">
        <v>1</v>
      </c>
      <c r="M578" s="2">
        <v>6</v>
      </c>
      <c r="N578" s="9" t="s">
        <v>1163</v>
      </c>
      <c r="O578" s="8">
        <v>389000</v>
      </c>
      <c r="P578" s="3">
        <f>(2211+5274)/12</f>
        <v>623.75</v>
      </c>
      <c r="R578" s="3">
        <v>1642</v>
      </c>
      <c r="S578" s="12">
        <f t="shared" ref="S578:S641" si="27">13+(G578*10*0.07)/12</f>
        <v>72.383333333333326</v>
      </c>
      <c r="T578" s="3">
        <f t="shared" ref="T578:T641" si="28">P578+R578+S578</f>
        <v>2338.1333333333332</v>
      </c>
      <c r="U578" s="8">
        <f t="shared" ref="U578:U641" si="29">120000+T578*12*25</f>
        <v>821440</v>
      </c>
    </row>
    <row r="579" spans="1:21" ht="27.6" x14ac:dyDescent="0.3">
      <c r="A579" s="13">
        <v>45503</v>
      </c>
      <c r="B579" s="10" t="s">
        <v>1162</v>
      </c>
      <c r="C579" s="2" t="s">
        <v>4</v>
      </c>
      <c r="D579" s="2" t="s">
        <v>297</v>
      </c>
      <c r="E579" s="2" t="s">
        <v>375</v>
      </c>
      <c r="F579" s="2">
        <v>2023</v>
      </c>
      <c r="G579" s="1">
        <v>717</v>
      </c>
      <c r="H579" s="2">
        <v>717</v>
      </c>
      <c r="J579" s="2">
        <v>1</v>
      </c>
      <c r="K579" s="2">
        <v>2</v>
      </c>
      <c r="L579" s="2">
        <v>1</v>
      </c>
      <c r="M579" s="2">
        <v>5</v>
      </c>
      <c r="N579" s="9" t="s">
        <v>1161</v>
      </c>
      <c r="O579" s="8">
        <v>414303</v>
      </c>
      <c r="P579" s="3">
        <v>600</v>
      </c>
      <c r="Q579" s="1" t="s">
        <v>25</v>
      </c>
      <c r="R579" s="3">
        <v>1796</v>
      </c>
      <c r="S579" s="12">
        <f t="shared" si="27"/>
        <v>54.825000000000003</v>
      </c>
      <c r="T579" s="3">
        <f t="shared" si="28"/>
        <v>2450.8249999999998</v>
      </c>
      <c r="U579" s="8">
        <f t="shared" si="29"/>
        <v>855247.5</v>
      </c>
    </row>
    <row r="580" spans="1:21" ht="14.4" x14ac:dyDescent="0.3">
      <c r="A580" s="13">
        <v>45503</v>
      </c>
      <c r="B580" s="2" t="s">
        <v>1160</v>
      </c>
      <c r="C580" s="2" t="s">
        <v>4</v>
      </c>
      <c r="D580" s="2" t="s">
        <v>297</v>
      </c>
      <c r="E580" s="2" t="s">
        <v>375</v>
      </c>
      <c r="F580" s="2">
        <v>2021</v>
      </c>
      <c r="G580" s="1">
        <v>753</v>
      </c>
      <c r="H580" s="1">
        <v>753</v>
      </c>
      <c r="J580" s="2">
        <v>1</v>
      </c>
      <c r="K580" s="2">
        <v>2</v>
      </c>
      <c r="L580" s="2">
        <v>1</v>
      </c>
      <c r="M580" s="2">
        <v>4</v>
      </c>
      <c r="N580" s="9" t="s">
        <v>1159</v>
      </c>
      <c r="O580" s="8">
        <v>425000</v>
      </c>
      <c r="P580" s="3">
        <f>(2667+3888)/12</f>
        <v>546.25</v>
      </c>
      <c r="R580" s="3">
        <v>1862</v>
      </c>
      <c r="S580" s="12">
        <f t="shared" si="27"/>
        <v>56.925000000000004</v>
      </c>
      <c r="T580" s="3">
        <f t="shared" si="28"/>
        <v>2465.1750000000002</v>
      </c>
      <c r="U580" s="8">
        <f t="shared" si="29"/>
        <v>859552.5</v>
      </c>
    </row>
    <row r="581" spans="1:21" ht="14.4" x14ac:dyDescent="0.3">
      <c r="A581" s="13">
        <v>45503</v>
      </c>
      <c r="B581" s="2" t="s">
        <v>1158</v>
      </c>
      <c r="C581" s="2" t="s">
        <v>4</v>
      </c>
      <c r="D581" s="2" t="s">
        <v>297</v>
      </c>
      <c r="E581" s="2" t="s">
        <v>375</v>
      </c>
      <c r="F581" s="2">
        <v>2023</v>
      </c>
      <c r="G581" s="1">
        <v>828</v>
      </c>
      <c r="H581" s="2">
        <v>828</v>
      </c>
      <c r="J581" s="2">
        <v>1</v>
      </c>
      <c r="K581" s="2">
        <v>2</v>
      </c>
      <c r="L581" s="2">
        <v>1</v>
      </c>
      <c r="M581" s="2">
        <v>5</v>
      </c>
      <c r="N581" s="9" t="s">
        <v>1157</v>
      </c>
      <c r="O581" s="8">
        <v>426431</v>
      </c>
      <c r="P581" s="3">
        <v>550</v>
      </c>
      <c r="Q581" s="1" t="s">
        <v>25</v>
      </c>
      <c r="R581" s="3">
        <v>1870</v>
      </c>
      <c r="S581" s="12">
        <f t="shared" si="27"/>
        <v>61.300000000000004</v>
      </c>
      <c r="T581" s="3">
        <f t="shared" si="28"/>
        <v>2481.3000000000002</v>
      </c>
      <c r="U581" s="8">
        <f t="shared" si="29"/>
        <v>864390</v>
      </c>
    </row>
    <row r="582" spans="1:21" ht="14.4" x14ac:dyDescent="0.3">
      <c r="A582" s="13">
        <v>45503</v>
      </c>
      <c r="B582" s="2" t="s">
        <v>1156</v>
      </c>
      <c r="C582" s="2" t="s">
        <v>4</v>
      </c>
      <c r="D582" s="2" t="s">
        <v>297</v>
      </c>
      <c r="E582" s="2" t="s">
        <v>375</v>
      </c>
      <c r="F582" s="2">
        <v>2021</v>
      </c>
      <c r="G582" s="1">
        <v>702</v>
      </c>
      <c r="H582" s="1">
        <v>702</v>
      </c>
      <c r="J582" s="2">
        <v>1</v>
      </c>
      <c r="K582" s="2">
        <v>2</v>
      </c>
      <c r="L582" s="2">
        <v>1</v>
      </c>
      <c r="M582" s="2">
        <v>9</v>
      </c>
      <c r="N582" s="9" t="s">
        <v>1155</v>
      </c>
      <c r="O582" s="8">
        <v>429900</v>
      </c>
      <c r="P582" s="3">
        <f>(2629+7056)/12</f>
        <v>807.08333333333337</v>
      </c>
      <c r="R582" s="3">
        <v>1892</v>
      </c>
      <c r="S582" s="12">
        <f t="shared" si="27"/>
        <v>53.95</v>
      </c>
      <c r="T582" s="3">
        <f t="shared" si="28"/>
        <v>2753.0333333333333</v>
      </c>
      <c r="U582" s="8">
        <f t="shared" si="29"/>
        <v>945910</v>
      </c>
    </row>
    <row r="583" spans="1:21" ht="14.4" x14ac:dyDescent="0.3">
      <c r="A583" s="13">
        <v>45503</v>
      </c>
      <c r="B583" s="2" t="s">
        <v>654</v>
      </c>
      <c r="C583" s="2" t="s">
        <v>4</v>
      </c>
      <c r="D583" s="2" t="s">
        <v>297</v>
      </c>
      <c r="E583" s="2" t="s">
        <v>375</v>
      </c>
      <c r="F583" s="2">
        <v>2015</v>
      </c>
      <c r="G583" s="1">
        <v>1127</v>
      </c>
      <c r="H583" s="1">
        <v>1127</v>
      </c>
      <c r="J583" s="2">
        <v>1</v>
      </c>
      <c r="K583" s="2">
        <v>2</v>
      </c>
      <c r="L583" s="2">
        <v>1</v>
      </c>
      <c r="M583" s="2">
        <v>6</v>
      </c>
      <c r="N583" s="9" t="s">
        <v>1154</v>
      </c>
      <c r="O583" s="8">
        <v>435000</v>
      </c>
      <c r="P583" s="3">
        <f>(2907+2436)/12</f>
        <v>445.25</v>
      </c>
      <c r="R583" s="3">
        <v>1923</v>
      </c>
      <c r="S583" s="12">
        <f t="shared" si="27"/>
        <v>78.741666666666674</v>
      </c>
      <c r="T583" s="3">
        <f t="shared" si="28"/>
        <v>2446.9916666666668</v>
      </c>
      <c r="U583" s="8">
        <f t="shared" si="29"/>
        <v>854097.5</v>
      </c>
    </row>
    <row r="584" spans="1:21" ht="14.4" x14ac:dyDescent="0.3">
      <c r="A584" s="13">
        <v>45503</v>
      </c>
      <c r="B584" s="2" t="s">
        <v>1153</v>
      </c>
      <c r="C584" s="2" t="s">
        <v>4</v>
      </c>
      <c r="D584" s="2" t="s">
        <v>297</v>
      </c>
      <c r="E584" s="2" t="s">
        <v>375</v>
      </c>
      <c r="F584" s="2">
        <v>2023</v>
      </c>
      <c r="G584" s="1">
        <v>882</v>
      </c>
      <c r="H584" s="1">
        <v>882</v>
      </c>
      <c r="J584" s="2">
        <v>1</v>
      </c>
      <c r="K584" s="2">
        <v>2</v>
      </c>
      <c r="L584" s="2">
        <v>1</v>
      </c>
      <c r="M584" s="2">
        <v>5</v>
      </c>
      <c r="N584" s="9" t="s">
        <v>1152</v>
      </c>
      <c r="O584" s="8">
        <v>438558</v>
      </c>
      <c r="P584" s="3">
        <v>450</v>
      </c>
      <c r="Q584" s="1" t="s">
        <v>25</v>
      </c>
      <c r="R584" s="3">
        <v>1944</v>
      </c>
      <c r="S584" s="12">
        <f t="shared" si="27"/>
        <v>64.450000000000017</v>
      </c>
      <c r="T584" s="3">
        <f t="shared" si="28"/>
        <v>2458.4499999999998</v>
      </c>
      <c r="U584" s="8">
        <f t="shared" si="29"/>
        <v>857535</v>
      </c>
    </row>
    <row r="585" spans="1:21" ht="14.4" x14ac:dyDescent="0.3">
      <c r="A585" s="13">
        <v>45503</v>
      </c>
      <c r="B585" s="2" t="s">
        <v>1151</v>
      </c>
      <c r="C585" s="2" t="s">
        <v>4</v>
      </c>
      <c r="D585" s="2" t="s">
        <v>297</v>
      </c>
      <c r="E585" s="2" t="s">
        <v>375</v>
      </c>
      <c r="F585" s="2">
        <v>2023</v>
      </c>
      <c r="G585" s="1">
        <v>877</v>
      </c>
      <c r="H585" s="1">
        <v>877</v>
      </c>
      <c r="J585" s="2">
        <v>1</v>
      </c>
      <c r="K585" s="2">
        <v>2</v>
      </c>
      <c r="L585" s="2">
        <v>1</v>
      </c>
      <c r="M585" s="2">
        <v>5</v>
      </c>
      <c r="N585" s="9" t="s">
        <v>1150</v>
      </c>
      <c r="O585" s="8">
        <v>468877</v>
      </c>
      <c r="P585" s="3">
        <v>450</v>
      </c>
      <c r="Q585" s="1" t="s">
        <v>25</v>
      </c>
      <c r="R585" s="3">
        <v>2130</v>
      </c>
      <c r="S585" s="12">
        <f t="shared" si="27"/>
        <v>64.158333333333331</v>
      </c>
      <c r="T585" s="3">
        <f t="shared" si="28"/>
        <v>2644.1583333333333</v>
      </c>
      <c r="U585" s="8">
        <f t="shared" si="29"/>
        <v>913247.5</v>
      </c>
    </row>
    <row r="586" spans="1:21" ht="41.4" x14ac:dyDescent="0.3">
      <c r="A586" s="13">
        <v>45503</v>
      </c>
      <c r="B586" s="10" t="s">
        <v>1149</v>
      </c>
      <c r="C586" s="2" t="s">
        <v>4</v>
      </c>
      <c r="D586" s="2" t="s">
        <v>297</v>
      </c>
      <c r="E586" s="2" t="s">
        <v>375</v>
      </c>
      <c r="F586" s="2">
        <v>2023</v>
      </c>
      <c r="G586" s="1">
        <v>877</v>
      </c>
      <c r="H586" s="1">
        <v>877</v>
      </c>
      <c r="J586" s="2">
        <v>1</v>
      </c>
      <c r="K586" s="2">
        <v>2</v>
      </c>
      <c r="L586" s="2">
        <v>1</v>
      </c>
      <c r="M586" s="2">
        <v>5</v>
      </c>
      <c r="N586" s="9" t="s">
        <v>1148</v>
      </c>
      <c r="O586" s="8">
        <v>474941</v>
      </c>
      <c r="P586" s="3">
        <v>450</v>
      </c>
      <c r="Q586" s="1" t="s">
        <v>25</v>
      </c>
      <c r="R586" s="3">
        <v>2167</v>
      </c>
      <c r="S586" s="12">
        <f t="shared" si="27"/>
        <v>64.158333333333331</v>
      </c>
      <c r="T586" s="3">
        <f t="shared" si="28"/>
        <v>2681.1583333333333</v>
      </c>
      <c r="U586" s="8">
        <f t="shared" si="29"/>
        <v>924347.5</v>
      </c>
    </row>
    <row r="587" spans="1:21" ht="14.4" x14ac:dyDescent="0.3">
      <c r="A587" s="13">
        <v>45503</v>
      </c>
      <c r="B587" s="2" t="s">
        <v>1147</v>
      </c>
      <c r="C587" s="2" t="s">
        <v>4</v>
      </c>
      <c r="D587" s="2" t="s">
        <v>297</v>
      </c>
      <c r="E587" s="2" t="s">
        <v>375</v>
      </c>
      <c r="F587" s="2">
        <v>2023</v>
      </c>
      <c r="G587" s="1">
        <v>1028</v>
      </c>
      <c r="H587" s="1">
        <v>1028</v>
      </c>
      <c r="J587" s="2">
        <v>1</v>
      </c>
      <c r="K587" s="2">
        <v>2</v>
      </c>
      <c r="L587" s="2">
        <v>2</v>
      </c>
      <c r="M587" s="2">
        <v>5</v>
      </c>
      <c r="N587" s="9" t="s">
        <v>1146</v>
      </c>
      <c r="O587" s="8">
        <v>511323</v>
      </c>
      <c r="P587" s="3">
        <v>450</v>
      </c>
      <c r="Q587" s="1" t="s">
        <v>25</v>
      </c>
      <c r="R587" s="3">
        <v>2389</v>
      </c>
      <c r="S587" s="12">
        <f t="shared" si="27"/>
        <v>72.966666666666669</v>
      </c>
      <c r="T587" s="3">
        <f t="shared" si="28"/>
        <v>2911.9666666666667</v>
      </c>
      <c r="U587" s="8">
        <f t="shared" si="29"/>
        <v>993590</v>
      </c>
    </row>
    <row r="588" spans="1:21" ht="14.4" x14ac:dyDescent="0.3">
      <c r="A588" s="13">
        <v>45503</v>
      </c>
      <c r="B588" s="2" t="s">
        <v>1145</v>
      </c>
      <c r="C588" s="2" t="s">
        <v>4</v>
      </c>
      <c r="D588" s="2" t="s">
        <v>297</v>
      </c>
      <c r="E588" s="2" t="s">
        <v>1734</v>
      </c>
      <c r="F588" s="2">
        <v>2017</v>
      </c>
      <c r="G588" s="11">
        <f>(13.5*10.9+18.9*9.8+13.6*8.9+7.1*3.1+4.7*3.9+18.6*11.9+18.6*11.9+18.6*13.6+9.1*7.8+14.9*11.5+6.1*4.9)*1.3</f>
        <v>1900.0930000000003</v>
      </c>
      <c r="H588" s="11">
        <f>(13.5*10.9+18.9*9.8+13.6*8.9+7.1*3.1+4.7*3.9+18.6*11.9+18.6*11.9+18.6*13.6+9.1*7.8+14.9*11.5+6.1*4.9)*1.3</f>
        <v>1900.0930000000003</v>
      </c>
      <c r="J588" s="2">
        <v>1</v>
      </c>
      <c r="K588" s="2">
        <v>3</v>
      </c>
      <c r="L588" s="2">
        <v>1</v>
      </c>
      <c r="M588" s="2">
        <v>10</v>
      </c>
      <c r="N588" s="9" t="s">
        <v>1144</v>
      </c>
      <c r="O588" s="8">
        <v>639900</v>
      </c>
      <c r="P588" s="3">
        <f>(4021+4020)/12</f>
        <v>670.08333333333337</v>
      </c>
      <c r="R588" s="3">
        <v>3173</v>
      </c>
      <c r="S588" s="12">
        <f t="shared" si="27"/>
        <v>123.83875833333337</v>
      </c>
      <c r="T588" s="3">
        <f t="shared" si="28"/>
        <v>3966.9220916666668</v>
      </c>
      <c r="U588" s="8">
        <f t="shared" si="29"/>
        <v>1310076.6274999999</v>
      </c>
    </row>
    <row r="589" spans="1:21" ht="14.4" x14ac:dyDescent="0.3">
      <c r="A589" s="13">
        <v>45503</v>
      </c>
      <c r="B589" s="2" t="s">
        <v>1336</v>
      </c>
      <c r="C589" s="2" t="s">
        <v>4</v>
      </c>
      <c r="D589" s="2" t="s">
        <v>342</v>
      </c>
      <c r="E589" s="2" t="s">
        <v>375</v>
      </c>
      <c r="F589" s="2">
        <v>2001</v>
      </c>
      <c r="G589" s="1">
        <v>590</v>
      </c>
      <c r="H589" s="2">
        <v>590</v>
      </c>
      <c r="J589" s="2">
        <v>1</v>
      </c>
      <c r="K589" s="2">
        <v>1</v>
      </c>
      <c r="L589" s="2">
        <v>1</v>
      </c>
      <c r="M589" s="2">
        <v>5</v>
      </c>
      <c r="N589" s="9" t="s">
        <v>1335</v>
      </c>
      <c r="O589" s="8">
        <v>259000</v>
      </c>
      <c r="P589" s="3">
        <f>(1640+1440)/12</f>
        <v>256.66666666666669</v>
      </c>
      <c r="R589" s="3">
        <v>848</v>
      </c>
      <c r="S589" s="12">
        <f t="shared" si="27"/>
        <v>47.416666666666671</v>
      </c>
      <c r="T589" s="3">
        <f t="shared" si="28"/>
        <v>1152.0833333333335</v>
      </c>
      <c r="U589" s="8">
        <f t="shared" si="29"/>
        <v>465625.00000000006</v>
      </c>
    </row>
    <row r="590" spans="1:21" ht="14.4" x14ac:dyDescent="0.3">
      <c r="A590" s="13">
        <v>45503</v>
      </c>
      <c r="B590" s="2" t="s">
        <v>1334</v>
      </c>
      <c r="C590" s="2" t="s">
        <v>4</v>
      </c>
      <c r="D590" s="2" t="s">
        <v>342</v>
      </c>
      <c r="E590" s="2" t="s">
        <v>375</v>
      </c>
      <c r="F590" s="2">
        <v>1988</v>
      </c>
      <c r="G590" s="1">
        <v>850</v>
      </c>
      <c r="H590" s="2">
        <v>850</v>
      </c>
      <c r="J590" s="2">
        <v>1</v>
      </c>
      <c r="K590" s="2">
        <v>2</v>
      </c>
      <c r="L590" s="2">
        <v>1</v>
      </c>
      <c r="M590" s="2">
        <v>6</v>
      </c>
      <c r="N590" s="9" t="s">
        <v>1333</v>
      </c>
      <c r="O590" s="8">
        <v>324900</v>
      </c>
      <c r="P590" s="3">
        <f>(1742+3192)/12</f>
        <v>411.16666666666669</v>
      </c>
      <c r="R590" s="3">
        <v>1251</v>
      </c>
      <c r="S590" s="12">
        <f t="shared" si="27"/>
        <v>62.583333333333336</v>
      </c>
      <c r="T590" s="3">
        <f t="shared" si="28"/>
        <v>1724.75</v>
      </c>
      <c r="U590" s="8">
        <f t="shared" si="29"/>
        <v>637425</v>
      </c>
    </row>
    <row r="591" spans="1:21" ht="14.4" x14ac:dyDescent="0.3">
      <c r="A591" s="13">
        <v>45503</v>
      </c>
      <c r="B591" s="2" t="s">
        <v>688</v>
      </c>
      <c r="C591" s="2" t="s">
        <v>4</v>
      </c>
      <c r="D591" s="2" t="s">
        <v>342</v>
      </c>
      <c r="E591" s="2" t="s">
        <v>375</v>
      </c>
      <c r="F591" s="2">
        <v>1990</v>
      </c>
      <c r="G591" s="1">
        <v>924</v>
      </c>
      <c r="H591" s="2">
        <v>924</v>
      </c>
      <c r="J591" s="2">
        <v>1</v>
      </c>
      <c r="K591" s="2">
        <v>3</v>
      </c>
      <c r="L591" s="2">
        <v>1</v>
      </c>
      <c r="M591" s="2">
        <v>7</v>
      </c>
      <c r="N591" s="9" t="s">
        <v>346</v>
      </c>
      <c r="O591" s="8">
        <v>349900</v>
      </c>
      <c r="P591" s="3">
        <f>(1782+4632)/12</f>
        <v>534.5</v>
      </c>
      <c r="R591" s="3">
        <v>1403</v>
      </c>
      <c r="S591" s="12">
        <f t="shared" si="27"/>
        <v>66.900000000000006</v>
      </c>
      <c r="T591" s="3">
        <f t="shared" si="28"/>
        <v>2004.4</v>
      </c>
      <c r="U591" s="8">
        <f t="shared" si="29"/>
        <v>721320.00000000012</v>
      </c>
    </row>
    <row r="592" spans="1:21" ht="14.4" x14ac:dyDescent="0.3">
      <c r="A592" s="13">
        <v>45503</v>
      </c>
      <c r="B592" s="2" t="s">
        <v>1332</v>
      </c>
      <c r="C592" s="2" t="s">
        <v>4</v>
      </c>
      <c r="D592" s="2" t="s">
        <v>342</v>
      </c>
      <c r="E592" s="2" t="s">
        <v>375</v>
      </c>
      <c r="F592" s="2">
        <v>1988</v>
      </c>
      <c r="G592" s="1">
        <v>798</v>
      </c>
      <c r="H592" s="2">
        <v>798</v>
      </c>
      <c r="J592" s="2">
        <v>1</v>
      </c>
      <c r="K592" s="2">
        <v>2</v>
      </c>
      <c r="L592" s="2">
        <v>1</v>
      </c>
      <c r="M592" s="2">
        <v>9</v>
      </c>
      <c r="N592" s="9" t="s">
        <v>1331</v>
      </c>
      <c r="O592" s="8">
        <v>349900</v>
      </c>
      <c r="P592" s="3">
        <f>(1766+3560)/12</f>
        <v>443.83333333333331</v>
      </c>
      <c r="R592" s="3">
        <v>1403</v>
      </c>
      <c r="S592" s="12">
        <f t="shared" si="27"/>
        <v>59.550000000000004</v>
      </c>
      <c r="T592" s="3">
        <f t="shared" si="28"/>
        <v>1906.3833333333332</v>
      </c>
      <c r="U592" s="8">
        <f t="shared" si="29"/>
        <v>691915</v>
      </c>
    </row>
    <row r="593" spans="1:21" ht="14.4" x14ac:dyDescent="0.3">
      <c r="A593" s="13">
        <v>45503</v>
      </c>
      <c r="B593" s="2" t="s">
        <v>1330</v>
      </c>
      <c r="C593" s="2" t="s">
        <v>4</v>
      </c>
      <c r="D593" s="2" t="s">
        <v>342</v>
      </c>
      <c r="E593" s="2" t="s">
        <v>375</v>
      </c>
      <c r="F593" s="2">
        <v>2010</v>
      </c>
      <c r="G593" s="1">
        <v>1266</v>
      </c>
      <c r="H593" s="2">
        <v>1266</v>
      </c>
      <c r="J593" s="2">
        <v>1</v>
      </c>
      <c r="K593" s="2">
        <v>3</v>
      </c>
      <c r="L593" s="2">
        <v>1</v>
      </c>
      <c r="M593" s="2">
        <v>7</v>
      </c>
      <c r="N593" s="9" t="s">
        <v>1329</v>
      </c>
      <c r="O593" s="8">
        <v>449000</v>
      </c>
      <c r="P593" s="3">
        <f>(2854+3768)/12</f>
        <v>551.83333333333337</v>
      </c>
      <c r="R593" s="3">
        <v>2008</v>
      </c>
      <c r="S593" s="12">
        <f t="shared" si="27"/>
        <v>86.850000000000009</v>
      </c>
      <c r="T593" s="3">
        <f t="shared" si="28"/>
        <v>2646.6833333333334</v>
      </c>
      <c r="U593" s="8">
        <f t="shared" si="29"/>
        <v>914005</v>
      </c>
    </row>
    <row r="594" spans="1:21" ht="14.4" x14ac:dyDescent="0.3">
      <c r="A594" s="13">
        <v>45503</v>
      </c>
      <c r="B594" s="2" t="s">
        <v>1328</v>
      </c>
      <c r="C594" s="2" t="s">
        <v>4</v>
      </c>
      <c r="D594" s="2" t="s">
        <v>342</v>
      </c>
      <c r="E594" s="2" t="s">
        <v>1734</v>
      </c>
      <c r="F594" s="2">
        <v>2009</v>
      </c>
      <c r="G594" s="1">
        <f>(9.4*12+8.2*11.5+10.9*14.4+4.5*4.9+12*12.6+9.3*14.6+8*8.5+11.5*14.6)*1.3</f>
        <v>1181.6870000000001</v>
      </c>
      <c r="H594" s="1">
        <f>(4.88*9.75)*3.28^2</f>
        <v>511.88467199999991</v>
      </c>
      <c r="J594" s="2">
        <v>2</v>
      </c>
      <c r="K594" s="2">
        <v>3</v>
      </c>
      <c r="L594" s="2">
        <v>1</v>
      </c>
      <c r="M594" s="2">
        <v>6</v>
      </c>
      <c r="N594" s="9" t="s">
        <v>1327</v>
      </c>
      <c r="O594" s="8">
        <v>449900</v>
      </c>
      <c r="P594" s="3">
        <f>(2781+4344)/12</f>
        <v>593.75</v>
      </c>
      <c r="R594" s="3">
        <v>2014</v>
      </c>
      <c r="S594" s="12">
        <f t="shared" si="27"/>
        <v>81.931741666666682</v>
      </c>
      <c r="T594" s="3">
        <f t="shared" si="28"/>
        <v>2689.6817416666668</v>
      </c>
      <c r="U594" s="8">
        <f t="shared" si="29"/>
        <v>926904.52249999996</v>
      </c>
    </row>
    <row r="595" spans="1:21" ht="14.4" x14ac:dyDescent="0.3">
      <c r="A595" s="13">
        <v>45503</v>
      </c>
      <c r="B595" s="2" t="s">
        <v>1326</v>
      </c>
      <c r="C595" s="2" t="s">
        <v>4</v>
      </c>
      <c r="D595" s="2" t="s">
        <v>342</v>
      </c>
      <c r="E595" s="2" t="s">
        <v>375</v>
      </c>
      <c r="F595" s="2">
        <v>2015</v>
      </c>
      <c r="G595" s="1">
        <v>1118</v>
      </c>
      <c r="H595" s="2">
        <v>1118</v>
      </c>
      <c r="J595" s="2">
        <v>1</v>
      </c>
      <c r="K595" s="2">
        <v>2</v>
      </c>
      <c r="L595" s="2">
        <v>2</v>
      </c>
      <c r="M595" s="2">
        <v>9</v>
      </c>
      <c r="N595" s="9" t="s">
        <v>1325</v>
      </c>
      <c r="O595" s="8">
        <v>629000</v>
      </c>
      <c r="P595" s="3">
        <f>(4503+8148)/12</f>
        <v>1054.25</v>
      </c>
      <c r="R595" s="3">
        <v>3107</v>
      </c>
      <c r="S595" s="12">
        <f t="shared" si="27"/>
        <v>78.216666666666669</v>
      </c>
      <c r="T595" s="3">
        <f t="shared" si="28"/>
        <v>4239.4666666666662</v>
      </c>
      <c r="U595" s="8">
        <f t="shared" si="29"/>
        <v>1391839.9999999998</v>
      </c>
    </row>
    <row r="596" spans="1:21" ht="27.6" x14ac:dyDescent="0.3">
      <c r="A596" s="13">
        <v>45503</v>
      </c>
      <c r="B596" s="10" t="s">
        <v>1324</v>
      </c>
      <c r="C596" s="2" t="s">
        <v>4</v>
      </c>
      <c r="D596" s="2" t="s">
        <v>342</v>
      </c>
      <c r="E596" s="2" t="s">
        <v>375</v>
      </c>
      <c r="F596" s="2">
        <v>2014</v>
      </c>
      <c r="G596" s="1">
        <v>1433</v>
      </c>
      <c r="H596" s="2">
        <v>1433</v>
      </c>
      <c r="J596" s="2">
        <v>1</v>
      </c>
      <c r="K596" s="2">
        <v>3</v>
      </c>
      <c r="L596" s="2">
        <v>2</v>
      </c>
      <c r="M596" s="2">
        <v>7</v>
      </c>
      <c r="N596" s="18" t="s">
        <v>1323</v>
      </c>
      <c r="O596" s="19">
        <v>769900</v>
      </c>
      <c r="P596" s="3">
        <f>(4996+10236)/12</f>
        <v>1269.3333333333333</v>
      </c>
      <c r="R596" s="3">
        <v>3967</v>
      </c>
      <c r="S596" s="20">
        <f t="shared" si="27"/>
        <v>96.591666666666683</v>
      </c>
      <c r="T596" s="3">
        <f t="shared" si="28"/>
        <v>5332.9249999999993</v>
      </c>
      <c r="U596" s="19">
        <f t="shared" si="29"/>
        <v>1719877.4999999998</v>
      </c>
    </row>
    <row r="597" spans="1:21" ht="14.4" x14ac:dyDescent="0.3">
      <c r="A597" s="13">
        <v>45503</v>
      </c>
      <c r="B597" s="2" t="s">
        <v>1322</v>
      </c>
      <c r="C597" s="2" t="s">
        <v>4</v>
      </c>
      <c r="D597" s="2" t="s">
        <v>262</v>
      </c>
      <c r="E597" s="2" t="s">
        <v>375</v>
      </c>
      <c r="F597" s="2">
        <v>2007</v>
      </c>
      <c r="G597" s="1">
        <v>922</v>
      </c>
      <c r="H597" s="2">
        <v>922</v>
      </c>
      <c r="J597" s="2">
        <v>1</v>
      </c>
      <c r="K597" s="2">
        <v>2</v>
      </c>
      <c r="L597" s="2">
        <v>1</v>
      </c>
      <c r="M597" s="2">
        <v>5</v>
      </c>
      <c r="N597" s="9" t="s">
        <v>1321</v>
      </c>
      <c r="O597" s="8">
        <v>399000</v>
      </c>
      <c r="P597" s="3">
        <f>(2593+1776)/12</f>
        <v>364.08333333333331</v>
      </c>
      <c r="R597" s="3">
        <v>1703</v>
      </c>
      <c r="S597" s="12">
        <f t="shared" si="27"/>
        <v>66.783333333333331</v>
      </c>
      <c r="T597" s="3">
        <f t="shared" si="28"/>
        <v>2133.8666666666668</v>
      </c>
      <c r="U597" s="8">
        <f t="shared" si="29"/>
        <v>760160</v>
      </c>
    </row>
    <row r="598" spans="1:21" ht="14.4" x14ac:dyDescent="0.3">
      <c r="A598" s="13">
        <v>45503</v>
      </c>
      <c r="B598" s="2" t="s">
        <v>1320</v>
      </c>
      <c r="C598" s="2" t="s">
        <v>4</v>
      </c>
      <c r="D598" s="2" t="s">
        <v>262</v>
      </c>
      <c r="E598" s="2" t="s">
        <v>375</v>
      </c>
      <c r="F598" s="2">
        <v>2000</v>
      </c>
      <c r="G598" s="1">
        <v>1162</v>
      </c>
      <c r="H598" s="2">
        <v>1162</v>
      </c>
      <c r="J598" s="2">
        <v>1</v>
      </c>
      <c r="K598" s="2">
        <v>2</v>
      </c>
      <c r="L598" s="2">
        <v>1</v>
      </c>
      <c r="M598" s="2">
        <v>5</v>
      </c>
      <c r="N598" s="9" t="s">
        <v>1319</v>
      </c>
      <c r="O598" s="8">
        <v>449000</v>
      </c>
      <c r="P598" s="8">
        <f>(2857+3120)/12</f>
        <v>498.08333333333331</v>
      </c>
      <c r="R598" s="3">
        <v>2008</v>
      </c>
      <c r="S598" s="12">
        <f t="shared" si="27"/>
        <v>80.783333333333346</v>
      </c>
      <c r="T598" s="3">
        <f t="shared" si="28"/>
        <v>2586.8666666666668</v>
      </c>
      <c r="U598" s="8">
        <f t="shared" si="29"/>
        <v>896060</v>
      </c>
    </row>
    <row r="599" spans="1:21" ht="14.4" x14ac:dyDescent="0.3">
      <c r="A599" s="13">
        <v>45503</v>
      </c>
      <c r="B599" s="2" t="s">
        <v>615</v>
      </c>
      <c r="C599" s="2" t="s">
        <v>4</v>
      </c>
      <c r="D599" s="2" t="s">
        <v>262</v>
      </c>
      <c r="E599" s="2" t="s">
        <v>375</v>
      </c>
      <c r="F599" s="2">
        <v>2005</v>
      </c>
      <c r="G599" s="1">
        <v>1207</v>
      </c>
      <c r="H599" s="2">
        <v>1207</v>
      </c>
      <c r="J599" s="2">
        <v>1</v>
      </c>
      <c r="K599" s="2">
        <v>2</v>
      </c>
      <c r="L599" s="2">
        <v>2</v>
      </c>
      <c r="M599" s="2">
        <v>8</v>
      </c>
      <c r="N599" s="9" t="s">
        <v>1318</v>
      </c>
      <c r="O599" s="8">
        <v>469000</v>
      </c>
      <c r="P599" s="8">
        <f>(2945+6702)/12</f>
        <v>803.91666666666663</v>
      </c>
      <c r="R599" s="3">
        <v>2130</v>
      </c>
      <c r="S599" s="12">
        <f t="shared" si="27"/>
        <v>83.408333333333346</v>
      </c>
      <c r="T599" s="3">
        <f t="shared" si="28"/>
        <v>3017.3249999999998</v>
      </c>
      <c r="U599" s="8">
        <f t="shared" si="29"/>
        <v>1025197.4999999999</v>
      </c>
    </row>
    <row r="600" spans="1:21" ht="41.4" x14ac:dyDescent="0.3">
      <c r="A600" s="13">
        <v>45503</v>
      </c>
      <c r="B600" s="10" t="s">
        <v>1317</v>
      </c>
      <c r="C600" s="2" t="s">
        <v>4</v>
      </c>
      <c r="D600" s="2" t="s">
        <v>262</v>
      </c>
      <c r="E600" s="2" t="s">
        <v>375</v>
      </c>
      <c r="F600" s="2">
        <v>2010</v>
      </c>
      <c r="G600" s="1">
        <v>1244</v>
      </c>
      <c r="H600" s="2">
        <v>1244</v>
      </c>
      <c r="J600" s="2">
        <v>1</v>
      </c>
      <c r="K600" s="2">
        <v>2</v>
      </c>
      <c r="L600" s="2">
        <v>1</v>
      </c>
      <c r="M600" s="2">
        <v>8</v>
      </c>
      <c r="N600" s="9" t="s">
        <v>1316</v>
      </c>
      <c r="O600" s="8">
        <v>489000</v>
      </c>
      <c r="P600" s="8">
        <f>(3348+3906)/12</f>
        <v>604.5</v>
      </c>
      <c r="R600" s="3">
        <v>2252</v>
      </c>
      <c r="S600" s="12">
        <f t="shared" si="27"/>
        <v>85.566666666666677</v>
      </c>
      <c r="T600" s="3">
        <f t="shared" si="28"/>
        <v>2942.0666666666666</v>
      </c>
      <c r="U600" s="8">
        <f t="shared" si="29"/>
        <v>1002620.0000000001</v>
      </c>
    </row>
    <row r="601" spans="1:21" ht="14.4" x14ac:dyDescent="0.3">
      <c r="A601" s="13">
        <v>45503</v>
      </c>
      <c r="B601" s="2" t="s">
        <v>1315</v>
      </c>
      <c r="C601" s="2" t="s">
        <v>4</v>
      </c>
      <c r="D601" s="2" t="s">
        <v>262</v>
      </c>
      <c r="E601" s="2" t="s">
        <v>375</v>
      </c>
      <c r="F601" s="2">
        <v>2001</v>
      </c>
      <c r="G601" s="1">
        <v>1834</v>
      </c>
      <c r="H601" s="1">
        <v>1834</v>
      </c>
      <c r="J601" s="2">
        <v>1</v>
      </c>
      <c r="K601" s="2">
        <v>2</v>
      </c>
      <c r="L601" s="2">
        <v>1</v>
      </c>
      <c r="M601" s="2">
        <v>9</v>
      </c>
      <c r="N601" s="9" t="s">
        <v>1314</v>
      </c>
      <c r="O601" s="8">
        <v>534000</v>
      </c>
      <c r="P601" s="8">
        <f>(3306+5544)/12</f>
        <v>737.5</v>
      </c>
      <c r="R601" s="3">
        <v>2527</v>
      </c>
      <c r="S601" s="12">
        <f t="shared" si="27"/>
        <v>119.98333333333335</v>
      </c>
      <c r="T601" s="3">
        <f t="shared" si="28"/>
        <v>3384.4833333333336</v>
      </c>
      <c r="U601" s="8">
        <f t="shared" si="29"/>
        <v>1135345</v>
      </c>
    </row>
    <row r="602" spans="1:21" ht="14.4" x14ac:dyDescent="0.3">
      <c r="A602" s="13">
        <v>45503</v>
      </c>
      <c r="B602" s="2" t="s">
        <v>1313</v>
      </c>
      <c r="C602" s="2" t="s">
        <v>4</v>
      </c>
      <c r="D602" s="2" t="s">
        <v>262</v>
      </c>
      <c r="E602" s="2" t="s">
        <v>375</v>
      </c>
      <c r="F602" s="2">
        <v>2017</v>
      </c>
      <c r="G602" s="1">
        <v>1353</v>
      </c>
      <c r="H602" s="2">
        <v>1353</v>
      </c>
      <c r="J602" s="2">
        <v>1</v>
      </c>
      <c r="K602" s="2">
        <v>2</v>
      </c>
      <c r="L602" s="2">
        <v>2</v>
      </c>
      <c r="M602" s="2">
        <v>11</v>
      </c>
      <c r="N602" s="9" t="s">
        <v>1312</v>
      </c>
      <c r="O602" s="8">
        <v>639900</v>
      </c>
      <c r="P602" s="8">
        <f>(4243+6852)/12</f>
        <v>924.58333333333337</v>
      </c>
      <c r="R602" s="3">
        <v>3173</v>
      </c>
      <c r="S602" s="12">
        <f t="shared" si="27"/>
        <v>91.925000000000011</v>
      </c>
      <c r="T602" s="3">
        <f t="shared" si="28"/>
        <v>4189.5083333333332</v>
      </c>
      <c r="U602" s="8">
        <f t="shared" si="29"/>
        <v>1376852.5</v>
      </c>
    </row>
    <row r="603" spans="1:21" ht="14.4" x14ac:dyDescent="0.3">
      <c r="A603" s="13">
        <v>45503</v>
      </c>
      <c r="B603" s="2" t="s">
        <v>1311</v>
      </c>
      <c r="C603" s="2" t="s">
        <v>4</v>
      </c>
      <c r="D603" s="2" t="s">
        <v>262</v>
      </c>
      <c r="E603" s="2" t="s">
        <v>375</v>
      </c>
      <c r="F603" s="2">
        <v>2016</v>
      </c>
      <c r="G603" s="1">
        <v>1085</v>
      </c>
      <c r="H603" s="1">
        <v>1085</v>
      </c>
      <c r="J603" s="2">
        <v>1</v>
      </c>
      <c r="K603" s="2">
        <v>2</v>
      </c>
      <c r="L603" s="2">
        <v>2</v>
      </c>
      <c r="M603" s="2">
        <v>5</v>
      </c>
      <c r="N603" s="9" t="s">
        <v>1310</v>
      </c>
      <c r="O603" s="8">
        <v>859000</v>
      </c>
      <c r="P603" s="8">
        <f>(5262+7512)/12</f>
        <v>1064.5</v>
      </c>
      <c r="R603" s="3">
        <v>4511</v>
      </c>
      <c r="S603" s="12">
        <f t="shared" si="27"/>
        <v>76.291666666666686</v>
      </c>
      <c r="T603" s="3">
        <f t="shared" si="28"/>
        <v>5651.791666666667</v>
      </c>
      <c r="U603" s="8">
        <f t="shared" si="29"/>
        <v>1815537.5</v>
      </c>
    </row>
    <row r="604" spans="1:21" ht="14.4" x14ac:dyDescent="0.3">
      <c r="A604" s="13">
        <v>45503</v>
      </c>
      <c r="B604" s="2" t="s">
        <v>1309</v>
      </c>
      <c r="C604" s="2" t="s">
        <v>4</v>
      </c>
      <c r="D604" s="2" t="s">
        <v>262</v>
      </c>
      <c r="E604" s="2" t="s">
        <v>375</v>
      </c>
      <c r="F604" s="2">
        <v>2020</v>
      </c>
      <c r="G604" s="1">
        <v>1466</v>
      </c>
      <c r="H604" s="2">
        <v>1466</v>
      </c>
      <c r="J604" s="2">
        <v>1</v>
      </c>
      <c r="K604" s="2">
        <v>2</v>
      </c>
      <c r="L604" s="2">
        <v>2</v>
      </c>
      <c r="M604" s="2">
        <v>12</v>
      </c>
      <c r="N604" s="9" t="s">
        <v>1308</v>
      </c>
      <c r="O604" s="8">
        <v>878277</v>
      </c>
      <c r="P604" s="8">
        <f>(6229+11724)/12</f>
        <v>1496.0833333333333</v>
      </c>
      <c r="R604" s="3">
        <v>4628</v>
      </c>
      <c r="S604" s="12">
        <f t="shared" si="27"/>
        <v>98.516666666666666</v>
      </c>
      <c r="T604" s="3">
        <f t="shared" si="28"/>
        <v>6222.5999999999995</v>
      </c>
      <c r="U604" s="8">
        <f t="shared" si="29"/>
        <v>1986780</v>
      </c>
    </row>
    <row r="605" spans="1:21" ht="27.6" x14ac:dyDescent="0.3">
      <c r="A605" s="13">
        <v>45503</v>
      </c>
      <c r="B605" s="10" t="s">
        <v>1307</v>
      </c>
      <c r="C605" s="2" t="s">
        <v>4</v>
      </c>
      <c r="D605" s="2" t="s">
        <v>262</v>
      </c>
      <c r="E605" s="2" t="s">
        <v>375</v>
      </c>
      <c r="F605" s="2">
        <v>2016</v>
      </c>
      <c r="G605" s="1">
        <v>1092</v>
      </c>
      <c r="H605" s="1">
        <v>1092</v>
      </c>
      <c r="J605" s="2">
        <v>1</v>
      </c>
      <c r="K605" s="2">
        <v>2</v>
      </c>
      <c r="L605" s="2">
        <v>2</v>
      </c>
      <c r="M605" s="2">
        <v>10</v>
      </c>
      <c r="N605" s="9" t="s">
        <v>1306</v>
      </c>
      <c r="O605" s="8">
        <v>949900</v>
      </c>
      <c r="P605" s="8">
        <f>(5658+8028)/12</f>
        <v>1140.5</v>
      </c>
      <c r="R605" s="3">
        <v>5066</v>
      </c>
      <c r="S605" s="12">
        <f t="shared" si="27"/>
        <v>76.700000000000017</v>
      </c>
      <c r="T605" s="3">
        <f t="shared" si="28"/>
        <v>6283.2</v>
      </c>
      <c r="U605" s="8">
        <f t="shared" si="29"/>
        <v>2004959.9999999998</v>
      </c>
    </row>
    <row r="606" spans="1:21" ht="14.4" x14ac:dyDescent="0.3">
      <c r="A606" s="13">
        <v>45503</v>
      </c>
      <c r="B606" s="2" t="s">
        <v>1305</v>
      </c>
      <c r="C606" s="2" t="s">
        <v>4</v>
      </c>
      <c r="D606" s="2" t="s">
        <v>262</v>
      </c>
      <c r="E606" s="2" t="s">
        <v>375</v>
      </c>
      <c r="F606" s="2">
        <v>2019</v>
      </c>
      <c r="G606" s="1">
        <v>1370</v>
      </c>
      <c r="H606" s="1">
        <v>1370</v>
      </c>
      <c r="J606" s="2">
        <v>1</v>
      </c>
      <c r="K606" s="2">
        <v>2</v>
      </c>
      <c r="L606" s="2">
        <v>2</v>
      </c>
      <c r="M606" s="2">
        <v>10</v>
      </c>
      <c r="N606" s="9" t="s">
        <v>1304</v>
      </c>
      <c r="O606" s="8">
        <v>1010000</v>
      </c>
      <c r="P606" s="8">
        <f>(6678+12432)/12</f>
        <v>1592.5</v>
      </c>
      <c r="R606" s="3">
        <v>5432</v>
      </c>
      <c r="S606" s="12">
        <f t="shared" si="27"/>
        <v>92.916666666666671</v>
      </c>
      <c r="T606" s="3">
        <f t="shared" si="28"/>
        <v>7117.416666666667</v>
      </c>
      <c r="U606" s="8">
        <f t="shared" si="29"/>
        <v>2255225</v>
      </c>
    </row>
    <row r="607" spans="1:21" ht="14.4" x14ac:dyDescent="0.3">
      <c r="A607" s="13">
        <v>45503</v>
      </c>
      <c r="B607" s="2" t="s">
        <v>1303</v>
      </c>
      <c r="C607" s="2" t="s">
        <v>4</v>
      </c>
      <c r="D607" s="2" t="s">
        <v>262</v>
      </c>
      <c r="E607" s="2" t="s">
        <v>375</v>
      </c>
      <c r="F607" s="2">
        <v>2020</v>
      </c>
      <c r="G607" s="1">
        <v>1487</v>
      </c>
      <c r="H607" s="1">
        <v>1487</v>
      </c>
      <c r="J607" s="2">
        <v>1</v>
      </c>
      <c r="K607" s="2">
        <v>2</v>
      </c>
      <c r="L607" s="2">
        <v>1</v>
      </c>
      <c r="M607" s="2">
        <v>11</v>
      </c>
      <c r="N607" s="9" t="s">
        <v>1302</v>
      </c>
      <c r="O607" s="8">
        <v>1028777</v>
      </c>
      <c r="P607" s="8">
        <f>(7844+13284)/12</f>
        <v>1760.6666666666667</v>
      </c>
      <c r="R607" s="3">
        <v>5547</v>
      </c>
      <c r="S607" s="12">
        <f t="shared" si="27"/>
        <v>99.741666666666674</v>
      </c>
      <c r="T607" s="3">
        <f t="shared" si="28"/>
        <v>7407.4083333333338</v>
      </c>
      <c r="U607" s="8">
        <f t="shared" si="29"/>
        <v>2342222.5</v>
      </c>
    </row>
    <row r="608" spans="1:21" ht="14.4" x14ac:dyDescent="0.3">
      <c r="A608" s="13">
        <v>45503</v>
      </c>
      <c r="B608" s="2" t="s">
        <v>1301</v>
      </c>
      <c r="C608" s="2" t="s">
        <v>4</v>
      </c>
      <c r="D608" s="2" t="s">
        <v>262</v>
      </c>
      <c r="E608" s="2" t="s">
        <v>375</v>
      </c>
      <c r="F608" s="2">
        <v>2020</v>
      </c>
      <c r="G608" s="1">
        <v>1477</v>
      </c>
      <c r="H608" s="1">
        <v>1477</v>
      </c>
      <c r="J608" s="2">
        <v>1</v>
      </c>
      <c r="K608" s="2">
        <v>2</v>
      </c>
      <c r="L608" s="2">
        <v>2</v>
      </c>
      <c r="M608" s="2">
        <v>8</v>
      </c>
      <c r="N608" s="9" t="s">
        <v>1300</v>
      </c>
      <c r="O608" s="8">
        <v>1075000</v>
      </c>
      <c r="P608" s="8">
        <f>(6619+9780)/12</f>
        <v>1366.5833333333333</v>
      </c>
      <c r="R608" s="3">
        <v>5829</v>
      </c>
      <c r="S608" s="12">
        <f t="shared" si="27"/>
        <v>99.158333333333346</v>
      </c>
      <c r="T608" s="3">
        <f t="shared" si="28"/>
        <v>7294.7416666666668</v>
      </c>
      <c r="U608" s="8">
        <f t="shared" si="29"/>
        <v>2308422.5</v>
      </c>
    </row>
    <row r="609" spans="1:21" ht="14.4" x14ac:dyDescent="0.3">
      <c r="A609" s="13">
        <v>45503</v>
      </c>
      <c r="B609" s="2" t="s">
        <v>1299</v>
      </c>
      <c r="C609" s="2" t="s">
        <v>4</v>
      </c>
      <c r="D609" s="2" t="s">
        <v>262</v>
      </c>
      <c r="E609" s="2" t="s">
        <v>1734</v>
      </c>
      <c r="F609" s="2">
        <v>2020</v>
      </c>
      <c r="G609" s="1">
        <f>(8*8.9+13.8*10.7+13.9*9.1+8.9*14.6+6.3*6.4+17.5*10.9+11.5*8.8+8.6*8.8+17*9.9+4*10.6+7.1*8.8+3.6*7.6+6.9*14.6)*1.3</f>
        <v>1669.876</v>
      </c>
      <c r="H609" s="1">
        <v>1487</v>
      </c>
      <c r="J609" s="2">
        <v>1</v>
      </c>
      <c r="K609" s="2">
        <v>2</v>
      </c>
      <c r="L609" s="2">
        <v>3</v>
      </c>
      <c r="M609" s="2">
        <v>13</v>
      </c>
      <c r="N609" s="9" t="s">
        <v>1298</v>
      </c>
      <c r="O609" s="8">
        <v>1086276</v>
      </c>
      <c r="P609" s="1">
        <f>(7712+14172)/12</f>
        <v>1823.6666666666667</v>
      </c>
      <c r="R609" s="3">
        <v>5898</v>
      </c>
      <c r="S609" s="12">
        <f t="shared" si="27"/>
        <v>110.40943333333333</v>
      </c>
      <c r="T609" s="3">
        <f t="shared" si="28"/>
        <v>7832.0761000000002</v>
      </c>
      <c r="U609" s="8">
        <f t="shared" si="29"/>
        <v>2469622.83</v>
      </c>
    </row>
    <row r="610" spans="1:21" ht="14.4" x14ac:dyDescent="0.3">
      <c r="A610" s="13">
        <v>45503</v>
      </c>
      <c r="B610" s="2" t="s">
        <v>1297</v>
      </c>
      <c r="C610" s="2" t="s">
        <v>4</v>
      </c>
      <c r="D610" s="2" t="s">
        <v>262</v>
      </c>
      <c r="E610" s="2" t="s">
        <v>375</v>
      </c>
      <c r="F610" s="2">
        <v>2016</v>
      </c>
      <c r="G610" s="1">
        <v>1345</v>
      </c>
      <c r="H610" s="1">
        <v>1345</v>
      </c>
      <c r="J610" s="2">
        <v>1</v>
      </c>
      <c r="K610" s="2">
        <v>2</v>
      </c>
      <c r="L610" s="2">
        <v>2</v>
      </c>
      <c r="M610" s="2">
        <v>7</v>
      </c>
      <c r="N610" s="9" t="s">
        <v>1296</v>
      </c>
      <c r="O610" s="8">
        <v>1139000</v>
      </c>
      <c r="P610" s="8">
        <f>(6548+10020)/12</f>
        <v>1380.6666666666667</v>
      </c>
      <c r="R610" s="3">
        <v>6220</v>
      </c>
      <c r="S610" s="12">
        <f t="shared" si="27"/>
        <v>91.458333333333343</v>
      </c>
      <c r="T610" s="3">
        <f t="shared" si="28"/>
        <v>7692.125</v>
      </c>
      <c r="U610" s="8">
        <f t="shared" si="29"/>
        <v>2427637.5</v>
      </c>
    </row>
    <row r="611" spans="1:21" ht="14.4" x14ac:dyDescent="0.3">
      <c r="A611" s="13">
        <v>45503</v>
      </c>
      <c r="B611" s="2" t="s">
        <v>1295</v>
      </c>
      <c r="C611" s="2" t="s">
        <v>4</v>
      </c>
      <c r="D611" s="2" t="s">
        <v>262</v>
      </c>
      <c r="E611" s="2" t="s">
        <v>375</v>
      </c>
      <c r="F611" s="2">
        <v>2020</v>
      </c>
      <c r="G611" s="1">
        <v>1275</v>
      </c>
      <c r="H611" s="1">
        <v>1275</v>
      </c>
      <c r="J611" s="2">
        <v>1</v>
      </c>
      <c r="K611" s="2">
        <v>2</v>
      </c>
      <c r="L611" s="2">
        <v>2</v>
      </c>
      <c r="M611" s="2">
        <v>10</v>
      </c>
      <c r="N611" s="9" t="s">
        <v>1294</v>
      </c>
      <c r="O611" s="8">
        <v>1149000</v>
      </c>
      <c r="P611" s="8">
        <f>(7769+16440)/12</f>
        <v>2017.4166666666667</v>
      </c>
      <c r="R611" s="3">
        <v>6281</v>
      </c>
      <c r="S611" s="12">
        <f t="shared" si="27"/>
        <v>87.375000000000014</v>
      </c>
      <c r="T611" s="3">
        <f t="shared" si="28"/>
        <v>8385.7916666666661</v>
      </c>
      <c r="U611" s="8">
        <f t="shared" si="29"/>
        <v>2635737.5</v>
      </c>
    </row>
    <row r="612" spans="1:21" ht="14.4" x14ac:dyDescent="0.3">
      <c r="A612" s="13">
        <v>45503</v>
      </c>
      <c r="B612" s="2" t="s">
        <v>1293</v>
      </c>
      <c r="C612" s="2" t="s">
        <v>4</v>
      </c>
      <c r="D612" s="2" t="s">
        <v>262</v>
      </c>
      <c r="E612" s="2" t="s">
        <v>375</v>
      </c>
      <c r="F612" s="2">
        <v>2020</v>
      </c>
      <c r="G612" s="1">
        <v>1381</v>
      </c>
      <c r="H612" s="1">
        <v>1381</v>
      </c>
      <c r="J612" s="2">
        <v>1</v>
      </c>
      <c r="K612" s="2">
        <v>2</v>
      </c>
      <c r="L612" s="2">
        <v>2</v>
      </c>
      <c r="M612" s="2">
        <v>11</v>
      </c>
      <c r="N612" s="9" t="s">
        <v>1292</v>
      </c>
      <c r="O612" s="8">
        <v>1159000</v>
      </c>
      <c r="P612" s="8">
        <f>(6777+11958)/12</f>
        <v>1561.25</v>
      </c>
      <c r="R612" s="3">
        <v>6342</v>
      </c>
      <c r="S612" s="12">
        <f t="shared" si="27"/>
        <v>93.558333333333337</v>
      </c>
      <c r="T612" s="3">
        <f t="shared" si="28"/>
        <v>7996.8083333333334</v>
      </c>
      <c r="U612" s="8">
        <f t="shared" si="29"/>
        <v>2519042.5</v>
      </c>
    </row>
    <row r="613" spans="1:21" ht="14.4" x14ac:dyDescent="0.3">
      <c r="A613" s="13">
        <v>45503</v>
      </c>
      <c r="B613" s="2" t="s">
        <v>1291</v>
      </c>
      <c r="C613" s="2" t="s">
        <v>4</v>
      </c>
      <c r="D613" s="2" t="s">
        <v>262</v>
      </c>
      <c r="E613" s="2" t="s">
        <v>375</v>
      </c>
      <c r="F613" s="2">
        <v>2020</v>
      </c>
      <c r="G613" s="1">
        <v>1615</v>
      </c>
      <c r="H613" s="1">
        <v>1615</v>
      </c>
      <c r="J613" s="2">
        <v>1</v>
      </c>
      <c r="K613" s="2">
        <v>3</v>
      </c>
      <c r="L613" s="2">
        <v>2</v>
      </c>
      <c r="M613" s="2">
        <v>11</v>
      </c>
      <c r="N613" s="9" t="s">
        <v>1290</v>
      </c>
      <c r="O613" s="8">
        <v>1199000</v>
      </c>
      <c r="P613" s="8">
        <f>(6960+10920)/12</f>
        <v>1490</v>
      </c>
      <c r="R613" s="3">
        <v>6586</v>
      </c>
      <c r="S613" s="12">
        <f t="shared" si="27"/>
        <v>107.20833333333333</v>
      </c>
      <c r="T613" s="3">
        <f t="shared" si="28"/>
        <v>8183.208333333333</v>
      </c>
      <c r="U613" s="8">
        <f t="shared" si="29"/>
        <v>2574962.5</v>
      </c>
    </row>
    <row r="614" spans="1:21" ht="14.4" x14ac:dyDescent="0.3">
      <c r="A614" s="13">
        <v>45503</v>
      </c>
      <c r="B614" s="2" t="s">
        <v>1289</v>
      </c>
      <c r="C614" s="2" t="s">
        <v>4</v>
      </c>
      <c r="D614" s="2" t="s">
        <v>262</v>
      </c>
      <c r="E614" s="2" t="s">
        <v>375</v>
      </c>
      <c r="F614" s="2">
        <v>2019</v>
      </c>
      <c r="G614" s="1">
        <v>2456</v>
      </c>
      <c r="H614" s="1">
        <v>2456</v>
      </c>
      <c r="J614" s="2">
        <v>1</v>
      </c>
      <c r="K614" s="2">
        <v>3</v>
      </c>
      <c r="L614" s="2">
        <v>3</v>
      </c>
      <c r="M614" s="2">
        <v>10</v>
      </c>
      <c r="N614" s="9" t="s">
        <v>1288</v>
      </c>
      <c r="O614" s="8">
        <v>1264725</v>
      </c>
      <c r="P614" s="8">
        <f>(11996+14280)/12</f>
        <v>2189.6666666666665</v>
      </c>
      <c r="R614" s="3">
        <v>6987</v>
      </c>
      <c r="S614" s="12">
        <f t="shared" si="27"/>
        <v>156.26666666666668</v>
      </c>
      <c r="T614" s="3">
        <f t="shared" si="28"/>
        <v>9332.9333333333325</v>
      </c>
      <c r="U614" s="8">
        <f t="shared" si="29"/>
        <v>2919879.9999999995</v>
      </c>
    </row>
    <row r="615" spans="1:21" ht="14.4" x14ac:dyDescent="0.3">
      <c r="A615" s="13">
        <v>45503</v>
      </c>
      <c r="B615" s="2" t="s">
        <v>1287</v>
      </c>
      <c r="C615" s="2" t="s">
        <v>4</v>
      </c>
      <c r="D615" s="2" t="s">
        <v>262</v>
      </c>
      <c r="E615" s="2" t="s">
        <v>375</v>
      </c>
      <c r="F615" s="2">
        <v>2016</v>
      </c>
      <c r="G615" s="1">
        <v>1550</v>
      </c>
      <c r="H615" s="1">
        <v>1550</v>
      </c>
      <c r="J615" s="2">
        <v>1</v>
      </c>
      <c r="K615" s="2">
        <v>2</v>
      </c>
      <c r="L615" s="2">
        <v>2</v>
      </c>
      <c r="M615" s="2">
        <v>11</v>
      </c>
      <c r="N615" s="9" t="s">
        <v>1286</v>
      </c>
      <c r="O615" s="8">
        <v>1578276</v>
      </c>
      <c r="P615" s="8">
        <f>(14538+20532)/12</f>
        <v>2922.5</v>
      </c>
      <c r="R615" s="3">
        <v>8901</v>
      </c>
      <c r="S615" s="12">
        <f t="shared" si="27"/>
        <v>103.41666666666667</v>
      </c>
      <c r="T615" s="3">
        <f t="shared" si="28"/>
        <v>11926.916666666666</v>
      </c>
      <c r="U615" s="8">
        <f t="shared" si="29"/>
        <v>3698075</v>
      </c>
    </row>
    <row r="616" spans="1:21" ht="14.4" x14ac:dyDescent="0.3">
      <c r="A616" s="13">
        <v>45503</v>
      </c>
      <c r="B616" s="2" t="s">
        <v>1285</v>
      </c>
      <c r="C616" s="2" t="s">
        <v>4</v>
      </c>
      <c r="D616" s="2" t="s">
        <v>262</v>
      </c>
      <c r="E616" s="2" t="s">
        <v>375</v>
      </c>
      <c r="F616" s="2">
        <v>2020</v>
      </c>
      <c r="G616" s="1">
        <v>2419</v>
      </c>
      <c r="H616" s="1">
        <v>2419</v>
      </c>
      <c r="J616" s="2">
        <v>1</v>
      </c>
      <c r="K616" s="2">
        <v>2</v>
      </c>
      <c r="L616" s="2">
        <v>3</v>
      </c>
      <c r="M616" s="2">
        <v>12</v>
      </c>
      <c r="N616" s="9" t="s">
        <v>1284</v>
      </c>
      <c r="O616" s="8">
        <v>1868275</v>
      </c>
      <c r="P616" s="8">
        <f>(15186+23952)/12</f>
        <v>3261.5</v>
      </c>
      <c r="R616" s="3">
        <v>10671</v>
      </c>
      <c r="S616" s="12">
        <f t="shared" si="27"/>
        <v>154.10833333333335</v>
      </c>
      <c r="T616" s="3">
        <f t="shared" si="28"/>
        <v>14086.608333333334</v>
      </c>
      <c r="U616" s="8">
        <f t="shared" si="29"/>
        <v>4345982.5</v>
      </c>
    </row>
    <row r="617" spans="1:21" ht="14.4" x14ac:dyDescent="0.3">
      <c r="A617" s="13">
        <v>45503</v>
      </c>
      <c r="B617" s="2" t="s">
        <v>1283</v>
      </c>
      <c r="C617" s="2" t="s">
        <v>4</v>
      </c>
      <c r="D617" s="2" t="s">
        <v>262</v>
      </c>
      <c r="E617" s="2" t="s">
        <v>375</v>
      </c>
      <c r="F617" s="2">
        <v>2020</v>
      </c>
      <c r="G617" s="1">
        <v>2689</v>
      </c>
      <c r="H617" s="1">
        <v>2689</v>
      </c>
      <c r="J617" s="2">
        <v>1</v>
      </c>
      <c r="K617" s="2">
        <v>3</v>
      </c>
      <c r="L617" s="2">
        <v>3</v>
      </c>
      <c r="M617" s="2">
        <v>14</v>
      </c>
      <c r="N617" s="9" t="s">
        <v>1282</v>
      </c>
      <c r="O617" s="8">
        <v>2849000</v>
      </c>
      <c r="P617" s="8">
        <f>(13681+27360)/12</f>
        <v>3420.0833333333335</v>
      </c>
      <c r="R617" s="3">
        <v>16658</v>
      </c>
      <c r="S617" s="12">
        <f t="shared" si="27"/>
        <v>169.85833333333335</v>
      </c>
      <c r="T617" s="3">
        <f t="shared" si="28"/>
        <v>20247.941666666666</v>
      </c>
      <c r="U617" s="8">
        <f t="shared" si="29"/>
        <v>6194382.5</v>
      </c>
    </row>
    <row r="618" spans="1:21" ht="27.6" x14ac:dyDescent="0.3">
      <c r="A618" s="13">
        <v>45503</v>
      </c>
      <c r="B618" s="10" t="s">
        <v>1281</v>
      </c>
      <c r="C618" s="2" t="s">
        <v>4</v>
      </c>
      <c r="D618" s="2" t="s">
        <v>162</v>
      </c>
      <c r="E618" s="2" t="s">
        <v>375</v>
      </c>
      <c r="F618" s="2">
        <v>2007</v>
      </c>
      <c r="G618" s="1">
        <v>781</v>
      </c>
      <c r="H618" s="1">
        <v>781</v>
      </c>
      <c r="J618" s="2">
        <v>1</v>
      </c>
      <c r="K618" s="2">
        <v>1</v>
      </c>
      <c r="L618" s="2">
        <v>1</v>
      </c>
      <c r="M618" s="2">
        <v>6</v>
      </c>
      <c r="N618" s="9" t="s">
        <v>1280</v>
      </c>
      <c r="O618" s="8">
        <v>315000</v>
      </c>
      <c r="P618" s="1">
        <f>(1944+3000)/12</f>
        <v>412</v>
      </c>
      <c r="R618" s="3">
        <v>1190</v>
      </c>
      <c r="S618" s="12">
        <f t="shared" si="27"/>
        <v>58.558333333333337</v>
      </c>
      <c r="T618" s="3">
        <f t="shared" si="28"/>
        <v>1660.5583333333334</v>
      </c>
      <c r="U618" s="8">
        <f t="shared" si="29"/>
        <v>618167.5</v>
      </c>
    </row>
    <row r="619" spans="1:21" ht="14.4" x14ac:dyDescent="0.3">
      <c r="A619" s="13">
        <v>45503</v>
      </c>
      <c r="B619" s="2" t="s">
        <v>609</v>
      </c>
      <c r="C619" s="2" t="s">
        <v>4</v>
      </c>
      <c r="D619" s="2" t="s">
        <v>162</v>
      </c>
      <c r="E619" s="2" t="s">
        <v>375</v>
      </c>
      <c r="F619" s="2">
        <v>2007</v>
      </c>
      <c r="G619" s="1">
        <v>900</v>
      </c>
      <c r="H619" s="1">
        <v>900</v>
      </c>
      <c r="J619" s="2">
        <v>1</v>
      </c>
      <c r="K619" s="2">
        <v>2</v>
      </c>
      <c r="L619" s="2">
        <v>1</v>
      </c>
      <c r="M619" s="2">
        <v>6</v>
      </c>
      <c r="N619" s="9" t="s">
        <v>1279</v>
      </c>
      <c r="O619" s="8">
        <v>329000</v>
      </c>
      <c r="P619" s="1">
        <f>(2359+1152)/12</f>
        <v>292.58333333333331</v>
      </c>
      <c r="R619" s="3">
        <v>1276</v>
      </c>
      <c r="S619" s="12">
        <f t="shared" si="27"/>
        <v>65.5</v>
      </c>
      <c r="T619" s="3">
        <f t="shared" si="28"/>
        <v>1634.0833333333333</v>
      </c>
      <c r="U619" s="8">
        <f t="shared" si="29"/>
        <v>610225</v>
      </c>
    </row>
    <row r="620" spans="1:21" ht="14.4" x14ac:dyDescent="0.3">
      <c r="A620" s="13">
        <v>45503</v>
      </c>
      <c r="B620" s="2" t="s">
        <v>1278</v>
      </c>
      <c r="C620" s="2" t="s">
        <v>4</v>
      </c>
      <c r="D620" s="2" t="s">
        <v>162</v>
      </c>
      <c r="E620" s="2" t="s">
        <v>375</v>
      </c>
      <c r="F620" s="2">
        <v>1997</v>
      </c>
      <c r="G620" s="1">
        <v>788</v>
      </c>
      <c r="H620" s="1">
        <v>788</v>
      </c>
      <c r="J620" s="2">
        <v>1</v>
      </c>
      <c r="K620" s="2">
        <v>2</v>
      </c>
      <c r="L620" s="2">
        <v>1</v>
      </c>
      <c r="M620" s="2">
        <v>6</v>
      </c>
      <c r="N620" s="9" t="s">
        <v>1277</v>
      </c>
      <c r="O620" s="8">
        <v>339500</v>
      </c>
      <c r="P620" s="1">
        <f>(1881+1800)/12</f>
        <v>306.75</v>
      </c>
      <c r="R620" s="3">
        <v>1340</v>
      </c>
      <c r="S620" s="12">
        <f t="shared" si="27"/>
        <v>58.966666666666669</v>
      </c>
      <c r="T620" s="3">
        <f t="shared" si="28"/>
        <v>1705.7166666666667</v>
      </c>
      <c r="U620" s="8">
        <f t="shared" si="29"/>
        <v>631715</v>
      </c>
    </row>
    <row r="621" spans="1:21" ht="14.4" x14ac:dyDescent="0.3">
      <c r="A621" s="13">
        <v>45503</v>
      </c>
      <c r="B621" s="2" t="s">
        <v>1276</v>
      </c>
      <c r="C621" s="2" t="s">
        <v>4</v>
      </c>
      <c r="D621" s="2" t="s">
        <v>162</v>
      </c>
      <c r="E621" s="2" t="s">
        <v>375</v>
      </c>
      <c r="F621" s="2">
        <v>2017</v>
      </c>
      <c r="G621" s="1">
        <f>(5*5.4+11.1*8.9+11.9*9.4+9.4*10.8+9.2*5)*1.3</f>
        <v>500.72100000000012</v>
      </c>
      <c r="H621" s="1">
        <f>(5*5.4+11.1*8.9+11.9*9.4+9.4*10.8+9.2*5)*1.3</f>
        <v>500.72100000000012</v>
      </c>
      <c r="J621" s="2">
        <v>1</v>
      </c>
      <c r="K621" s="2">
        <v>1</v>
      </c>
      <c r="L621" s="2">
        <v>1</v>
      </c>
      <c r="M621" s="2">
        <v>4</v>
      </c>
      <c r="N621" s="9" t="s">
        <v>1275</v>
      </c>
      <c r="O621" s="8">
        <v>339900</v>
      </c>
      <c r="P621" s="1">
        <f>(1937+2100)/12</f>
        <v>336.41666666666669</v>
      </c>
      <c r="R621" s="3">
        <v>1342</v>
      </c>
      <c r="S621" s="12">
        <f t="shared" si="27"/>
        <v>42.208725000000015</v>
      </c>
      <c r="T621" s="3">
        <f t="shared" si="28"/>
        <v>1720.6253916666667</v>
      </c>
      <c r="U621" s="8">
        <f t="shared" si="29"/>
        <v>636187.61750000005</v>
      </c>
    </row>
    <row r="622" spans="1:21" ht="14.4" x14ac:dyDescent="0.3">
      <c r="A622" s="13">
        <v>45503</v>
      </c>
      <c r="B622" s="2" t="s">
        <v>1274</v>
      </c>
      <c r="C622" s="2" t="s">
        <v>4</v>
      </c>
      <c r="D622" s="2" t="s">
        <v>162</v>
      </c>
      <c r="E622" s="2" t="s">
        <v>375</v>
      </c>
      <c r="F622" s="2">
        <v>1988</v>
      </c>
      <c r="G622" s="1">
        <v>1010</v>
      </c>
      <c r="H622" s="1">
        <v>1010</v>
      </c>
      <c r="J622" s="2">
        <v>1</v>
      </c>
      <c r="K622" s="2">
        <v>2</v>
      </c>
      <c r="L622" s="2">
        <v>1</v>
      </c>
      <c r="M622" s="2">
        <v>8</v>
      </c>
      <c r="N622" s="9" t="s">
        <v>1273</v>
      </c>
      <c r="O622" s="8">
        <v>385000</v>
      </c>
      <c r="P622" s="1">
        <f>(2299+4272)/12</f>
        <v>547.58333333333337</v>
      </c>
      <c r="R622" s="3">
        <v>1618</v>
      </c>
      <c r="S622" s="12">
        <f t="shared" si="27"/>
        <v>71.916666666666686</v>
      </c>
      <c r="T622" s="3">
        <f t="shared" si="28"/>
        <v>2237.5</v>
      </c>
      <c r="U622" s="8">
        <f t="shared" si="29"/>
        <v>791250</v>
      </c>
    </row>
    <row r="623" spans="1:21" ht="14.4" x14ac:dyDescent="0.3">
      <c r="A623" s="13">
        <v>45503</v>
      </c>
      <c r="B623" s="2" t="s">
        <v>1272</v>
      </c>
      <c r="C623" s="2" t="s">
        <v>4</v>
      </c>
      <c r="D623" s="2" t="s">
        <v>162</v>
      </c>
      <c r="E623" s="2" t="s">
        <v>375</v>
      </c>
      <c r="F623" s="2">
        <v>1988</v>
      </c>
      <c r="G623" s="1">
        <v>1154</v>
      </c>
      <c r="H623" s="1">
        <v>1154</v>
      </c>
      <c r="J623" s="2">
        <v>1</v>
      </c>
      <c r="K623" s="2">
        <v>2</v>
      </c>
      <c r="L623" s="2">
        <v>1</v>
      </c>
      <c r="M623" s="2">
        <v>8</v>
      </c>
      <c r="N623" s="9" t="s">
        <v>1271</v>
      </c>
      <c r="O623" s="8">
        <v>394900</v>
      </c>
      <c r="P623" s="1">
        <f>(2522+5696)/12</f>
        <v>684.83333333333337</v>
      </c>
      <c r="R623" s="3">
        <v>1678</v>
      </c>
      <c r="S623" s="12">
        <f t="shared" si="27"/>
        <v>80.316666666666677</v>
      </c>
      <c r="T623" s="3">
        <f t="shared" si="28"/>
        <v>2443.15</v>
      </c>
      <c r="U623" s="8">
        <f t="shared" si="29"/>
        <v>852945.00000000012</v>
      </c>
    </row>
    <row r="624" spans="1:21" ht="14.4" x14ac:dyDescent="0.3">
      <c r="A624" s="13">
        <v>45503</v>
      </c>
      <c r="B624" s="2" t="s">
        <v>1270</v>
      </c>
      <c r="C624" s="2" t="s">
        <v>4</v>
      </c>
      <c r="D624" s="2" t="s">
        <v>162</v>
      </c>
      <c r="E624" s="2" t="s">
        <v>375</v>
      </c>
      <c r="F624" s="2">
        <v>2004</v>
      </c>
      <c r="G624" s="1">
        <v>1082</v>
      </c>
      <c r="H624" s="1">
        <v>1082</v>
      </c>
      <c r="J624" s="2">
        <v>1</v>
      </c>
      <c r="K624" s="2">
        <v>2</v>
      </c>
      <c r="L624" s="2">
        <v>1</v>
      </c>
      <c r="M624" s="2">
        <v>7</v>
      </c>
      <c r="N624" s="9" t="s">
        <v>1269</v>
      </c>
      <c r="O624" s="8">
        <v>399000</v>
      </c>
      <c r="P624" s="1">
        <f>(2556+2628)/12</f>
        <v>432</v>
      </c>
      <c r="R624" s="3">
        <v>1703</v>
      </c>
      <c r="S624" s="12">
        <f t="shared" si="27"/>
        <v>76.116666666666674</v>
      </c>
      <c r="T624" s="3">
        <f t="shared" si="28"/>
        <v>2211.1166666666668</v>
      </c>
      <c r="U624" s="8">
        <f t="shared" si="29"/>
        <v>783335</v>
      </c>
    </row>
    <row r="625" spans="1:21" ht="27.6" x14ac:dyDescent="0.3">
      <c r="A625" s="13">
        <v>45503</v>
      </c>
      <c r="B625" s="10" t="s">
        <v>1268</v>
      </c>
      <c r="C625" s="2" t="s">
        <v>4</v>
      </c>
      <c r="D625" s="2" t="s">
        <v>162</v>
      </c>
      <c r="E625" s="2" t="s">
        <v>375</v>
      </c>
      <c r="F625" s="2">
        <v>1997</v>
      </c>
      <c r="G625" s="1">
        <v>914</v>
      </c>
      <c r="H625" s="1">
        <v>914</v>
      </c>
      <c r="J625" s="2">
        <v>1</v>
      </c>
      <c r="K625" s="2">
        <v>2</v>
      </c>
      <c r="L625" s="2">
        <v>1</v>
      </c>
      <c r="M625" s="2">
        <v>5</v>
      </c>
      <c r="N625" s="9" t="s">
        <v>1267</v>
      </c>
      <c r="O625" s="8">
        <v>399000</v>
      </c>
      <c r="P625" s="1">
        <f>(2264+2400)/12</f>
        <v>388.66666666666669</v>
      </c>
      <c r="R625" s="3">
        <v>1703</v>
      </c>
      <c r="S625" s="12">
        <f t="shared" si="27"/>
        <v>66.316666666666663</v>
      </c>
      <c r="T625" s="3">
        <f t="shared" si="28"/>
        <v>2157.9833333333331</v>
      </c>
      <c r="U625" s="8">
        <f t="shared" si="29"/>
        <v>767394.99999999988</v>
      </c>
    </row>
    <row r="626" spans="1:21" ht="14.4" x14ac:dyDescent="0.3">
      <c r="A626" s="13">
        <v>45503</v>
      </c>
      <c r="B626" s="2" t="s">
        <v>1266</v>
      </c>
      <c r="C626" s="2" t="s">
        <v>4</v>
      </c>
      <c r="D626" s="2" t="s">
        <v>162</v>
      </c>
      <c r="E626" s="2" t="s">
        <v>375</v>
      </c>
      <c r="F626" s="2">
        <v>2013</v>
      </c>
      <c r="G626" s="1">
        <v>792</v>
      </c>
      <c r="H626" s="1">
        <v>792</v>
      </c>
      <c r="J626" s="2">
        <v>1</v>
      </c>
      <c r="K626" s="2">
        <v>1</v>
      </c>
      <c r="L626" s="2">
        <v>1</v>
      </c>
      <c r="M626" s="2">
        <v>4</v>
      </c>
      <c r="N626" s="9" t="s">
        <v>1265</v>
      </c>
      <c r="O626" s="8">
        <v>399000</v>
      </c>
      <c r="P626" s="1">
        <f>(2753+4272)/12</f>
        <v>585.41666666666663</v>
      </c>
      <c r="R626" s="3">
        <v>1703</v>
      </c>
      <c r="S626" s="12">
        <f t="shared" si="27"/>
        <v>59.20000000000001</v>
      </c>
      <c r="T626" s="3">
        <f t="shared" si="28"/>
        <v>2347.6166666666663</v>
      </c>
      <c r="U626" s="8">
        <f t="shared" si="29"/>
        <v>824284.99999999988</v>
      </c>
    </row>
    <row r="627" spans="1:21" ht="14.4" x14ac:dyDescent="0.3">
      <c r="A627" s="13">
        <v>45503</v>
      </c>
      <c r="B627" s="2" t="s">
        <v>1264</v>
      </c>
      <c r="C627" s="2" t="s">
        <v>4</v>
      </c>
      <c r="D627" s="2" t="s">
        <v>162</v>
      </c>
      <c r="E627" s="2" t="s">
        <v>375</v>
      </c>
      <c r="F627" s="2">
        <v>2010</v>
      </c>
      <c r="G627" s="1">
        <v>961</v>
      </c>
      <c r="H627" s="1">
        <v>961</v>
      </c>
      <c r="J627" s="2">
        <v>1</v>
      </c>
      <c r="K627" s="2">
        <v>2</v>
      </c>
      <c r="L627" s="2">
        <v>1</v>
      </c>
      <c r="M627" s="2">
        <v>5</v>
      </c>
      <c r="N627" s="9" t="s">
        <v>1263</v>
      </c>
      <c r="O627" s="8">
        <v>419000</v>
      </c>
      <c r="P627" s="1">
        <f>(2526+2184)/12</f>
        <v>392.5</v>
      </c>
      <c r="R627" s="3">
        <v>1825</v>
      </c>
      <c r="S627" s="12">
        <f t="shared" si="27"/>
        <v>69.058333333333337</v>
      </c>
      <c r="T627" s="3">
        <f t="shared" si="28"/>
        <v>2286.5583333333334</v>
      </c>
      <c r="U627" s="8">
        <f t="shared" si="29"/>
        <v>805967.5</v>
      </c>
    </row>
    <row r="628" spans="1:21" ht="14.4" x14ac:dyDescent="0.3">
      <c r="A628" s="13">
        <v>45503</v>
      </c>
      <c r="B628" s="2" t="s">
        <v>1262</v>
      </c>
      <c r="C628" s="2" t="s">
        <v>4</v>
      </c>
      <c r="D628" s="2" t="s">
        <v>162</v>
      </c>
      <c r="E628" s="2" t="s">
        <v>375</v>
      </c>
      <c r="F628" s="2">
        <v>2009</v>
      </c>
      <c r="G628" s="1">
        <v>1118</v>
      </c>
      <c r="H628" s="1">
        <v>1118</v>
      </c>
      <c r="J628" s="2">
        <v>1</v>
      </c>
      <c r="K628" s="2">
        <v>2</v>
      </c>
      <c r="L628" s="2">
        <v>1</v>
      </c>
      <c r="M628" s="2">
        <v>4</v>
      </c>
      <c r="N628" s="9" t="s">
        <v>1261</v>
      </c>
      <c r="O628" s="8">
        <v>419900</v>
      </c>
      <c r="P628" s="1">
        <f>(2463+2112)/12</f>
        <v>381.25</v>
      </c>
      <c r="R628" s="3">
        <v>1831</v>
      </c>
      <c r="S628" s="12">
        <f t="shared" si="27"/>
        <v>78.216666666666669</v>
      </c>
      <c r="T628" s="3">
        <f t="shared" si="28"/>
        <v>2290.4666666666667</v>
      </c>
      <c r="U628" s="8">
        <f t="shared" si="29"/>
        <v>807140</v>
      </c>
    </row>
    <row r="629" spans="1:21" ht="14.4" x14ac:dyDescent="0.3">
      <c r="A629" s="13">
        <v>45503</v>
      </c>
      <c r="B629" s="2" t="s">
        <v>1260</v>
      </c>
      <c r="C629" s="2" t="s">
        <v>4</v>
      </c>
      <c r="D629" s="2" t="s">
        <v>162</v>
      </c>
      <c r="E629" s="2" t="s">
        <v>375</v>
      </c>
      <c r="F629" s="2">
        <v>2003</v>
      </c>
      <c r="G629" s="1">
        <v>1132</v>
      </c>
      <c r="H629" s="1">
        <v>1132</v>
      </c>
      <c r="J629" s="2">
        <v>1</v>
      </c>
      <c r="K629" s="2">
        <v>2</v>
      </c>
      <c r="L629" s="2">
        <v>2</v>
      </c>
      <c r="M629" s="2">
        <v>8</v>
      </c>
      <c r="N629" s="9" t="s">
        <v>1259</v>
      </c>
      <c r="O629" s="8">
        <v>425000</v>
      </c>
      <c r="P629" s="1">
        <f>(2741+303)/12</f>
        <v>253.66666666666666</v>
      </c>
      <c r="R629" s="3">
        <v>1862</v>
      </c>
      <c r="S629" s="12">
        <f t="shared" si="27"/>
        <v>79.033333333333346</v>
      </c>
      <c r="T629" s="3">
        <f t="shared" si="28"/>
        <v>2194.6999999999998</v>
      </c>
      <c r="U629" s="8">
        <f t="shared" si="29"/>
        <v>778410</v>
      </c>
    </row>
    <row r="630" spans="1:21" ht="14.4" x14ac:dyDescent="0.3">
      <c r="A630" s="13">
        <v>45503</v>
      </c>
      <c r="B630" s="2" t="s">
        <v>1258</v>
      </c>
      <c r="C630" s="2" t="s">
        <v>4</v>
      </c>
      <c r="D630" s="2" t="s">
        <v>162</v>
      </c>
      <c r="E630" s="2" t="s">
        <v>375</v>
      </c>
      <c r="F630" s="2">
        <v>2009</v>
      </c>
      <c r="G630" s="1">
        <v>1160</v>
      </c>
      <c r="H630" s="1">
        <v>1160</v>
      </c>
      <c r="J630" s="2">
        <v>1</v>
      </c>
      <c r="K630" s="2">
        <v>2</v>
      </c>
      <c r="L630" s="2">
        <v>1</v>
      </c>
      <c r="M630" s="2">
        <v>6</v>
      </c>
      <c r="N630" s="9" t="s">
        <v>1257</v>
      </c>
      <c r="O630" s="8">
        <v>429000</v>
      </c>
      <c r="P630" s="1">
        <f>(2635+2163)/12</f>
        <v>399.83333333333331</v>
      </c>
      <c r="R630" s="3">
        <v>1886</v>
      </c>
      <c r="S630" s="12">
        <f t="shared" si="27"/>
        <v>80.666666666666671</v>
      </c>
      <c r="T630" s="3">
        <f t="shared" si="28"/>
        <v>2366.5</v>
      </c>
      <c r="U630" s="8">
        <f t="shared" si="29"/>
        <v>829950</v>
      </c>
    </row>
    <row r="631" spans="1:21" ht="14.4" x14ac:dyDescent="0.3">
      <c r="A631" s="13">
        <v>45503</v>
      </c>
      <c r="B631" s="2" t="s">
        <v>1256</v>
      </c>
      <c r="C631" s="2" t="s">
        <v>4</v>
      </c>
      <c r="D631" s="2" t="s">
        <v>162</v>
      </c>
      <c r="E631" s="2" t="s">
        <v>375</v>
      </c>
      <c r="F631" s="2">
        <v>2009</v>
      </c>
      <c r="G631" s="1">
        <v>1158</v>
      </c>
      <c r="H631" s="1">
        <v>1158</v>
      </c>
      <c r="J631" s="2">
        <v>1</v>
      </c>
      <c r="K631" s="2">
        <v>2</v>
      </c>
      <c r="L631" s="2">
        <v>1</v>
      </c>
      <c r="M631" s="2">
        <v>5</v>
      </c>
      <c r="N631" s="9" t="s">
        <v>1255</v>
      </c>
      <c r="O631" s="8">
        <v>429900</v>
      </c>
      <c r="P631" s="1">
        <f>(2864+2892)/12</f>
        <v>479.66666666666669</v>
      </c>
      <c r="R631" s="3">
        <v>1892</v>
      </c>
      <c r="S631" s="12">
        <f t="shared" si="27"/>
        <v>80.55</v>
      </c>
      <c r="T631" s="3">
        <f t="shared" si="28"/>
        <v>2452.2166666666667</v>
      </c>
      <c r="U631" s="8">
        <f t="shared" si="29"/>
        <v>855665</v>
      </c>
    </row>
    <row r="632" spans="1:21" ht="14.4" x14ac:dyDescent="0.3">
      <c r="A632" s="13">
        <v>45503</v>
      </c>
      <c r="B632" s="2" t="s">
        <v>1254</v>
      </c>
      <c r="C632" s="2" t="s">
        <v>4</v>
      </c>
      <c r="D632" s="2" t="s">
        <v>162</v>
      </c>
      <c r="E632" s="2" t="s">
        <v>375</v>
      </c>
      <c r="F632" s="2">
        <v>2006</v>
      </c>
      <c r="G632" s="1">
        <v>1278</v>
      </c>
      <c r="H632" s="1">
        <v>1278</v>
      </c>
      <c r="J632" s="2">
        <v>1</v>
      </c>
      <c r="K632" s="2">
        <v>2</v>
      </c>
      <c r="L632" s="2">
        <v>2</v>
      </c>
      <c r="M632" s="2">
        <v>9</v>
      </c>
      <c r="N632" s="9" t="s">
        <v>1253</v>
      </c>
      <c r="O632" s="8">
        <v>449000</v>
      </c>
      <c r="P632" s="1">
        <f>(2864+6456)/12</f>
        <v>776.66666666666663</v>
      </c>
      <c r="R632" s="3">
        <v>2008</v>
      </c>
      <c r="S632" s="12">
        <f t="shared" si="27"/>
        <v>87.550000000000011</v>
      </c>
      <c r="T632" s="3">
        <f t="shared" si="28"/>
        <v>2872.2166666666667</v>
      </c>
      <c r="U632" s="8">
        <f t="shared" si="29"/>
        <v>981665</v>
      </c>
    </row>
    <row r="633" spans="1:21" ht="14.4" x14ac:dyDescent="0.3">
      <c r="A633" s="13">
        <v>45503</v>
      </c>
      <c r="B633" s="2" t="s">
        <v>1252</v>
      </c>
      <c r="C633" s="2" t="s">
        <v>4</v>
      </c>
      <c r="D633" s="2" t="s">
        <v>162</v>
      </c>
      <c r="E633" s="2" t="s">
        <v>375</v>
      </c>
      <c r="F633" s="2">
        <v>2009</v>
      </c>
      <c r="G633" s="1">
        <v>1160</v>
      </c>
      <c r="H633" s="1">
        <v>1160</v>
      </c>
      <c r="J633" s="2">
        <v>1</v>
      </c>
      <c r="K633" s="2">
        <v>2</v>
      </c>
      <c r="L633" s="2">
        <v>1</v>
      </c>
      <c r="M633" s="2">
        <v>6</v>
      </c>
      <c r="N633" s="9" t="s">
        <v>1251</v>
      </c>
      <c r="O633" s="8">
        <v>449000</v>
      </c>
      <c r="P633" s="1">
        <f>(2631+2304)/12</f>
        <v>411.25</v>
      </c>
      <c r="R633" s="3">
        <v>2008</v>
      </c>
      <c r="S633" s="12">
        <f t="shared" si="27"/>
        <v>80.666666666666671</v>
      </c>
      <c r="T633" s="3">
        <f t="shared" si="28"/>
        <v>2499.9166666666665</v>
      </c>
      <c r="U633" s="8">
        <f t="shared" si="29"/>
        <v>869975</v>
      </c>
    </row>
    <row r="634" spans="1:21" ht="14.4" x14ac:dyDescent="0.3">
      <c r="A634" s="13">
        <v>45503</v>
      </c>
      <c r="B634" s="2" t="s">
        <v>1250</v>
      </c>
      <c r="C634" s="2" t="s">
        <v>4</v>
      </c>
      <c r="D634" s="2" t="s">
        <v>162</v>
      </c>
      <c r="E634" s="2" t="s">
        <v>375</v>
      </c>
      <c r="F634" s="2">
        <v>2006</v>
      </c>
      <c r="G634" s="1">
        <v>970</v>
      </c>
      <c r="H634" s="1">
        <v>970</v>
      </c>
      <c r="J634" s="2">
        <v>1</v>
      </c>
      <c r="K634" s="2">
        <v>2</v>
      </c>
      <c r="L634" s="2">
        <v>1</v>
      </c>
      <c r="M634" s="2">
        <v>6</v>
      </c>
      <c r="N634" s="9" t="s">
        <v>1249</v>
      </c>
      <c r="O634" s="8">
        <v>449000</v>
      </c>
      <c r="P634" s="1">
        <f>(2713+2940)/12</f>
        <v>471.08333333333331</v>
      </c>
      <c r="R634" s="3">
        <v>2008</v>
      </c>
      <c r="S634" s="12">
        <f t="shared" si="27"/>
        <v>69.583333333333343</v>
      </c>
      <c r="T634" s="3">
        <f t="shared" si="28"/>
        <v>2548.666666666667</v>
      </c>
      <c r="U634" s="8">
        <f t="shared" si="29"/>
        <v>884600.00000000012</v>
      </c>
    </row>
    <row r="635" spans="1:21" ht="14.4" x14ac:dyDescent="0.3">
      <c r="A635" s="13">
        <v>45503</v>
      </c>
      <c r="B635" s="2" t="s">
        <v>1248</v>
      </c>
      <c r="C635" s="2" t="s">
        <v>4</v>
      </c>
      <c r="D635" s="2" t="s">
        <v>162</v>
      </c>
      <c r="E635" s="2" t="s">
        <v>375</v>
      </c>
      <c r="F635" s="2">
        <v>2011</v>
      </c>
      <c r="G635" s="1">
        <v>1060</v>
      </c>
      <c r="H635" s="1">
        <v>1060</v>
      </c>
      <c r="J635" s="2">
        <v>1</v>
      </c>
      <c r="K635" s="2">
        <v>2</v>
      </c>
      <c r="L635" s="2">
        <v>1</v>
      </c>
      <c r="M635" s="2">
        <v>5</v>
      </c>
      <c r="N635" s="9" t="s">
        <v>1247</v>
      </c>
      <c r="O635" s="8">
        <v>469000</v>
      </c>
      <c r="P635" s="1">
        <f>(2945+5372)/12</f>
        <v>693.08333333333337</v>
      </c>
      <c r="R635" s="3">
        <v>2130</v>
      </c>
      <c r="S635" s="12">
        <f t="shared" si="27"/>
        <v>74.833333333333343</v>
      </c>
      <c r="T635" s="3">
        <f t="shared" si="28"/>
        <v>2897.916666666667</v>
      </c>
      <c r="U635" s="8">
        <f t="shared" si="29"/>
        <v>989375</v>
      </c>
    </row>
    <row r="636" spans="1:21" ht="14.4" x14ac:dyDescent="0.3">
      <c r="A636" s="13">
        <v>45503</v>
      </c>
      <c r="B636" s="2" t="s">
        <v>1246</v>
      </c>
      <c r="C636" s="2" t="s">
        <v>4</v>
      </c>
      <c r="D636" s="2" t="s">
        <v>162</v>
      </c>
      <c r="E636" s="2" t="s">
        <v>375</v>
      </c>
      <c r="F636" s="2">
        <v>2010</v>
      </c>
      <c r="G636" s="1">
        <v>1090</v>
      </c>
      <c r="H636" s="1">
        <v>1090</v>
      </c>
      <c r="J636" s="2">
        <v>1</v>
      </c>
      <c r="K636" s="2">
        <v>3</v>
      </c>
      <c r="L636" s="2">
        <v>1</v>
      </c>
      <c r="M636" s="2">
        <v>7</v>
      </c>
      <c r="N636" s="9" t="s">
        <v>1245</v>
      </c>
      <c r="O636" s="8">
        <v>469000</v>
      </c>
      <c r="P636" s="1">
        <f>(2885+1500)/12</f>
        <v>365.41666666666669</v>
      </c>
      <c r="R636" s="3">
        <v>2130</v>
      </c>
      <c r="S636" s="12">
        <f t="shared" si="27"/>
        <v>76.583333333333343</v>
      </c>
      <c r="T636" s="3">
        <f t="shared" si="28"/>
        <v>2572</v>
      </c>
      <c r="U636" s="8">
        <f t="shared" si="29"/>
        <v>891600</v>
      </c>
    </row>
    <row r="637" spans="1:21" ht="14.4" x14ac:dyDescent="0.3">
      <c r="A637" s="13">
        <v>45503</v>
      </c>
      <c r="B637" s="2" t="s">
        <v>1244</v>
      </c>
      <c r="C637" s="2" t="s">
        <v>4</v>
      </c>
      <c r="D637" s="2" t="s">
        <v>162</v>
      </c>
      <c r="E637" s="2" t="s">
        <v>375</v>
      </c>
      <c r="F637" s="2">
        <v>2011</v>
      </c>
      <c r="G637" s="1">
        <v>1065</v>
      </c>
      <c r="H637" s="1">
        <v>1065</v>
      </c>
      <c r="J637" s="2">
        <v>1</v>
      </c>
      <c r="K637" s="2">
        <v>2</v>
      </c>
      <c r="L637" s="2">
        <v>1</v>
      </c>
      <c r="M637" s="2">
        <v>9</v>
      </c>
      <c r="N637" s="9" t="s">
        <v>1243</v>
      </c>
      <c r="O637" s="8">
        <v>475000</v>
      </c>
      <c r="P637" s="1">
        <f>(2906+2064)/12</f>
        <v>414.16666666666669</v>
      </c>
      <c r="R637" s="3">
        <v>2167</v>
      </c>
      <c r="S637" s="12">
        <f t="shared" si="27"/>
        <v>75.125</v>
      </c>
      <c r="T637" s="3">
        <f t="shared" si="28"/>
        <v>2656.2916666666665</v>
      </c>
      <c r="U637" s="8">
        <f t="shared" si="29"/>
        <v>916887.5</v>
      </c>
    </row>
    <row r="638" spans="1:21" ht="14.4" x14ac:dyDescent="0.3">
      <c r="A638" s="13">
        <v>45503</v>
      </c>
      <c r="B638" s="2" t="s">
        <v>1242</v>
      </c>
      <c r="C638" s="2" t="s">
        <v>4</v>
      </c>
      <c r="D638" s="2" t="s">
        <v>162</v>
      </c>
      <c r="E638" s="2" t="s">
        <v>375</v>
      </c>
      <c r="F638" s="2">
        <v>2013</v>
      </c>
      <c r="G638" s="1">
        <v>993</v>
      </c>
      <c r="H638" s="1">
        <v>993</v>
      </c>
      <c r="J638" s="2">
        <v>1</v>
      </c>
      <c r="K638" s="2">
        <v>2</v>
      </c>
      <c r="L638" s="2">
        <v>1</v>
      </c>
      <c r="M638" s="2">
        <v>5</v>
      </c>
      <c r="N638" s="9" t="s">
        <v>1241</v>
      </c>
      <c r="O638" s="8">
        <v>479900</v>
      </c>
      <c r="P638" s="1">
        <f>(3052+2916)/12</f>
        <v>497.33333333333331</v>
      </c>
      <c r="R638" s="3">
        <v>2197</v>
      </c>
      <c r="S638" s="12">
        <f t="shared" si="27"/>
        <v>70.925000000000011</v>
      </c>
      <c r="T638" s="3">
        <f t="shared" si="28"/>
        <v>2765.2583333333337</v>
      </c>
      <c r="U638" s="8">
        <f t="shared" si="29"/>
        <v>949577.50000000012</v>
      </c>
    </row>
    <row r="639" spans="1:21" ht="14.4" x14ac:dyDescent="0.3">
      <c r="A639" s="13">
        <v>45503</v>
      </c>
      <c r="B639" s="2" t="s">
        <v>1240</v>
      </c>
      <c r="C639" s="2" t="s">
        <v>4</v>
      </c>
      <c r="D639" s="2" t="s">
        <v>162</v>
      </c>
      <c r="E639" s="2" t="s">
        <v>375</v>
      </c>
      <c r="F639" s="2">
        <v>2013</v>
      </c>
      <c r="G639" s="1">
        <v>1014</v>
      </c>
      <c r="H639" s="1">
        <v>1014</v>
      </c>
      <c r="J639" s="2">
        <v>1</v>
      </c>
      <c r="K639" s="2">
        <v>2</v>
      </c>
      <c r="L639" s="2">
        <v>2</v>
      </c>
      <c r="M639" s="2">
        <v>11</v>
      </c>
      <c r="N639" s="9" t="s">
        <v>1239</v>
      </c>
      <c r="O639" s="8">
        <v>484500</v>
      </c>
      <c r="P639" s="1">
        <f>(3338+3948)/12</f>
        <v>607.16666666666663</v>
      </c>
      <c r="R639" s="3">
        <v>2225</v>
      </c>
      <c r="S639" s="12">
        <f t="shared" si="27"/>
        <v>72.150000000000006</v>
      </c>
      <c r="T639" s="3">
        <f t="shared" si="28"/>
        <v>2904.3166666666666</v>
      </c>
      <c r="U639" s="8">
        <f t="shared" si="29"/>
        <v>991295.00000000012</v>
      </c>
    </row>
    <row r="640" spans="1:21" ht="14.4" x14ac:dyDescent="0.3">
      <c r="A640" s="13">
        <v>45503</v>
      </c>
      <c r="B640" s="2" t="s">
        <v>1238</v>
      </c>
      <c r="C640" s="2" t="s">
        <v>4</v>
      </c>
      <c r="D640" s="2" t="s">
        <v>162</v>
      </c>
      <c r="E640" s="2" t="s">
        <v>375</v>
      </c>
      <c r="F640" s="2">
        <v>2013</v>
      </c>
      <c r="G640" s="1">
        <v>830</v>
      </c>
      <c r="H640" s="1">
        <v>830</v>
      </c>
      <c r="J640" s="2">
        <v>1</v>
      </c>
      <c r="K640" s="2">
        <v>1</v>
      </c>
      <c r="L640" s="2">
        <v>1</v>
      </c>
      <c r="M640" s="2">
        <v>6</v>
      </c>
      <c r="N640" s="9" t="s">
        <v>1237</v>
      </c>
      <c r="O640" s="8">
        <v>499000</v>
      </c>
      <c r="P640" s="1">
        <f>(4001+6024)/12</f>
        <v>835.41666666666663</v>
      </c>
      <c r="R640" s="3">
        <v>2313</v>
      </c>
      <c r="S640" s="12">
        <f t="shared" si="27"/>
        <v>61.416666666666664</v>
      </c>
      <c r="T640" s="3">
        <f t="shared" si="28"/>
        <v>3209.833333333333</v>
      </c>
      <c r="U640" s="8">
        <f t="shared" si="29"/>
        <v>1082950</v>
      </c>
    </row>
    <row r="641" spans="1:21" ht="14.4" x14ac:dyDescent="0.3">
      <c r="A641" s="13">
        <v>45503</v>
      </c>
      <c r="B641" s="2" t="s">
        <v>1236</v>
      </c>
      <c r="C641" s="2" t="s">
        <v>4</v>
      </c>
      <c r="D641" s="2" t="s">
        <v>162</v>
      </c>
      <c r="E641" s="2" t="s">
        <v>375</v>
      </c>
      <c r="F641" s="2">
        <v>2019</v>
      </c>
      <c r="G641" s="1">
        <v>964</v>
      </c>
      <c r="H641" s="1">
        <v>964</v>
      </c>
      <c r="J641" s="2">
        <v>1</v>
      </c>
      <c r="K641" s="2">
        <v>2</v>
      </c>
      <c r="L641" s="2">
        <v>1</v>
      </c>
      <c r="M641" s="2">
        <v>9</v>
      </c>
      <c r="N641" s="9" t="s">
        <v>1235</v>
      </c>
      <c r="O641" s="8">
        <v>524900</v>
      </c>
      <c r="P641" s="1">
        <f>(3156+4320)/12</f>
        <v>623</v>
      </c>
      <c r="R641" s="3">
        <v>2471</v>
      </c>
      <c r="S641" s="12">
        <f t="shared" si="27"/>
        <v>69.233333333333348</v>
      </c>
      <c r="T641" s="3">
        <f t="shared" si="28"/>
        <v>3163.2333333333336</v>
      </c>
      <c r="U641" s="8">
        <f t="shared" si="29"/>
        <v>1068970</v>
      </c>
    </row>
    <row r="642" spans="1:21" ht="14.4" x14ac:dyDescent="0.3">
      <c r="A642" s="13">
        <v>45503</v>
      </c>
      <c r="B642" s="2" t="s">
        <v>1234</v>
      </c>
      <c r="C642" s="2" t="s">
        <v>4</v>
      </c>
      <c r="D642" s="2" t="s">
        <v>162</v>
      </c>
      <c r="E642" s="2" t="s">
        <v>375</v>
      </c>
      <c r="F642" s="2">
        <v>2010</v>
      </c>
      <c r="G642" s="1">
        <v>1203</v>
      </c>
      <c r="H642" s="1">
        <v>1203</v>
      </c>
      <c r="J642" s="2">
        <v>1</v>
      </c>
      <c r="K642" s="2">
        <v>2</v>
      </c>
      <c r="L642" s="2">
        <v>1</v>
      </c>
      <c r="M642" s="2">
        <v>6</v>
      </c>
      <c r="N642" s="9" t="s">
        <v>1233</v>
      </c>
      <c r="O642" s="8">
        <v>549000</v>
      </c>
      <c r="P642" s="1">
        <f>(3405+7094)/12</f>
        <v>874.91666666666663</v>
      </c>
      <c r="R642" s="3">
        <v>2619</v>
      </c>
      <c r="S642" s="12">
        <f t="shared" ref="S642:S705" si="30">13+(G642*10*0.07)/12</f>
        <v>83.175000000000011</v>
      </c>
      <c r="T642" s="3">
        <f t="shared" ref="T642:T705" si="31">P642+R642+S642</f>
        <v>3577.0916666666667</v>
      </c>
      <c r="U642" s="8">
        <f t="shared" ref="U642:U705" si="32">120000+T642*12*25</f>
        <v>1193127.5</v>
      </c>
    </row>
    <row r="643" spans="1:21" ht="14.4" x14ac:dyDescent="0.3">
      <c r="A643" s="13">
        <v>45503</v>
      </c>
      <c r="B643" s="2" t="s">
        <v>1232</v>
      </c>
      <c r="C643" s="2" t="s">
        <v>4</v>
      </c>
      <c r="D643" s="2" t="s">
        <v>162</v>
      </c>
      <c r="E643" s="2" t="s">
        <v>375</v>
      </c>
      <c r="F643" s="2">
        <v>2012</v>
      </c>
      <c r="G643" s="1">
        <v>1071</v>
      </c>
      <c r="H643" s="1">
        <v>1071</v>
      </c>
      <c r="J643" s="2">
        <v>1</v>
      </c>
      <c r="K643" s="2">
        <v>2</v>
      </c>
      <c r="L643" s="2">
        <v>1</v>
      </c>
      <c r="M643" s="2">
        <v>7</v>
      </c>
      <c r="N643" s="9" t="s">
        <v>1231</v>
      </c>
      <c r="O643" s="8">
        <v>549000</v>
      </c>
      <c r="P643" s="1">
        <f>(3431+5160)/12</f>
        <v>715.91666666666663</v>
      </c>
      <c r="R643" s="3">
        <v>2619</v>
      </c>
      <c r="S643" s="12">
        <f t="shared" si="30"/>
        <v>75.474999999999994</v>
      </c>
      <c r="T643" s="3">
        <f t="shared" si="31"/>
        <v>3410.3916666666664</v>
      </c>
      <c r="U643" s="8">
        <f t="shared" si="32"/>
        <v>1143117.5</v>
      </c>
    </row>
    <row r="644" spans="1:21" ht="14.4" x14ac:dyDescent="0.3">
      <c r="A644" s="13">
        <v>45503</v>
      </c>
      <c r="B644" s="2" t="s">
        <v>1230</v>
      </c>
      <c r="C644" s="2" t="s">
        <v>4</v>
      </c>
      <c r="D644" s="2" t="s">
        <v>162</v>
      </c>
      <c r="E644" s="2" t="s">
        <v>375</v>
      </c>
      <c r="F644" s="2">
        <v>2011</v>
      </c>
      <c r="G644" s="1">
        <v>1063</v>
      </c>
      <c r="H644" s="1">
        <v>1063</v>
      </c>
      <c r="I644" s="2"/>
      <c r="J644" s="2">
        <v>1</v>
      </c>
      <c r="K644" s="2">
        <v>2</v>
      </c>
      <c r="L644" s="2">
        <v>1</v>
      </c>
      <c r="M644" s="2">
        <v>8</v>
      </c>
      <c r="N644" s="9" t="s">
        <v>1229</v>
      </c>
      <c r="O644" s="8">
        <v>549000</v>
      </c>
      <c r="P644" s="1">
        <f>(3206+3852)/12</f>
        <v>588.16666666666663</v>
      </c>
      <c r="R644" s="3">
        <v>2619</v>
      </c>
      <c r="S644" s="12">
        <f t="shared" si="30"/>
        <v>75.008333333333326</v>
      </c>
      <c r="T644" s="3">
        <f t="shared" si="31"/>
        <v>3282.1749999999997</v>
      </c>
      <c r="U644" s="8">
        <f t="shared" si="32"/>
        <v>1104652.5</v>
      </c>
    </row>
    <row r="645" spans="1:21" ht="14.4" x14ac:dyDescent="0.3">
      <c r="A645" s="13">
        <v>45503</v>
      </c>
      <c r="B645" s="2" t="s">
        <v>1228</v>
      </c>
      <c r="C645" s="2" t="s">
        <v>4</v>
      </c>
      <c r="D645" s="2" t="s">
        <v>162</v>
      </c>
      <c r="E645" s="2" t="s">
        <v>375</v>
      </c>
      <c r="F645" s="2">
        <v>2012</v>
      </c>
      <c r="G645" s="1">
        <v>1060</v>
      </c>
      <c r="H645" s="1">
        <v>1060</v>
      </c>
      <c r="J645" s="2">
        <v>1</v>
      </c>
      <c r="K645" s="2">
        <v>2</v>
      </c>
      <c r="L645" s="2">
        <v>2</v>
      </c>
      <c r="M645" s="2">
        <v>9</v>
      </c>
      <c r="N645" s="9" t="s">
        <v>1227</v>
      </c>
      <c r="O645" s="8">
        <v>550000</v>
      </c>
      <c r="P645" s="1">
        <f>(3674+5880)/12</f>
        <v>796.16666666666663</v>
      </c>
      <c r="R645" s="3">
        <v>2625</v>
      </c>
      <c r="S645" s="12">
        <f t="shared" si="30"/>
        <v>74.833333333333343</v>
      </c>
      <c r="T645" s="3">
        <f t="shared" si="31"/>
        <v>3496</v>
      </c>
      <c r="U645" s="8">
        <f t="shared" si="32"/>
        <v>1168800</v>
      </c>
    </row>
    <row r="646" spans="1:21" ht="14.4" x14ac:dyDescent="0.3">
      <c r="A646" s="13">
        <v>45503</v>
      </c>
      <c r="B646" s="2" t="s">
        <v>1226</v>
      </c>
      <c r="C646" s="2" t="s">
        <v>4</v>
      </c>
      <c r="D646" s="2" t="s">
        <v>162</v>
      </c>
      <c r="E646" s="2" t="s">
        <v>375</v>
      </c>
      <c r="F646" s="2">
        <v>2005</v>
      </c>
      <c r="G646" s="1">
        <v>1203</v>
      </c>
      <c r="H646" s="1">
        <v>1203</v>
      </c>
      <c r="J646" s="2">
        <v>1</v>
      </c>
      <c r="K646" s="2">
        <v>2</v>
      </c>
      <c r="L646" s="2">
        <v>2</v>
      </c>
      <c r="M646" s="2">
        <v>5</v>
      </c>
      <c r="N646" s="9" t="s">
        <v>1225</v>
      </c>
      <c r="O646" s="8">
        <v>569000</v>
      </c>
      <c r="P646" s="1">
        <f>(3838+7428)/12</f>
        <v>938.83333333333337</v>
      </c>
      <c r="R646" s="3">
        <v>2741</v>
      </c>
      <c r="S646" s="12">
        <f t="shared" si="30"/>
        <v>83.175000000000011</v>
      </c>
      <c r="T646" s="3">
        <f t="shared" si="31"/>
        <v>3763.0083333333337</v>
      </c>
      <c r="U646" s="8">
        <f t="shared" si="32"/>
        <v>1248902.5000000002</v>
      </c>
    </row>
    <row r="647" spans="1:21" ht="14.4" x14ac:dyDescent="0.3">
      <c r="A647" s="13">
        <v>45503</v>
      </c>
      <c r="B647" s="2" t="s">
        <v>1224</v>
      </c>
      <c r="C647" s="2" t="s">
        <v>4</v>
      </c>
      <c r="D647" s="2" t="s">
        <v>162</v>
      </c>
      <c r="E647" s="2" t="s">
        <v>375</v>
      </c>
      <c r="F647" s="2">
        <v>2019</v>
      </c>
      <c r="G647" s="1">
        <v>1011</v>
      </c>
      <c r="H647" s="1">
        <v>1011</v>
      </c>
      <c r="J647" s="2">
        <v>1</v>
      </c>
      <c r="K647" s="2">
        <v>2</v>
      </c>
      <c r="L647" s="2">
        <v>2</v>
      </c>
      <c r="M647" s="2">
        <v>7</v>
      </c>
      <c r="N647" s="9" t="s">
        <v>1223</v>
      </c>
      <c r="O647" s="8">
        <v>584000</v>
      </c>
      <c r="P647" s="1">
        <f>(3792+5161)/12</f>
        <v>746.08333333333337</v>
      </c>
      <c r="R647" s="3">
        <v>2832</v>
      </c>
      <c r="S647" s="12">
        <f t="shared" si="30"/>
        <v>71.974999999999994</v>
      </c>
      <c r="T647" s="3">
        <f t="shared" si="31"/>
        <v>3650.0583333333334</v>
      </c>
      <c r="U647" s="8">
        <f t="shared" si="32"/>
        <v>1215017.5</v>
      </c>
    </row>
    <row r="648" spans="1:21" ht="14.4" x14ac:dyDescent="0.3">
      <c r="A648" s="13">
        <v>45503</v>
      </c>
      <c r="B648" s="2" t="s">
        <v>1222</v>
      </c>
      <c r="C648" s="2" t="s">
        <v>4</v>
      </c>
      <c r="D648" s="2" t="s">
        <v>162</v>
      </c>
      <c r="E648" s="2" t="s">
        <v>375</v>
      </c>
      <c r="F648" s="2">
        <v>2013</v>
      </c>
      <c r="G648" s="1">
        <v>1035</v>
      </c>
      <c r="H648" s="1">
        <v>1035</v>
      </c>
      <c r="J648" s="2">
        <v>1</v>
      </c>
      <c r="K648" s="2">
        <v>2</v>
      </c>
      <c r="L648" s="2">
        <v>2</v>
      </c>
      <c r="M648" s="2">
        <v>7</v>
      </c>
      <c r="N648" s="9" t="s">
        <v>1221</v>
      </c>
      <c r="O648" s="8">
        <v>584000</v>
      </c>
      <c r="P648" s="1">
        <f>(3991+4188)/12</f>
        <v>681.58333333333337</v>
      </c>
      <c r="R648" s="3">
        <v>2832</v>
      </c>
      <c r="S648" s="12">
        <f t="shared" si="30"/>
        <v>73.375</v>
      </c>
      <c r="T648" s="3">
        <f t="shared" si="31"/>
        <v>3586.9583333333335</v>
      </c>
      <c r="U648" s="8">
        <f t="shared" si="32"/>
        <v>1196087.5</v>
      </c>
    </row>
    <row r="649" spans="1:21" ht="14.4" x14ac:dyDescent="0.3">
      <c r="A649" s="13">
        <v>45503</v>
      </c>
      <c r="B649" s="2" t="s">
        <v>1220</v>
      </c>
      <c r="C649" s="2" t="s">
        <v>4</v>
      </c>
      <c r="D649" s="2" t="s">
        <v>162</v>
      </c>
      <c r="E649" s="2" t="s">
        <v>375</v>
      </c>
      <c r="F649" s="2">
        <v>2014</v>
      </c>
      <c r="G649" s="1">
        <v>1038</v>
      </c>
      <c r="H649" s="1">
        <v>1038</v>
      </c>
      <c r="J649" s="2">
        <v>1</v>
      </c>
      <c r="K649" s="2">
        <v>2</v>
      </c>
      <c r="L649" s="2">
        <v>2</v>
      </c>
      <c r="M649" s="2">
        <v>8</v>
      </c>
      <c r="N649" s="9" t="s">
        <v>1219</v>
      </c>
      <c r="O649" s="8">
        <v>595000</v>
      </c>
      <c r="P649" s="1">
        <f>(3819+5700)/12</f>
        <v>793.25</v>
      </c>
      <c r="R649" s="3">
        <v>2899</v>
      </c>
      <c r="S649" s="12">
        <f t="shared" si="30"/>
        <v>73.550000000000011</v>
      </c>
      <c r="T649" s="3">
        <f t="shared" si="31"/>
        <v>3765.8</v>
      </c>
      <c r="U649" s="8">
        <f t="shared" si="32"/>
        <v>1249740.0000000002</v>
      </c>
    </row>
    <row r="650" spans="1:21" ht="14.4" x14ac:dyDescent="0.3">
      <c r="A650" s="13">
        <v>45503</v>
      </c>
      <c r="B650" s="2" t="s">
        <v>1218</v>
      </c>
      <c r="C650" s="2" t="s">
        <v>4</v>
      </c>
      <c r="D650" s="2" t="s">
        <v>162</v>
      </c>
      <c r="E650" s="2" t="s">
        <v>375</v>
      </c>
      <c r="F650" s="2">
        <v>2024</v>
      </c>
      <c r="G650" s="1">
        <v>1038</v>
      </c>
      <c r="H650" s="1">
        <v>1038</v>
      </c>
      <c r="J650" s="2">
        <v>1</v>
      </c>
      <c r="K650" s="2">
        <v>2</v>
      </c>
      <c r="L650" s="2">
        <v>1</v>
      </c>
      <c r="M650" s="2">
        <v>5</v>
      </c>
      <c r="N650" s="9" t="s">
        <v>1217</v>
      </c>
      <c r="O650" s="8">
        <v>595000</v>
      </c>
      <c r="P650" s="2">
        <v>700</v>
      </c>
      <c r="Q650" s="1" t="s">
        <v>25</v>
      </c>
      <c r="R650" s="3">
        <v>2899</v>
      </c>
      <c r="S650" s="12">
        <f t="shared" si="30"/>
        <v>73.550000000000011</v>
      </c>
      <c r="T650" s="3">
        <f t="shared" si="31"/>
        <v>3672.55</v>
      </c>
      <c r="U650" s="8">
        <f t="shared" si="32"/>
        <v>1221765.0000000002</v>
      </c>
    </row>
    <row r="651" spans="1:21" ht="14.4" x14ac:dyDescent="0.3">
      <c r="A651" s="13">
        <v>45503</v>
      </c>
      <c r="B651" s="2" t="s">
        <v>1216</v>
      </c>
      <c r="C651" s="2" t="s">
        <v>4</v>
      </c>
      <c r="D651" s="2" t="s">
        <v>162</v>
      </c>
      <c r="E651" s="2" t="s">
        <v>375</v>
      </c>
      <c r="F651" s="2">
        <v>2012</v>
      </c>
      <c r="G651" s="1">
        <v>1381</v>
      </c>
      <c r="H651" s="1">
        <v>1381</v>
      </c>
      <c r="I651" s="2"/>
      <c r="J651" s="2">
        <v>1</v>
      </c>
      <c r="K651" s="2">
        <v>3</v>
      </c>
      <c r="L651" s="2">
        <v>2</v>
      </c>
      <c r="M651" s="2">
        <v>10</v>
      </c>
      <c r="N651" s="9" t="s">
        <v>1215</v>
      </c>
      <c r="O651" s="8">
        <v>660000</v>
      </c>
      <c r="P651" s="1">
        <f>(4364+7536)/12</f>
        <v>991.66666666666663</v>
      </c>
      <c r="R651" s="3">
        <v>3296</v>
      </c>
      <c r="S651" s="12">
        <f t="shared" si="30"/>
        <v>93.558333333333337</v>
      </c>
      <c r="T651" s="3">
        <f t="shared" si="31"/>
        <v>4381.2250000000004</v>
      </c>
      <c r="U651" s="8">
        <f t="shared" si="32"/>
        <v>1434367.5</v>
      </c>
    </row>
    <row r="652" spans="1:21" ht="14.4" x14ac:dyDescent="0.3">
      <c r="A652" s="13">
        <v>45503</v>
      </c>
      <c r="B652" s="2" t="s">
        <v>1214</v>
      </c>
      <c r="C652" s="2" t="s">
        <v>4</v>
      </c>
      <c r="D652" s="2" t="s">
        <v>162</v>
      </c>
      <c r="E652" s="2" t="s">
        <v>375</v>
      </c>
      <c r="F652" s="2">
        <v>2024</v>
      </c>
      <c r="G652" s="1">
        <v>1166</v>
      </c>
      <c r="H652" s="1">
        <v>1166</v>
      </c>
      <c r="J652" s="2">
        <v>1</v>
      </c>
      <c r="K652" s="2">
        <v>2</v>
      </c>
      <c r="L652" s="2">
        <v>2</v>
      </c>
      <c r="M652" s="2">
        <v>5</v>
      </c>
      <c r="N652" s="9" t="s">
        <v>1213</v>
      </c>
      <c r="O652" s="8">
        <v>688000</v>
      </c>
      <c r="P652" s="2">
        <v>800</v>
      </c>
      <c r="Q652" s="1" t="s">
        <v>25</v>
      </c>
      <c r="R652" s="3">
        <v>3467</v>
      </c>
      <c r="S652" s="12">
        <f t="shared" si="30"/>
        <v>81.016666666666666</v>
      </c>
      <c r="T652" s="3">
        <f t="shared" si="31"/>
        <v>4348.0166666666664</v>
      </c>
      <c r="U652" s="8">
        <f t="shared" si="32"/>
        <v>1424405</v>
      </c>
    </row>
    <row r="653" spans="1:21" ht="14.4" x14ac:dyDescent="0.3">
      <c r="A653" s="13">
        <v>45503</v>
      </c>
      <c r="B653" s="2" t="s">
        <v>1212</v>
      </c>
      <c r="C653" s="2" t="s">
        <v>4</v>
      </c>
      <c r="D653" s="2" t="s">
        <v>162</v>
      </c>
      <c r="E653" s="2" t="s">
        <v>375</v>
      </c>
      <c r="F653" s="2">
        <v>2021</v>
      </c>
      <c r="G653" s="1">
        <v>1097</v>
      </c>
      <c r="H653" s="1">
        <v>1097</v>
      </c>
      <c r="J653" s="2">
        <v>1</v>
      </c>
      <c r="K653" s="2">
        <v>2</v>
      </c>
      <c r="L653" s="2">
        <v>2</v>
      </c>
      <c r="M653" s="2">
        <v>5</v>
      </c>
      <c r="N653" s="9" t="s">
        <v>1211</v>
      </c>
      <c r="O653" s="8">
        <v>699000</v>
      </c>
      <c r="P653" s="1">
        <f>(4790+5196)/12</f>
        <v>832.16666666666663</v>
      </c>
      <c r="R653" s="3">
        <v>3534</v>
      </c>
      <c r="S653" s="12">
        <f t="shared" si="30"/>
        <v>76.991666666666674</v>
      </c>
      <c r="T653" s="3">
        <f t="shared" si="31"/>
        <v>4443.1583333333338</v>
      </c>
      <c r="U653" s="8">
        <f t="shared" si="32"/>
        <v>1452947.5000000002</v>
      </c>
    </row>
    <row r="654" spans="1:21" ht="14.4" x14ac:dyDescent="0.3">
      <c r="A654" s="13">
        <v>45503</v>
      </c>
      <c r="B654" s="2" t="s">
        <v>1210</v>
      </c>
      <c r="C654" s="2" t="s">
        <v>4</v>
      </c>
      <c r="D654" s="2" t="s">
        <v>162</v>
      </c>
      <c r="E654" s="2" t="s">
        <v>375</v>
      </c>
      <c r="F654" s="2">
        <v>2024</v>
      </c>
      <c r="G654" s="1">
        <v>1121</v>
      </c>
      <c r="H654" s="1">
        <v>1121</v>
      </c>
      <c r="J654" s="2">
        <v>1</v>
      </c>
      <c r="K654" s="2">
        <v>2</v>
      </c>
      <c r="L654" s="2">
        <v>2</v>
      </c>
      <c r="M654" s="2">
        <v>5</v>
      </c>
      <c r="N654" s="9" t="s">
        <v>1209</v>
      </c>
      <c r="O654" s="8">
        <v>720000</v>
      </c>
      <c r="P654" s="2">
        <v>800</v>
      </c>
      <c r="Q654" s="1" t="s">
        <v>25</v>
      </c>
      <c r="R654" s="3">
        <v>3662</v>
      </c>
      <c r="S654" s="12">
        <f t="shared" si="30"/>
        <v>78.391666666666666</v>
      </c>
      <c r="T654" s="3">
        <f t="shared" si="31"/>
        <v>4540.3916666666664</v>
      </c>
      <c r="U654" s="8">
        <f t="shared" si="32"/>
        <v>1482117.5</v>
      </c>
    </row>
    <row r="655" spans="1:21" ht="14.4" x14ac:dyDescent="0.3">
      <c r="A655" s="13">
        <v>45503</v>
      </c>
      <c r="B655" s="2" t="s">
        <v>1208</v>
      </c>
      <c r="C655" s="2" t="s">
        <v>4</v>
      </c>
      <c r="D655" s="2" t="s">
        <v>162</v>
      </c>
      <c r="E655" s="2" t="s">
        <v>375</v>
      </c>
      <c r="F655" s="2">
        <v>2021</v>
      </c>
      <c r="G655" s="1">
        <v>1112</v>
      </c>
      <c r="H655" s="1">
        <v>1112</v>
      </c>
      <c r="J655" s="2">
        <v>1</v>
      </c>
      <c r="K655" s="2">
        <v>2</v>
      </c>
      <c r="L655" s="2">
        <v>2</v>
      </c>
      <c r="M655" s="2">
        <v>5</v>
      </c>
      <c r="N655" s="9" t="s">
        <v>1207</v>
      </c>
      <c r="O655" s="8">
        <v>729000</v>
      </c>
      <c r="P655" s="1">
        <f>(4535+5412)/12</f>
        <v>828.91666666666663</v>
      </c>
      <c r="R655" s="3">
        <v>3717</v>
      </c>
      <c r="S655" s="12">
        <f t="shared" si="30"/>
        <v>77.866666666666674</v>
      </c>
      <c r="T655" s="3">
        <f t="shared" si="31"/>
        <v>4623.7833333333338</v>
      </c>
      <c r="U655" s="8">
        <f t="shared" si="32"/>
        <v>1507135.0000000002</v>
      </c>
    </row>
    <row r="656" spans="1:21" ht="14.4" x14ac:dyDescent="0.3">
      <c r="A656" s="13">
        <v>45503</v>
      </c>
      <c r="B656" s="2" t="s">
        <v>1206</v>
      </c>
      <c r="C656" s="2" t="s">
        <v>4</v>
      </c>
      <c r="D656" s="2" t="s">
        <v>162</v>
      </c>
      <c r="E656" s="2" t="s">
        <v>375</v>
      </c>
      <c r="F656" s="2">
        <v>2024</v>
      </c>
      <c r="G656" s="1">
        <v>1220</v>
      </c>
      <c r="H656" s="1">
        <v>1220</v>
      </c>
      <c r="J656" s="2">
        <v>1</v>
      </c>
      <c r="K656" s="2">
        <v>2</v>
      </c>
      <c r="L656" s="2">
        <v>2</v>
      </c>
      <c r="M656" s="2">
        <v>5</v>
      </c>
      <c r="N656" s="9" t="s">
        <v>1205</v>
      </c>
      <c r="O656" s="8">
        <v>730000</v>
      </c>
      <c r="P656" s="1">
        <v>900</v>
      </c>
      <c r="Q656" s="1" t="s">
        <v>25</v>
      </c>
      <c r="R656" s="3">
        <v>3723</v>
      </c>
      <c r="S656" s="12">
        <f t="shared" si="30"/>
        <v>84.166666666666671</v>
      </c>
      <c r="T656" s="3">
        <f t="shared" si="31"/>
        <v>4707.166666666667</v>
      </c>
      <c r="U656" s="8">
        <f t="shared" si="32"/>
        <v>1532150</v>
      </c>
    </row>
    <row r="657" spans="1:21" ht="14.4" x14ac:dyDescent="0.3">
      <c r="A657" s="13">
        <v>45503</v>
      </c>
      <c r="B657" s="2" t="s">
        <v>1204</v>
      </c>
      <c r="C657" s="2" t="s">
        <v>4</v>
      </c>
      <c r="D657" s="2" t="s">
        <v>162</v>
      </c>
      <c r="E657" s="2" t="s">
        <v>375</v>
      </c>
      <c r="F657" s="2">
        <v>2007</v>
      </c>
      <c r="G657" s="1">
        <v>1413</v>
      </c>
      <c r="H657" s="1">
        <v>1413</v>
      </c>
      <c r="J657" s="2">
        <v>1</v>
      </c>
      <c r="K657" s="2">
        <v>3</v>
      </c>
      <c r="L657" s="2">
        <v>2</v>
      </c>
      <c r="M657" s="2">
        <v>8</v>
      </c>
      <c r="N657" s="9" t="s">
        <v>1203</v>
      </c>
      <c r="O657" s="8">
        <v>749500</v>
      </c>
      <c r="P657" s="1">
        <f>(4151+7668)/12</f>
        <v>984.91666666666663</v>
      </c>
      <c r="R657" s="3">
        <v>3842</v>
      </c>
      <c r="S657" s="12">
        <f t="shared" si="30"/>
        <v>95.425000000000011</v>
      </c>
      <c r="T657" s="3">
        <f t="shared" si="31"/>
        <v>4922.3416666666672</v>
      </c>
      <c r="U657" s="8">
        <f t="shared" si="32"/>
        <v>1596702.5000000002</v>
      </c>
    </row>
    <row r="658" spans="1:21" ht="14.4" x14ac:dyDescent="0.3">
      <c r="A658" s="13">
        <v>45503</v>
      </c>
      <c r="B658" s="2" t="s">
        <v>1202</v>
      </c>
      <c r="C658" s="2" t="s">
        <v>4</v>
      </c>
      <c r="D658" s="2" t="s">
        <v>162</v>
      </c>
      <c r="E658" s="2" t="s">
        <v>375</v>
      </c>
      <c r="F658" s="2">
        <v>2021</v>
      </c>
      <c r="G658" s="1">
        <v>1342</v>
      </c>
      <c r="H658" s="1">
        <v>1342</v>
      </c>
      <c r="J658" s="2">
        <v>1</v>
      </c>
      <c r="K658" s="2">
        <v>3</v>
      </c>
      <c r="L658" s="2">
        <v>2</v>
      </c>
      <c r="M658" s="2">
        <v>9</v>
      </c>
      <c r="N658" s="9" t="s">
        <v>1201</v>
      </c>
      <c r="O658" s="8">
        <v>785000</v>
      </c>
      <c r="P658" s="1">
        <f>(5170+6120)/12</f>
        <v>940.83333333333337</v>
      </c>
      <c r="R658" s="3">
        <v>4059</v>
      </c>
      <c r="S658" s="12">
        <f t="shared" si="30"/>
        <v>91.283333333333346</v>
      </c>
      <c r="T658" s="3">
        <f t="shared" si="31"/>
        <v>5091.1166666666668</v>
      </c>
      <c r="U658" s="8">
        <f t="shared" si="32"/>
        <v>1647335</v>
      </c>
    </row>
    <row r="659" spans="1:21" ht="14.4" x14ac:dyDescent="0.3">
      <c r="A659" s="13">
        <v>45503</v>
      </c>
      <c r="B659" s="2" t="s">
        <v>1200</v>
      </c>
      <c r="C659" s="2" t="s">
        <v>4</v>
      </c>
      <c r="D659" s="2" t="s">
        <v>162</v>
      </c>
      <c r="E659" s="2" t="s">
        <v>375</v>
      </c>
      <c r="F659" s="2">
        <v>2018</v>
      </c>
      <c r="G659" s="1">
        <v>1357</v>
      </c>
      <c r="H659" s="1">
        <v>1357</v>
      </c>
      <c r="J659" s="2">
        <v>1</v>
      </c>
      <c r="K659" s="2">
        <v>3</v>
      </c>
      <c r="L659" s="2">
        <v>2</v>
      </c>
      <c r="M659" s="2">
        <v>10</v>
      </c>
      <c r="N659" s="9" t="s">
        <v>1199</v>
      </c>
      <c r="O659" s="8">
        <v>834900</v>
      </c>
      <c r="P659" s="1">
        <f>(4916+7824)/12</f>
        <v>1061.6666666666667</v>
      </c>
      <c r="R659" s="3">
        <v>4364</v>
      </c>
      <c r="S659" s="12">
        <f t="shared" si="30"/>
        <v>92.158333333333346</v>
      </c>
      <c r="T659" s="3">
        <f t="shared" si="31"/>
        <v>5517.8250000000007</v>
      </c>
      <c r="U659" s="8">
        <f t="shared" si="32"/>
        <v>1775347.5000000002</v>
      </c>
    </row>
    <row r="660" spans="1:21" ht="14.4" x14ac:dyDescent="0.3">
      <c r="A660" s="13">
        <v>45503</v>
      </c>
      <c r="B660" s="2" t="s">
        <v>1198</v>
      </c>
      <c r="C660" s="2" t="s">
        <v>4</v>
      </c>
      <c r="D660" s="2" t="s">
        <v>162</v>
      </c>
      <c r="E660" s="2" t="s">
        <v>375</v>
      </c>
      <c r="F660" s="2">
        <v>2019</v>
      </c>
      <c r="G660" s="1">
        <v>1262</v>
      </c>
      <c r="H660" s="1">
        <v>1262</v>
      </c>
      <c r="J660" s="2">
        <v>1</v>
      </c>
      <c r="K660" s="2">
        <v>3</v>
      </c>
      <c r="L660" s="2">
        <v>2</v>
      </c>
      <c r="M660" s="2">
        <v>9</v>
      </c>
      <c r="N660" s="9" t="s">
        <v>1197</v>
      </c>
      <c r="O660" s="8">
        <v>834999</v>
      </c>
      <c r="P660" s="1">
        <v>1000</v>
      </c>
      <c r="Q660" s="1" t="s">
        <v>25</v>
      </c>
      <c r="R660" s="3">
        <v>4364</v>
      </c>
      <c r="S660" s="12">
        <f t="shared" si="30"/>
        <v>86.616666666666674</v>
      </c>
      <c r="T660" s="3">
        <f t="shared" si="31"/>
        <v>5450.6166666666668</v>
      </c>
      <c r="U660" s="8">
        <f t="shared" si="32"/>
        <v>1755185</v>
      </c>
    </row>
    <row r="661" spans="1:21" ht="14.4" x14ac:dyDescent="0.3">
      <c r="A661" s="13">
        <v>45503</v>
      </c>
      <c r="B661" s="2" t="s">
        <v>1196</v>
      </c>
      <c r="C661" s="2" t="s">
        <v>4</v>
      </c>
      <c r="D661" s="2" t="s">
        <v>162</v>
      </c>
      <c r="E661" s="2" t="s">
        <v>375</v>
      </c>
      <c r="F661" s="2">
        <v>2024</v>
      </c>
      <c r="G661" s="1">
        <v>1461</v>
      </c>
      <c r="H661" s="1">
        <v>1461</v>
      </c>
      <c r="J661" s="2">
        <v>1</v>
      </c>
      <c r="K661" s="2">
        <v>3</v>
      </c>
      <c r="L661" s="2">
        <v>2</v>
      </c>
      <c r="M661" s="2">
        <v>7</v>
      </c>
      <c r="N661" s="9" t="s">
        <v>1195</v>
      </c>
      <c r="O661" s="8">
        <v>875000</v>
      </c>
      <c r="P661" s="2">
        <v>1000</v>
      </c>
      <c r="Q661" s="1" t="s">
        <v>25</v>
      </c>
      <c r="R661" s="3">
        <v>4608</v>
      </c>
      <c r="S661" s="12">
        <f t="shared" si="30"/>
        <v>98.225000000000009</v>
      </c>
      <c r="T661" s="3">
        <f t="shared" si="31"/>
        <v>5706.2250000000004</v>
      </c>
      <c r="U661" s="8">
        <f t="shared" si="32"/>
        <v>1831867.5000000002</v>
      </c>
    </row>
    <row r="662" spans="1:21" ht="14.4" x14ac:dyDescent="0.3">
      <c r="A662" s="13">
        <v>45503</v>
      </c>
      <c r="B662" s="17" t="s">
        <v>1194</v>
      </c>
      <c r="C662" s="2" t="s">
        <v>4</v>
      </c>
      <c r="D662" s="2" t="s">
        <v>162</v>
      </c>
      <c r="E662" s="2" t="s">
        <v>375</v>
      </c>
      <c r="F662" s="2">
        <v>2018</v>
      </c>
      <c r="G662" s="1">
        <v>1353</v>
      </c>
      <c r="H662" s="1">
        <v>1353</v>
      </c>
      <c r="J662" s="2">
        <v>1</v>
      </c>
      <c r="K662" s="2">
        <v>3</v>
      </c>
      <c r="L662" s="2">
        <v>2</v>
      </c>
      <c r="M662" s="2">
        <v>6</v>
      </c>
      <c r="N662" s="9" t="s">
        <v>1193</v>
      </c>
      <c r="O662" s="8">
        <v>898000</v>
      </c>
      <c r="P662" s="1">
        <f>(4776+7644)/12</f>
        <v>1035</v>
      </c>
      <c r="R662" s="3">
        <v>4749</v>
      </c>
      <c r="S662" s="12">
        <f t="shared" si="30"/>
        <v>91.925000000000011</v>
      </c>
      <c r="T662" s="3">
        <f t="shared" si="31"/>
        <v>5875.9250000000002</v>
      </c>
      <c r="U662" s="8">
        <f t="shared" si="32"/>
        <v>1882777.5000000002</v>
      </c>
    </row>
    <row r="663" spans="1:21" ht="14.4" x14ac:dyDescent="0.3">
      <c r="A663" s="13">
        <v>45503</v>
      </c>
      <c r="B663" s="2" t="s">
        <v>1192</v>
      </c>
      <c r="C663" s="2" t="s">
        <v>4</v>
      </c>
      <c r="D663" s="2" t="s">
        <v>162</v>
      </c>
      <c r="E663" s="2" t="s">
        <v>375</v>
      </c>
      <c r="F663" s="2">
        <v>2024</v>
      </c>
      <c r="G663" s="1">
        <v>1489</v>
      </c>
      <c r="H663" s="1">
        <v>1489</v>
      </c>
      <c r="J663" s="2">
        <v>1</v>
      </c>
      <c r="K663" s="2">
        <v>2</v>
      </c>
      <c r="L663" s="2">
        <v>2</v>
      </c>
      <c r="M663" s="2">
        <v>5</v>
      </c>
      <c r="N663" s="9" t="s">
        <v>1191</v>
      </c>
      <c r="O663" s="8">
        <v>899000</v>
      </c>
      <c r="P663" s="2">
        <v>1000</v>
      </c>
      <c r="Q663" s="1" t="s">
        <v>25</v>
      </c>
      <c r="R663" s="3">
        <v>4755</v>
      </c>
      <c r="S663" s="12">
        <f t="shared" si="30"/>
        <v>99.858333333333348</v>
      </c>
      <c r="T663" s="3">
        <f t="shared" si="31"/>
        <v>5854.8583333333336</v>
      </c>
      <c r="U663" s="8">
        <f t="shared" si="32"/>
        <v>1876457.5</v>
      </c>
    </row>
    <row r="664" spans="1:21" ht="14.4" x14ac:dyDescent="0.3">
      <c r="A664" s="13">
        <v>45503</v>
      </c>
      <c r="B664" s="2" t="s">
        <v>1190</v>
      </c>
      <c r="C664" s="2" t="s">
        <v>4</v>
      </c>
      <c r="D664" s="2" t="s">
        <v>162</v>
      </c>
      <c r="E664" s="2" t="s">
        <v>375</v>
      </c>
      <c r="F664" s="2">
        <v>2012</v>
      </c>
      <c r="G664" s="1">
        <v>1787</v>
      </c>
      <c r="H664" s="1">
        <v>1787</v>
      </c>
      <c r="J664" s="2">
        <v>1</v>
      </c>
      <c r="K664" s="2">
        <v>2</v>
      </c>
      <c r="L664" s="2">
        <v>2</v>
      </c>
      <c r="M664" s="2">
        <v>7</v>
      </c>
      <c r="N664" s="9" t="s">
        <v>1189</v>
      </c>
      <c r="O664" s="8">
        <v>949000</v>
      </c>
      <c r="P664" s="1">
        <f>(6258+10200)/12</f>
        <v>1371.5</v>
      </c>
      <c r="R664" s="3">
        <v>5060</v>
      </c>
      <c r="S664" s="12">
        <f t="shared" si="30"/>
        <v>117.24166666666667</v>
      </c>
      <c r="T664" s="3">
        <f t="shared" si="31"/>
        <v>6548.7416666666668</v>
      </c>
      <c r="U664" s="8">
        <f t="shared" si="32"/>
        <v>2084622.4999999998</v>
      </c>
    </row>
    <row r="665" spans="1:21" ht="14.4" x14ac:dyDescent="0.3">
      <c r="A665" s="13">
        <v>45503</v>
      </c>
      <c r="B665" s="2" t="s">
        <v>1188</v>
      </c>
      <c r="C665" s="2" t="s">
        <v>4</v>
      </c>
      <c r="D665" s="2" t="s">
        <v>162</v>
      </c>
      <c r="E665" s="2" t="s">
        <v>375</v>
      </c>
      <c r="F665" s="2">
        <v>2016</v>
      </c>
      <c r="G665" s="1">
        <v>1503</v>
      </c>
      <c r="H665" s="1">
        <v>1503</v>
      </c>
      <c r="J665" s="2">
        <v>1</v>
      </c>
      <c r="K665" s="2">
        <v>2</v>
      </c>
      <c r="L665" s="2">
        <v>2</v>
      </c>
      <c r="M665" s="2">
        <v>8</v>
      </c>
      <c r="N665" s="9" t="s">
        <v>1187</v>
      </c>
      <c r="O665" s="8">
        <v>949900</v>
      </c>
      <c r="P665" s="1">
        <f>(5984+10452)/12</f>
        <v>1369.6666666666667</v>
      </c>
      <c r="R665" s="3">
        <v>5066</v>
      </c>
      <c r="S665" s="12">
        <f t="shared" si="30"/>
        <v>100.67500000000001</v>
      </c>
      <c r="T665" s="3">
        <f t="shared" si="31"/>
        <v>6536.3416666666672</v>
      </c>
      <c r="U665" s="8">
        <f t="shared" si="32"/>
        <v>2080902.5000000002</v>
      </c>
    </row>
    <row r="666" spans="1:21" ht="14.4" x14ac:dyDescent="0.3">
      <c r="A666" s="13">
        <v>45503</v>
      </c>
      <c r="B666" s="2" t="s">
        <v>1186</v>
      </c>
      <c r="C666" s="2" t="s">
        <v>4</v>
      </c>
      <c r="D666" s="2" t="s">
        <v>162</v>
      </c>
      <c r="E666" s="2" t="s">
        <v>375</v>
      </c>
      <c r="F666" s="2">
        <v>2018</v>
      </c>
      <c r="G666" s="1">
        <v>1448</v>
      </c>
      <c r="H666" s="1">
        <v>1448</v>
      </c>
      <c r="J666" s="2">
        <v>1</v>
      </c>
      <c r="K666" s="2">
        <v>2</v>
      </c>
      <c r="L666" s="2">
        <v>2</v>
      </c>
      <c r="M666" s="2">
        <v>5</v>
      </c>
      <c r="N666" s="9" t="s">
        <v>1185</v>
      </c>
      <c r="O666" s="8">
        <v>949900</v>
      </c>
      <c r="P666" s="1">
        <f>(6478+10409)/12</f>
        <v>1407.25</v>
      </c>
      <c r="R666" s="3">
        <v>5066</v>
      </c>
      <c r="S666" s="12">
        <f t="shared" si="30"/>
        <v>97.466666666666683</v>
      </c>
      <c r="T666" s="3">
        <f t="shared" si="31"/>
        <v>6570.7166666666662</v>
      </c>
      <c r="U666" s="8">
        <f t="shared" si="32"/>
        <v>2091214.9999999998</v>
      </c>
    </row>
    <row r="667" spans="1:21" ht="14.4" x14ac:dyDescent="0.3">
      <c r="A667" s="13">
        <v>45503</v>
      </c>
      <c r="B667" s="2" t="s">
        <v>1184</v>
      </c>
      <c r="C667" s="2" t="s">
        <v>4</v>
      </c>
      <c r="D667" s="2" t="s">
        <v>162</v>
      </c>
      <c r="E667" s="2" t="s">
        <v>375</v>
      </c>
      <c r="F667" s="2">
        <v>2024</v>
      </c>
      <c r="G667" s="1">
        <v>1527</v>
      </c>
      <c r="H667" s="1">
        <v>1527</v>
      </c>
      <c r="J667" s="2">
        <v>1</v>
      </c>
      <c r="K667" s="2">
        <v>3</v>
      </c>
      <c r="L667" s="2">
        <v>2</v>
      </c>
      <c r="M667" s="2">
        <v>5</v>
      </c>
      <c r="N667" s="9" t="s">
        <v>1183</v>
      </c>
      <c r="O667" s="8">
        <v>1006000</v>
      </c>
      <c r="P667" s="2">
        <v>1000</v>
      </c>
      <c r="Q667" s="1" t="s">
        <v>25</v>
      </c>
      <c r="R667" s="3">
        <v>5408</v>
      </c>
      <c r="S667" s="12">
        <f t="shared" si="30"/>
        <v>102.075</v>
      </c>
      <c r="T667" s="3">
        <f t="shared" si="31"/>
        <v>6510.0749999999998</v>
      </c>
      <c r="U667" s="8">
        <f t="shared" si="32"/>
        <v>2073022.4999999998</v>
      </c>
    </row>
    <row r="668" spans="1:21" ht="14.4" x14ac:dyDescent="0.3">
      <c r="A668" s="13">
        <v>45503</v>
      </c>
      <c r="B668" s="2" t="s">
        <v>1182</v>
      </c>
      <c r="C668" s="2" t="s">
        <v>4</v>
      </c>
      <c r="D668" s="2" t="s">
        <v>162</v>
      </c>
      <c r="E668" s="2" t="s">
        <v>375</v>
      </c>
      <c r="F668" s="2">
        <v>2012</v>
      </c>
      <c r="G668" s="1">
        <v>1814</v>
      </c>
      <c r="H668" s="1">
        <v>1814</v>
      </c>
      <c r="J668" s="2">
        <v>1</v>
      </c>
      <c r="K668" s="2">
        <v>2</v>
      </c>
      <c r="L668" s="2">
        <v>2</v>
      </c>
      <c r="M668" s="2">
        <v>10</v>
      </c>
      <c r="N668" s="9" t="s">
        <v>1181</v>
      </c>
      <c r="O668" s="8">
        <v>1025000</v>
      </c>
      <c r="P668" s="1">
        <f>(7098+10656)/12</f>
        <v>1479.5</v>
      </c>
      <c r="R668" s="3">
        <v>5524</v>
      </c>
      <c r="S668" s="12">
        <f t="shared" si="30"/>
        <v>118.81666666666668</v>
      </c>
      <c r="T668" s="3">
        <f t="shared" si="31"/>
        <v>7122.3166666666666</v>
      </c>
      <c r="U668" s="8">
        <f t="shared" si="32"/>
        <v>2256695</v>
      </c>
    </row>
    <row r="669" spans="1:21" ht="14.4" x14ac:dyDescent="0.3">
      <c r="A669" s="13">
        <v>45503</v>
      </c>
      <c r="B669" s="2" t="s">
        <v>1180</v>
      </c>
      <c r="C669" s="2" t="s">
        <v>4</v>
      </c>
      <c r="D669" s="2" t="s">
        <v>162</v>
      </c>
      <c r="E669" s="2" t="s">
        <v>375</v>
      </c>
      <c r="F669" s="2">
        <v>2015</v>
      </c>
      <c r="G669" s="1">
        <v>1566</v>
      </c>
      <c r="H669" s="1">
        <v>1566</v>
      </c>
      <c r="J669" s="2">
        <v>1</v>
      </c>
      <c r="K669" s="2">
        <v>2</v>
      </c>
      <c r="L669" s="2">
        <v>2</v>
      </c>
      <c r="M669" s="2">
        <v>5</v>
      </c>
      <c r="N669" s="9" t="s">
        <v>1179</v>
      </c>
      <c r="O669" s="8">
        <v>1124900</v>
      </c>
      <c r="P669" s="1">
        <f>(6065+10632)/12</f>
        <v>1391.4166666666667</v>
      </c>
      <c r="R669" s="3">
        <v>6134</v>
      </c>
      <c r="S669" s="12">
        <f t="shared" si="30"/>
        <v>104.35000000000001</v>
      </c>
      <c r="T669" s="3">
        <f t="shared" si="31"/>
        <v>7629.7666666666673</v>
      </c>
      <c r="U669" s="8">
        <f t="shared" si="32"/>
        <v>2408930.0000000005</v>
      </c>
    </row>
    <row r="670" spans="1:21" ht="14.4" x14ac:dyDescent="0.3">
      <c r="A670" s="13">
        <v>45503</v>
      </c>
      <c r="B670" s="2" t="s">
        <v>1178</v>
      </c>
      <c r="C670" s="2" t="s">
        <v>4</v>
      </c>
      <c r="D670" s="2" t="s">
        <v>162</v>
      </c>
      <c r="E670" s="2" t="s">
        <v>375</v>
      </c>
      <c r="F670" s="2">
        <v>2012</v>
      </c>
      <c r="G670" s="1">
        <v>1615</v>
      </c>
      <c r="H670" s="1">
        <v>1615</v>
      </c>
      <c r="J670" s="2">
        <v>1</v>
      </c>
      <c r="K670" s="2">
        <v>2</v>
      </c>
      <c r="L670" s="2">
        <v>2</v>
      </c>
      <c r="M670" s="2">
        <v>11</v>
      </c>
      <c r="N670" s="9" t="s">
        <v>1177</v>
      </c>
      <c r="O670" s="8">
        <v>1299000</v>
      </c>
      <c r="P670" s="1">
        <f>(6184+10152)/12</f>
        <v>1361.3333333333333</v>
      </c>
      <c r="R670" s="3">
        <v>7197</v>
      </c>
      <c r="S670" s="12">
        <f t="shared" si="30"/>
        <v>107.20833333333333</v>
      </c>
      <c r="T670" s="3">
        <f t="shared" si="31"/>
        <v>8665.5416666666679</v>
      </c>
      <c r="U670" s="8">
        <f t="shared" si="32"/>
        <v>2719662.5000000005</v>
      </c>
    </row>
    <row r="671" spans="1:21" ht="14.4" x14ac:dyDescent="0.3">
      <c r="A671" s="13">
        <v>45503</v>
      </c>
      <c r="B671" s="2" t="s">
        <v>1176</v>
      </c>
      <c r="C671" s="2" t="s">
        <v>4</v>
      </c>
      <c r="D671" s="2" t="s">
        <v>162</v>
      </c>
      <c r="E671" s="2" t="s">
        <v>375</v>
      </c>
      <c r="F671" s="2">
        <v>2024</v>
      </c>
      <c r="G671" s="1">
        <v>1937</v>
      </c>
      <c r="H671" s="1">
        <v>1937</v>
      </c>
      <c r="J671" s="2">
        <v>1</v>
      </c>
      <c r="K671" s="2">
        <v>3</v>
      </c>
      <c r="L671" s="2">
        <v>2</v>
      </c>
      <c r="M671" s="2">
        <v>5</v>
      </c>
      <c r="N671" s="9" t="s">
        <v>1175</v>
      </c>
      <c r="O671" s="8">
        <v>1480000</v>
      </c>
      <c r="P671" s="2">
        <v>1500</v>
      </c>
      <c r="Q671" s="1" t="s">
        <v>25</v>
      </c>
      <c r="R671" s="3">
        <v>8301</v>
      </c>
      <c r="S671" s="12">
        <f t="shared" si="30"/>
        <v>125.99166666666667</v>
      </c>
      <c r="T671" s="3">
        <f t="shared" si="31"/>
        <v>9926.9916666666668</v>
      </c>
      <c r="U671" s="8">
        <f t="shared" si="32"/>
        <v>3098097.5</v>
      </c>
    </row>
    <row r="672" spans="1:21" ht="14.4" x14ac:dyDescent="0.3">
      <c r="A672" s="13">
        <v>45503</v>
      </c>
      <c r="B672" s="2" t="s">
        <v>1174</v>
      </c>
      <c r="C672" s="2" t="s">
        <v>4</v>
      </c>
      <c r="D672" s="2" t="s">
        <v>162</v>
      </c>
      <c r="E672" s="2" t="s">
        <v>375</v>
      </c>
      <c r="F672" s="2">
        <v>2019</v>
      </c>
      <c r="G672" s="1">
        <v>2548</v>
      </c>
      <c r="H672" s="1">
        <v>2548</v>
      </c>
      <c r="J672" s="2">
        <v>1</v>
      </c>
      <c r="K672" s="2">
        <v>4</v>
      </c>
      <c r="L672" s="2">
        <v>4</v>
      </c>
      <c r="M672" s="2">
        <v>17</v>
      </c>
      <c r="N672" s="9" t="s">
        <v>1173</v>
      </c>
      <c r="O672" s="8">
        <v>1884999</v>
      </c>
      <c r="P672" s="1">
        <f>(10359+19752)/12</f>
        <v>2509.25</v>
      </c>
      <c r="R672" s="3">
        <v>10773</v>
      </c>
      <c r="S672" s="12">
        <f t="shared" si="30"/>
        <v>161.63333333333335</v>
      </c>
      <c r="T672" s="3">
        <f t="shared" si="31"/>
        <v>13443.883333333333</v>
      </c>
      <c r="U672" s="8">
        <f t="shared" si="32"/>
        <v>4153165</v>
      </c>
    </row>
    <row r="673" spans="1:21" ht="14.4" x14ac:dyDescent="0.3">
      <c r="A673" s="13">
        <v>45505</v>
      </c>
      <c r="B673" s="10" t="s">
        <v>1591</v>
      </c>
      <c r="C673" s="2" t="s">
        <v>4</v>
      </c>
      <c r="D673" s="2" t="s">
        <v>288</v>
      </c>
      <c r="E673" s="2" t="s">
        <v>375</v>
      </c>
      <c r="F673" s="2">
        <v>2017</v>
      </c>
      <c r="G673" s="2">
        <v>1234</v>
      </c>
      <c r="H673" s="2">
        <v>1234</v>
      </c>
      <c r="J673" s="2">
        <v>1</v>
      </c>
      <c r="K673" s="2">
        <v>2</v>
      </c>
      <c r="L673" s="2">
        <v>2</v>
      </c>
      <c r="M673" s="2">
        <v>10</v>
      </c>
      <c r="N673" s="9" t="s">
        <v>1713</v>
      </c>
      <c r="O673" s="8">
        <v>799900</v>
      </c>
      <c r="P673" s="1">
        <f>(5726+10473)/12</f>
        <v>1349.9166666666667</v>
      </c>
      <c r="R673" s="3">
        <v>4150</v>
      </c>
      <c r="S673" s="12">
        <f t="shared" si="30"/>
        <v>84.983333333333334</v>
      </c>
      <c r="T673" s="3">
        <f t="shared" si="31"/>
        <v>5584.9000000000005</v>
      </c>
      <c r="U673" s="8">
        <f t="shared" si="32"/>
        <v>1795470</v>
      </c>
    </row>
    <row r="674" spans="1:21" ht="14.4" x14ac:dyDescent="0.3">
      <c r="A674" s="13">
        <v>45505</v>
      </c>
      <c r="B674" s="2" t="s">
        <v>1583</v>
      </c>
      <c r="C674" s="2" t="s">
        <v>4</v>
      </c>
      <c r="D674" s="2" t="s">
        <v>288</v>
      </c>
      <c r="E674" s="2" t="s">
        <v>375</v>
      </c>
      <c r="F674" s="2">
        <v>2019</v>
      </c>
      <c r="G674" s="2">
        <v>1656</v>
      </c>
      <c r="H674" s="2">
        <v>1656</v>
      </c>
      <c r="J674" s="2">
        <v>1</v>
      </c>
      <c r="K674" s="2">
        <v>2</v>
      </c>
      <c r="L674" s="2">
        <v>2</v>
      </c>
      <c r="M674" s="2">
        <v>10</v>
      </c>
      <c r="N674" s="9" t="s">
        <v>1712</v>
      </c>
      <c r="O674" s="8">
        <v>1299000</v>
      </c>
      <c r="P674" s="15">
        <f>(7460+13920)/12</f>
        <v>1781.6666666666667</v>
      </c>
      <c r="R674" s="3">
        <v>7197</v>
      </c>
      <c r="S674" s="12">
        <f t="shared" si="30"/>
        <v>109.60000000000001</v>
      </c>
      <c r="T674" s="3">
        <f t="shared" si="31"/>
        <v>9088.2666666666664</v>
      </c>
      <c r="U674" s="8">
        <f t="shared" si="32"/>
        <v>2846480</v>
      </c>
    </row>
    <row r="675" spans="1:21" ht="27.6" x14ac:dyDescent="0.3">
      <c r="A675" s="13">
        <v>45505</v>
      </c>
      <c r="B675" s="10" t="s">
        <v>1711</v>
      </c>
      <c r="C675" s="2" t="s">
        <v>1698</v>
      </c>
      <c r="D675" s="2" t="s">
        <v>288</v>
      </c>
      <c r="E675" s="2" t="s">
        <v>375</v>
      </c>
      <c r="F675" s="2">
        <v>1988</v>
      </c>
      <c r="G675" s="1">
        <f>(14.8*7.3+11*16.6+9*11+9*9.6+9.1*5.4+9*9+14*20+8*8+7*6.6)*1.3</f>
        <v>1295.2940000000001</v>
      </c>
      <c r="H675" s="2">
        <v>970</v>
      </c>
      <c r="J675" s="2">
        <v>1</v>
      </c>
      <c r="K675" s="2">
        <v>2</v>
      </c>
      <c r="L675" s="2">
        <v>2</v>
      </c>
      <c r="M675" s="2">
        <v>6</v>
      </c>
      <c r="N675" s="9" t="s">
        <v>1710</v>
      </c>
      <c r="O675" s="8">
        <v>499000</v>
      </c>
      <c r="P675" s="15">
        <f>215+23+324</f>
        <v>562</v>
      </c>
      <c r="R675" s="3">
        <f>561*4</f>
        <v>2244</v>
      </c>
      <c r="S675" s="12">
        <f t="shared" si="30"/>
        <v>88.558816666666672</v>
      </c>
      <c r="T675" s="3">
        <f t="shared" si="31"/>
        <v>2894.5588166666666</v>
      </c>
      <c r="U675" s="8">
        <f t="shared" si="32"/>
        <v>988367.6449999999</v>
      </c>
    </row>
    <row r="676" spans="1:21" ht="14.4" x14ac:dyDescent="0.3">
      <c r="A676" s="13">
        <v>45505</v>
      </c>
      <c r="B676" s="2" t="s">
        <v>1709</v>
      </c>
      <c r="C676" s="2" t="s">
        <v>1698</v>
      </c>
      <c r="D676" s="2" t="s">
        <v>288</v>
      </c>
      <c r="E676" s="2" t="s">
        <v>1734</v>
      </c>
      <c r="F676" s="2">
        <v>1990</v>
      </c>
      <c r="G676" s="1">
        <f>(14.1*10+11.5*9.9+9.9*8.6+12.9*8.9+4.9*4.3+8.6*8+9.9*9.1+19.7*10.8+4.6*4.6+4.8*3.3+13.9*10+12.9*9.7+10*6.9+9.5*5.8+7.5*3.9+12.2*9.7+16.9*9.4)*1.3</f>
        <v>2052.96</v>
      </c>
      <c r="H676" s="2">
        <v>5334.59</v>
      </c>
      <c r="J676" s="2">
        <v>1</v>
      </c>
      <c r="K676" s="2">
        <v>6</v>
      </c>
      <c r="L676" s="2">
        <v>2</v>
      </c>
      <c r="M676" s="2">
        <v>10</v>
      </c>
      <c r="N676" s="9" t="s">
        <v>1708</v>
      </c>
      <c r="O676" s="8">
        <v>699900</v>
      </c>
      <c r="P676" s="15">
        <f>312.26+31</f>
        <v>343.26</v>
      </c>
      <c r="R676" s="3">
        <f>787*4</f>
        <v>3148</v>
      </c>
      <c r="S676" s="12">
        <f t="shared" si="30"/>
        <v>132.75600000000003</v>
      </c>
      <c r="T676" s="3">
        <f t="shared" si="31"/>
        <v>3624.0160000000001</v>
      </c>
      <c r="U676" s="8">
        <f t="shared" si="32"/>
        <v>1207204.8</v>
      </c>
    </row>
    <row r="677" spans="1:21" ht="14.4" x14ac:dyDescent="0.3">
      <c r="A677" s="13">
        <v>45505</v>
      </c>
      <c r="B677" s="10" t="s">
        <v>1707</v>
      </c>
      <c r="C677" s="2" t="s">
        <v>1698</v>
      </c>
      <c r="D677" s="2" t="s">
        <v>288</v>
      </c>
      <c r="E677" s="2" t="s">
        <v>1734</v>
      </c>
      <c r="F677" s="2">
        <v>1960</v>
      </c>
      <c r="G677" s="1">
        <f>(12*12+10*12+12*14+12*12)*4*1.3</f>
        <v>2995.2000000000003</v>
      </c>
      <c r="H677" s="2">
        <v>3500</v>
      </c>
      <c r="I677" s="1" t="s">
        <v>25</v>
      </c>
      <c r="J677" s="2">
        <v>4</v>
      </c>
      <c r="K677" s="2">
        <v>8</v>
      </c>
      <c r="L677" s="2">
        <v>4</v>
      </c>
      <c r="M677" s="2">
        <v>12</v>
      </c>
      <c r="N677" s="9" t="s">
        <v>1706</v>
      </c>
      <c r="O677" s="8">
        <v>775000</v>
      </c>
      <c r="P677" s="15">
        <f>32.92+389.83</f>
        <v>422.75</v>
      </c>
      <c r="R677" s="3">
        <f>921*4</f>
        <v>3684</v>
      </c>
      <c r="S677" s="12">
        <f t="shared" si="30"/>
        <v>187.72000000000003</v>
      </c>
      <c r="T677" s="3">
        <f t="shared" si="31"/>
        <v>4294.47</v>
      </c>
      <c r="U677" s="8">
        <f t="shared" si="32"/>
        <v>1408341</v>
      </c>
    </row>
    <row r="678" spans="1:21" ht="14.4" x14ac:dyDescent="0.3">
      <c r="A678" s="13">
        <v>45505</v>
      </c>
      <c r="B678" s="2" t="s">
        <v>1705</v>
      </c>
      <c r="C678" s="2" t="s">
        <v>1698</v>
      </c>
      <c r="D678" s="2" t="s">
        <v>288</v>
      </c>
      <c r="E678" s="2" t="s">
        <v>1734</v>
      </c>
      <c r="F678" s="2">
        <v>1960</v>
      </c>
      <c r="G678" s="1">
        <f>(10*10+12*12+12*16+5*7+12*14)*4*1.3</f>
        <v>3322.8</v>
      </c>
      <c r="H678" s="2">
        <v>4000</v>
      </c>
      <c r="I678" s="1" t="s">
        <v>25</v>
      </c>
      <c r="J678" s="2">
        <v>4</v>
      </c>
      <c r="K678" s="2">
        <v>8</v>
      </c>
      <c r="L678" s="2">
        <v>4</v>
      </c>
      <c r="M678" s="2">
        <v>12</v>
      </c>
      <c r="N678" s="9" t="s">
        <v>1704</v>
      </c>
      <c r="O678" s="8">
        <v>860000</v>
      </c>
      <c r="P678" s="15">
        <f>48.5+500.58</f>
        <v>549.07999999999993</v>
      </c>
      <c r="R678" s="3">
        <f>1041*4</f>
        <v>4164</v>
      </c>
      <c r="S678" s="12">
        <f t="shared" si="30"/>
        <v>206.83</v>
      </c>
      <c r="T678" s="3">
        <f t="shared" si="31"/>
        <v>4919.91</v>
      </c>
      <c r="U678" s="8">
        <f t="shared" si="32"/>
        <v>1595973</v>
      </c>
    </row>
    <row r="679" spans="1:21" ht="14.4" x14ac:dyDescent="0.3">
      <c r="A679" s="13">
        <v>45505</v>
      </c>
      <c r="B679" s="10" t="s">
        <v>1703</v>
      </c>
      <c r="C679" s="2" t="s">
        <v>1698</v>
      </c>
      <c r="D679" s="2" t="s">
        <v>288</v>
      </c>
      <c r="E679" s="2" t="s">
        <v>1734</v>
      </c>
      <c r="F679" s="2">
        <v>2020</v>
      </c>
      <c r="G679" s="1">
        <f>(16.4*12.6+14*10+14.8*12.2+14*21+17.6*16.2+19.4*13.2+13*12.6+12.6*12.6+11.9*8.3+14.6*8.7+10.4*11.9+12*8.9+14*10+9.9*19.7)*1.3</f>
        <v>3219.2420000000002</v>
      </c>
      <c r="H679" s="2">
        <v>5120</v>
      </c>
      <c r="I679" s="1" t="s">
        <v>25</v>
      </c>
      <c r="J679" s="2">
        <v>3</v>
      </c>
      <c r="K679" s="2">
        <v>4</v>
      </c>
      <c r="L679" s="2">
        <v>3</v>
      </c>
      <c r="M679" s="2">
        <v>12</v>
      </c>
      <c r="N679" s="9" t="s">
        <v>1702</v>
      </c>
      <c r="O679" s="8">
        <v>929000</v>
      </c>
      <c r="P679" s="15">
        <f>500+75</f>
        <v>575</v>
      </c>
      <c r="R679" s="3">
        <f>1138*4</f>
        <v>4552</v>
      </c>
      <c r="S679" s="12">
        <f t="shared" si="30"/>
        <v>200.7891166666667</v>
      </c>
      <c r="T679" s="3">
        <f t="shared" si="31"/>
        <v>5327.7891166666668</v>
      </c>
      <c r="U679" s="8">
        <f t="shared" si="32"/>
        <v>1718336.7350000001</v>
      </c>
    </row>
    <row r="680" spans="1:21" ht="14.4" x14ac:dyDescent="0.3">
      <c r="A680" s="13">
        <v>45505</v>
      </c>
      <c r="B680" s="2" t="s">
        <v>1701</v>
      </c>
      <c r="C680" s="2" t="s">
        <v>1698</v>
      </c>
      <c r="D680" s="2" t="s">
        <v>288</v>
      </c>
      <c r="E680" s="2" t="s">
        <v>1734</v>
      </c>
      <c r="F680" s="2">
        <v>1960</v>
      </c>
      <c r="G680" s="1">
        <f>(10*15+9*10+10*10+11*20+6*13+5*7+10*12)*4*1.3</f>
        <v>4123.6000000000004</v>
      </c>
      <c r="H680" s="2">
        <v>8200</v>
      </c>
      <c r="J680" s="2">
        <v>4</v>
      </c>
      <c r="K680" s="2">
        <v>3</v>
      </c>
      <c r="L680" s="2">
        <v>1</v>
      </c>
      <c r="M680" s="2">
        <v>12</v>
      </c>
      <c r="N680" s="9" t="s">
        <v>1700</v>
      </c>
      <c r="O680" s="8">
        <v>955000</v>
      </c>
      <c r="P680" s="15">
        <f>45+461</f>
        <v>506</v>
      </c>
      <c r="R680" s="15">
        <f>1174*4</f>
        <v>4696</v>
      </c>
      <c r="S680" s="12">
        <f t="shared" si="30"/>
        <v>253.54333333333338</v>
      </c>
      <c r="T680" s="3">
        <f t="shared" si="31"/>
        <v>5455.5433333333331</v>
      </c>
      <c r="U680" s="8">
        <f t="shared" si="32"/>
        <v>1756663</v>
      </c>
    </row>
    <row r="681" spans="1:21" ht="14.4" x14ac:dyDescent="0.3">
      <c r="A681" s="13">
        <v>45505</v>
      </c>
      <c r="B681" s="10" t="s">
        <v>1699</v>
      </c>
      <c r="C681" s="2" t="s">
        <v>1698</v>
      </c>
      <c r="D681" s="2" t="s">
        <v>288</v>
      </c>
      <c r="E681" s="2" t="s">
        <v>375</v>
      </c>
      <c r="F681" s="2">
        <v>2017</v>
      </c>
      <c r="G681" s="1">
        <f>(27*17.2+3.2*1.8+4.9*2.7+10.9*7.1+7.7*3.6+15.3*12+18.2*15.9+15.9*10.6+16.9*11.2+11.9*4.8+11.9*7.3+6.5*6.2+9.9*5.4)*1.3</f>
        <v>2154.165</v>
      </c>
      <c r="H681" s="1">
        <v>1656</v>
      </c>
      <c r="J681" s="2">
        <v>2</v>
      </c>
      <c r="K681" s="2">
        <v>2</v>
      </c>
      <c r="L681" s="2">
        <v>2</v>
      </c>
      <c r="M681" s="2">
        <v>10</v>
      </c>
      <c r="N681" s="9" t="s">
        <v>1697</v>
      </c>
      <c r="O681" s="8">
        <v>1295000</v>
      </c>
      <c r="P681" s="15">
        <f>65.2+557.05+1160.34</f>
        <v>1782.59</v>
      </c>
      <c r="R681" s="3">
        <f>1652*4</f>
        <v>6608</v>
      </c>
      <c r="S681" s="12">
        <f t="shared" si="30"/>
        <v>138.65962500000001</v>
      </c>
      <c r="T681" s="3">
        <f t="shared" si="31"/>
        <v>8529.2496250000004</v>
      </c>
      <c r="U681" s="8">
        <f t="shared" si="32"/>
        <v>2678774.8875000002</v>
      </c>
    </row>
    <row r="682" spans="1:21" ht="14.4" x14ac:dyDescent="0.3">
      <c r="A682" s="13">
        <v>45541</v>
      </c>
      <c r="B682" s="2" t="s">
        <v>1696</v>
      </c>
      <c r="C682" s="2" t="s">
        <v>4</v>
      </c>
      <c r="D682" s="2" t="s">
        <v>227</v>
      </c>
      <c r="E682" s="2" t="s">
        <v>375</v>
      </c>
      <c r="F682" s="2">
        <v>1999</v>
      </c>
      <c r="G682" s="2">
        <v>475</v>
      </c>
      <c r="H682" s="2">
        <v>475</v>
      </c>
      <c r="J682" s="2">
        <v>1</v>
      </c>
      <c r="K682" s="2">
        <v>1</v>
      </c>
      <c r="L682" s="2">
        <v>1</v>
      </c>
      <c r="M682" s="2">
        <v>4</v>
      </c>
      <c r="N682" s="9" t="s">
        <v>1695</v>
      </c>
      <c r="O682" s="8">
        <v>225000</v>
      </c>
      <c r="P682" s="1">
        <f>4164/12+130</f>
        <v>477</v>
      </c>
      <c r="R682" s="3">
        <v>640.91</v>
      </c>
      <c r="S682" s="12">
        <f t="shared" si="30"/>
        <v>40.708333333333343</v>
      </c>
      <c r="T682" s="3">
        <f t="shared" si="31"/>
        <v>1158.6183333333331</v>
      </c>
      <c r="U682" s="8">
        <f t="shared" si="32"/>
        <v>467585.49999999994</v>
      </c>
    </row>
    <row r="683" spans="1:21" ht="14.4" x14ac:dyDescent="0.3">
      <c r="A683" s="13">
        <v>45541</v>
      </c>
      <c r="B683" s="2" t="s">
        <v>1694</v>
      </c>
      <c r="C683" s="2" t="s">
        <v>4</v>
      </c>
      <c r="D683" s="2" t="s">
        <v>227</v>
      </c>
      <c r="E683" s="2" t="s">
        <v>375</v>
      </c>
      <c r="F683" s="2">
        <v>1993</v>
      </c>
      <c r="G683" s="2">
        <v>685</v>
      </c>
      <c r="H683" s="2">
        <v>685</v>
      </c>
      <c r="J683" s="2">
        <v>1</v>
      </c>
      <c r="K683" s="2">
        <v>1</v>
      </c>
      <c r="L683" s="2">
        <v>1</v>
      </c>
      <c r="M683" s="2">
        <v>6</v>
      </c>
      <c r="N683" s="9" t="s">
        <v>1693</v>
      </c>
      <c r="O683" s="8">
        <v>249000</v>
      </c>
      <c r="P683" s="1">
        <f>(3564+1803)/12</f>
        <v>447.25</v>
      </c>
      <c r="R683" s="3">
        <v>787</v>
      </c>
      <c r="S683" s="12">
        <f t="shared" si="30"/>
        <v>52.958333333333336</v>
      </c>
      <c r="T683" s="3">
        <f t="shared" si="31"/>
        <v>1287.2083333333333</v>
      </c>
      <c r="U683" s="8">
        <f t="shared" si="32"/>
        <v>506162.5</v>
      </c>
    </row>
    <row r="684" spans="1:21" ht="14.4" x14ac:dyDescent="0.3">
      <c r="A684" s="13">
        <v>45541</v>
      </c>
      <c r="B684" s="2" t="s">
        <v>1692</v>
      </c>
      <c r="C684" s="2" t="s">
        <v>4</v>
      </c>
      <c r="D684" s="2" t="s">
        <v>227</v>
      </c>
      <c r="E684" s="2" t="s">
        <v>375</v>
      </c>
      <c r="F684" s="2">
        <v>1994</v>
      </c>
      <c r="G684" s="2">
        <v>670</v>
      </c>
      <c r="H684" s="2">
        <v>670</v>
      </c>
      <c r="J684" s="2">
        <v>1</v>
      </c>
      <c r="K684" s="2">
        <v>1</v>
      </c>
      <c r="L684" s="2">
        <v>1</v>
      </c>
      <c r="M684" s="2">
        <v>6</v>
      </c>
      <c r="N684" s="9" t="s">
        <v>1691</v>
      </c>
      <c r="O684" s="8">
        <v>275000</v>
      </c>
      <c r="P684" s="1">
        <f>(1824+4096)/12</f>
        <v>493.33333333333331</v>
      </c>
      <c r="R684" s="3">
        <v>946</v>
      </c>
      <c r="S684" s="12">
        <f t="shared" si="30"/>
        <v>52.083333333333336</v>
      </c>
      <c r="T684" s="3">
        <f t="shared" si="31"/>
        <v>1491.4166666666665</v>
      </c>
      <c r="U684" s="8">
        <f t="shared" si="32"/>
        <v>567425</v>
      </c>
    </row>
    <row r="685" spans="1:21" ht="14.4" x14ac:dyDescent="0.3">
      <c r="A685" s="13">
        <v>45541</v>
      </c>
      <c r="B685" s="2" t="s">
        <v>1690</v>
      </c>
      <c r="C685" s="2" t="s">
        <v>4</v>
      </c>
      <c r="D685" s="2" t="s">
        <v>227</v>
      </c>
      <c r="E685" s="2" t="s">
        <v>375</v>
      </c>
      <c r="F685" s="2">
        <v>2016</v>
      </c>
      <c r="G685" s="2">
        <v>586</v>
      </c>
      <c r="H685" s="2">
        <v>586</v>
      </c>
      <c r="J685" s="2">
        <v>1</v>
      </c>
      <c r="K685" s="2">
        <v>1</v>
      </c>
      <c r="L685" s="2">
        <v>1</v>
      </c>
      <c r="M685" s="2">
        <v>7</v>
      </c>
      <c r="N685" s="9" t="s">
        <v>1689</v>
      </c>
      <c r="O685" s="8">
        <v>317000</v>
      </c>
      <c r="P685" s="1">
        <f>(2318+4116)/12</f>
        <v>536.16666666666663</v>
      </c>
      <c r="R685" s="3">
        <v>1202</v>
      </c>
      <c r="S685" s="12">
        <f t="shared" si="30"/>
        <v>47.183333333333337</v>
      </c>
      <c r="T685" s="3">
        <f t="shared" si="31"/>
        <v>1785.35</v>
      </c>
      <c r="U685" s="8">
        <f t="shared" si="32"/>
        <v>655604.99999999988</v>
      </c>
    </row>
    <row r="686" spans="1:21" ht="14.4" x14ac:dyDescent="0.3">
      <c r="A686" s="13">
        <v>45541</v>
      </c>
      <c r="B686" s="2" t="s">
        <v>1688</v>
      </c>
      <c r="C686" s="2" t="s">
        <v>4</v>
      </c>
      <c r="D686" s="2" t="s">
        <v>227</v>
      </c>
      <c r="E686" s="2" t="s">
        <v>375</v>
      </c>
      <c r="F686" s="2">
        <v>2016</v>
      </c>
      <c r="G686" s="2">
        <v>594</v>
      </c>
      <c r="H686" s="2">
        <v>594</v>
      </c>
      <c r="J686" s="2">
        <v>1</v>
      </c>
      <c r="K686" s="2">
        <v>1</v>
      </c>
      <c r="L686" s="2">
        <v>1</v>
      </c>
      <c r="M686" s="2">
        <v>5</v>
      </c>
      <c r="N686" s="9" t="s">
        <v>1687</v>
      </c>
      <c r="O686" s="8">
        <v>319000</v>
      </c>
      <c r="P686" s="1">
        <f>(2079+2880)/12</f>
        <v>413.25</v>
      </c>
      <c r="R686" s="3">
        <v>1215</v>
      </c>
      <c r="S686" s="12">
        <f t="shared" si="30"/>
        <v>47.65</v>
      </c>
      <c r="T686" s="3">
        <f t="shared" si="31"/>
        <v>1675.9</v>
      </c>
      <c r="U686" s="8">
        <f t="shared" si="32"/>
        <v>622770</v>
      </c>
    </row>
    <row r="687" spans="1:21" ht="14.4" x14ac:dyDescent="0.3">
      <c r="A687" s="13">
        <v>45541</v>
      </c>
      <c r="B687" s="2" t="s">
        <v>1686</v>
      </c>
      <c r="C687" s="2" t="s">
        <v>4</v>
      </c>
      <c r="D687" s="2" t="s">
        <v>227</v>
      </c>
      <c r="E687" s="2" t="s">
        <v>375</v>
      </c>
      <c r="F687" s="2">
        <v>2018</v>
      </c>
      <c r="G687" s="2">
        <v>570</v>
      </c>
      <c r="H687" s="2">
        <v>570</v>
      </c>
      <c r="J687" s="2">
        <v>1</v>
      </c>
      <c r="K687" s="2">
        <v>1</v>
      </c>
      <c r="L687" s="2">
        <v>1</v>
      </c>
      <c r="M687" s="2">
        <v>5</v>
      </c>
      <c r="N687" s="9" t="s">
        <v>1685</v>
      </c>
      <c r="O687" s="8">
        <v>334000</v>
      </c>
      <c r="P687" s="1">
        <f>(2070+2772)/12</f>
        <v>403.5</v>
      </c>
      <c r="R687" s="3">
        <v>1306</v>
      </c>
      <c r="S687" s="12">
        <f t="shared" si="30"/>
        <v>46.250000000000007</v>
      </c>
      <c r="T687" s="3">
        <f t="shared" si="31"/>
        <v>1755.75</v>
      </c>
      <c r="U687" s="8">
        <f t="shared" si="32"/>
        <v>646725</v>
      </c>
    </row>
    <row r="688" spans="1:21" ht="14.4" x14ac:dyDescent="0.3">
      <c r="A688" s="13">
        <v>45541</v>
      </c>
      <c r="B688" s="2" t="s">
        <v>1684</v>
      </c>
      <c r="C688" s="2" t="s">
        <v>4</v>
      </c>
      <c r="D688" s="2" t="s">
        <v>227</v>
      </c>
      <c r="E688" s="2" t="s">
        <v>375</v>
      </c>
      <c r="F688" s="2">
        <v>1984</v>
      </c>
      <c r="G688" s="2">
        <v>646</v>
      </c>
      <c r="H688" s="2">
        <v>646</v>
      </c>
      <c r="J688" s="2">
        <v>1</v>
      </c>
      <c r="K688" s="2">
        <v>1</v>
      </c>
      <c r="L688" s="2">
        <v>1</v>
      </c>
      <c r="M688" s="2">
        <v>6</v>
      </c>
      <c r="N688" s="9" t="s">
        <v>1683</v>
      </c>
      <c r="O688" s="8">
        <v>335000</v>
      </c>
      <c r="P688" s="1">
        <f>(1835+2460)/12</f>
        <v>357.91666666666669</v>
      </c>
      <c r="R688" s="3">
        <v>1312</v>
      </c>
      <c r="S688" s="12">
        <f t="shared" si="30"/>
        <v>50.683333333333337</v>
      </c>
      <c r="T688" s="3">
        <f t="shared" si="31"/>
        <v>1720.6000000000001</v>
      </c>
      <c r="U688" s="8">
        <f t="shared" si="32"/>
        <v>636180</v>
      </c>
    </row>
    <row r="689" spans="1:21" ht="14.4" x14ac:dyDescent="0.3">
      <c r="A689" s="13">
        <v>45541</v>
      </c>
      <c r="B689" s="2" t="s">
        <v>1682</v>
      </c>
      <c r="C689" s="2" t="s">
        <v>4</v>
      </c>
      <c r="D689" s="2" t="s">
        <v>227</v>
      </c>
      <c r="E689" s="2" t="s">
        <v>375</v>
      </c>
      <c r="F689" s="2">
        <v>2009</v>
      </c>
      <c r="G689" s="2">
        <v>745</v>
      </c>
      <c r="H689" s="2">
        <v>745</v>
      </c>
      <c r="J689" s="2">
        <v>1</v>
      </c>
      <c r="K689" s="2">
        <v>1</v>
      </c>
      <c r="L689" s="2">
        <v>1</v>
      </c>
      <c r="M689" s="2">
        <v>5</v>
      </c>
      <c r="N689" s="9" t="s">
        <v>1681</v>
      </c>
      <c r="O689" s="8">
        <v>339000</v>
      </c>
      <c r="P689" s="1">
        <f>(2476+2976)/12</f>
        <v>454.33333333333331</v>
      </c>
      <c r="R689" s="3">
        <v>1337</v>
      </c>
      <c r="S689" s="12">
        <f t="shared" si="30"/>
        <v>56.458333333333336</v>
      </c>
      <c r="T689" s="3">
        <f t="shared" si="31"/>
        <v>1847.7916666666665</v>
      </c>
      <c r="U689" s="8">
        <f t="shared" si="32"/>
        <v>674337.5</v>
      </c>
    </row>
    <row r="690" spans="1:21" ht="14.4" x14ac:dyDescent="0.3">
      <c r="A690" s="13">
        <v>45541</v>
      </c>
      <c r="B690" s="2" t="s">
        <v>1680</v>
      </c>
      <c r="C690" s="2" t="s">
        <v>4</v>
      </c>
      <c r="D690" s="2" t="s">
        <v>227</v>
      </c>
      <c r="E690" s="2" t="s">
        <v>375</v>
      </c>
      <c r="F690" s="2">
        <v>2019</v>
      </c>
      <c r="G690" s="2">
        <v>442</v>
      </c>
      <c r="H690" s="2">
        <v>442</v>
      </c>
      <c r="J690" s="2">
        <v>1</v>
      </c>
      <c r="K690" s="2">
        <v>1</v>
      </c>
      <c r="L690" s="2">
        <v>1</v>
      </c>
      <c r="M690" s="2">
        <v>5</v>
      </c>
      <c r="N690" s="9" t="s">
        <v>1679</v>
      </c>
      <c r="O690" s="8">
        <v>339900</v>
      </c>
      <c r="P690" s="1">
        <f>(2461+3156)/12</f>
        <v>468.08333333333331</v>
      </c>
      <c r="R690" s="3">
        <v>1342</v>
      </c>
      <c r="S690" s="12">
        <f t="shared" si="30"/>
        <v>38.783333333333331</v>
      </c>
      <c r="T690" s="3">
        <f t="shared" si="31"/>
        <v>1848.8666666666666</v>
      </c>
      <c r="U690" s="8">
        <f t="shared" si="32"/>
        <v>674660</v>
      </c>
    </row>
    <row r="691" spans="1:21" ht="14.4" x14ac:dyDescent="0.3">
      <c r="A691" s="13">
        <v>45541</v>
      </c>
      <c r="B691" s="2" t="s">
        <v>1678</v>
      </c>
      <c r="C691" s="2" t="s">
        <v>4</v>
      </c>
      <c r="D691" s="2" t="s">
        <v>227</v>
      </c>
      <c r="E691" s="2" t="s">
        <v>375</v>
      </c>
      <c r="F691" s="2">
        <v>2013</v>
      </c>
      <c r="G691" s="2">
        <v>662</v>
      </c>
      <c r="H691" s="2">
        <v>662</v>
      </c>
      <c r="J691" s="2">
        <v>1</v>
      </c>
      <c r="K691" s="2">
        <v>1</v>
      </c>
      <c r="L691" s="2">
        <v>1</v>
      </c>
      <c r="M691" s="2">
        <v>3</v>
      </c>
      <c r="N691" s="9" t="s">
        <v>1677</v>
      </c>
      <c r="O691" s="8">
        <v>365000</v>
      </c>
      <c r="P691" s="1">
        <f>(2688+3132)/12</f>
        <v>485</v>
      </c>
      <c r="R691" s="3">
        <v>1495</v>
      </c>
      <c r="S691" s="12">
        <f t="shared" si="30"/>
        <v>51.616666666666667</v>
      </c>
      <c r="T691" s="3">
        <f t="shared" si="31"/>
        <v>2031.6166666666666</v>
      </c>
      <c r="U691" s="8">
        <f t="shared" si="32"/>
        <v>729485</v>
      </c>
    </row>
    <row r="692" spans="1:21" ht="14.4" x14ac:dyDescent="0.3">
      <c r="A692" s="13">
        <v>45541</v>
      </c>
      <c r="B692" s="2" t="s">
        <v>1676</v>
      </c>
      <c r="C692" s="2" t="s">
        <v>4</v>
      </c>
      <c r="D692" s="2" t="s">
        <v>227</v>
      </c>
      <c r="E692" s="2" t="s">
        <v>375</v>
      </c>
      <c r="F692" s="2">
        <v>2010</v>
      </c>
      <c r="G692" s="2">
        <v>829</v>
      </c>
      <c r="H692" s="2">
        <v>829</v>
      </c>
      <c r="J692" s="2">
        <v>1</v>
      </c>
      <c r="K692" s="2">
        <v>2</v>
      </c>
      <c r="L692" s="2">
        <v>1</v>
      </c>
      <c r="M692" s="2">
        <v>5</v>
      </c>
      <c r="N692" s="9" t="s">
        <v>1675</v>
      </c>
      <c r="O692" s="8">
        <v>369000</v>
      </c>
      <c r="P692" s="1">
        <f>(2265+4272)/12</f>
        <v>544.75</v>
      </c>
      <c r="R692" s="3">
        <v>1520</v>
      </c>
      <c r="S692" s="12">
        <f t="shared" si="30"/>
        <v>61.358333333333341</v>
      </c>
      <c r="T692" s="3">
        <f t="shared" si="31"/>
        <v>2126.1083333333331</v>
      </c>
      <c r="U692" s="8">
        <f t="shared" si="32"/>
        <v>757832.49999999988</v>
      </c>
    </row>
    <row r="693" spans="1:21" ht="14.4" x14ac:dyDescent="0.3">
      <c r="A693" s="13">
        <v>45541</v>
      </c>
      <c r="B693" s="2" t="s">
        <v>1674</v>
      </c>
      <c r="C693" s="2" t="s">
        <v>4</v>
      </c>
      <c r="D693" s="2" t="s">
        <v>227</v>
      </c>
      <c r="E693" s="2" t="s">
        <v>375</v>
      </c>
      <c r="F693" s="2">
        <v>2010</v>
      </c>
      <c r="G693" s="2">
        <v>882</v>
      </c>
      <c r="H693" s="2">
        <v>882</v>
      </c>
      <c r="J693" s="2">
        <v>1</v>
      </c>
      <c r="K693" s="2">
        <v>2</v>
      </c>
      <c r="L693" s="2">
        <v>1</v>
      </c>
      <c r="M693" s="2">
        <v>5</v>
      </c>
      <c r="N693" s="9" t="s">
        <v>1673</v>
      </c>
      <c r="O693" s="8">
        <v>369000</v>
      </c>
      <c r="P693" s="1">
        <f>(2351+5700)/12</f>
        <v>670.91666666666663</v>
      </c>
      <c r="R693" s="3">
        <v>1520</v>
      </c>
      <c r="S693" s="12">
        <f t="shared" si="30"/>
        <v>64.450000000000017</v>
      </c>
      <c r="T693" s="3">
        <f t="shared" si="31"/>
        <v>2255.3666666666663</v>
      </c>
      <c r="U693" s="8">
        <f t="shared" si="32"/>
        <v>796609.99999999988</v>
      </c>
    </row>
    <row r="694" spans="1:21" ht="14.4" x14ac:dyDescent="0.3">
      <c r="A694" s="13">
        <v>45541</v>
      </c>
      <c r="B694" s="2" t="s">
        <v>1672</v>
      </c>
      <c r="C694" s="2" t="s">
        <v>4</v>
      </c>
      <c r="D694" s="2" t="s">
        <v>227</v>
      </c>
      <c r="E694" s="2" t="s">
        <v>375</v>
      </c>
      <c r="F694" s="2">
        <v>2017</v>
      </c>
      <c r="G694" s="2">
        <v>799</v>
      </c>
      <c r="H694" s="2">
        <v>799</v>
      </c>
      <c r="J694" s="2">
        <v>1</v>
      </c>
      <c r="K694" s="2">
        <v>2</v>
      </c>
      <c r="L694" s="2">
        <v>1</v>
      </c>
      <c r="M694" s="2">
        <v>6</v>
      </c>
      <c r="N694" s="9" t="s">
        <v>1671</v>
      </c>
      <c r="O694" s="8">
        <v>369000</v>
      </c>
      <c r="P694" s="1">
        <f>(2356+2794)/12</f>
        <v>429.16666666666669</v>
      </c>
      <c r="R694" s="3">
        <v>1520</v>
      </c>
      <c r="S694" s="12">
        <f t="shared" si="30"/>
        <v>59.608333333333341</v>
      </c>
      <c r="T694" s="3">
        <f t="shared" si="31"/>
        <v>2008.7750000000001</v>
      </c>
      <c r="U694" s="8">
        <f t="shared" si="32"/>
        <v>722632.50000000012</v>
      </c>
    </row>
    <row r="695" spans="1:21" ht="14.4" x14ac:dyDescent="0.3">
      <c r="A695" s="13">
        <v>45541</v>
      </c>
      <c r="B695" s="2" t="s">
        <v>1670</v>
      </c>
      <c r="C695" s="2" t="s">
        <v>4</v>
      </c>
      <c r="D695" s="2" t="s">
        <v>227</v>
      </c>
      <c r="E695" s="2" t="s">
        <v>375</v>
      </c>
      <c r="F695" s="2">
        <v>2009</v>
      </c>
      <c r="G695" s="2">
        <v>745</v>
      </c>
      <c r="H695" s="2">
        <v>745</v>
      </c>
      <c r="J695" s="2">
        <v>1</v>
      </c>
      <c r="K695" s="2">
        <v>1</v>
      </c>
      <c r="L695" s="2">
        <v>1</v>
      </c>
      <c r="M695" s="2">
        <v>5</v>
      </c>
      <c r="N695" s="9" t="s">
        <v>1669</v>
      </c>
      <c r="O695" s="8">
        <v>375000</v>
      </c>
      <c r="P695" s="1">
        <f>(2454+3456)/12</f>
        <v>492.5</v>
      </c>
      <c r="R695" s="3">
        <v>1556</v>
      </c>
      <c r="S695" s="12">
        <f t="shared" si="30"/>
        <v>56.458333333333336</v>
      </c>
      <c r="T695" s="3">
        <f t="shared" si="31"/>
        <v>2104.9583333333335</v>
      </c>
      <c r="U695" s="8">
        <f t="shared" si="32"/>
        <v>751487.5</v>
      </c>
    </row>
    <row r="696" spans="1:21" ht="41.4" x14ac:dyDescent="0.3">
      <c r="A696" s="13">
        <v>45541</v>
      </c>
      <c r="B696" s="10" t="s">
        <v>1668</v>
      </c>
      <c r="C696" s="2" t="s">
        <v>4</v>
      </c>
      <c r="D696" s="2" t="s">
        <v>227</v>
      </c>
      <c r="E696" s="2" t="s">
        <v>375</v>
      </c>
      <c r="F696" s="2">
        <v>2004</v>
      </c>
      <c r="G696" s="2">
        <v>972</v>
      </c>
      <c r="H696" s="2">
        <v>972</v>
      </c>
      <c r="J696" s="2">
        <v>1</v>
      </c>
      <c r="K696" s="2">
        <v>1</v>
      </c>
      <c r="L696" s="2">
        <v>1</v>
      </c>
      <c r="M696" s="2">
        <v>6</v>
      </c>
      <c r="N696" s="9" t="s">
        <v>1667</v>
      </c>
      <c r="O696" s="8">
        <v>383000</v>
      </c>
      <c r="P696" s="1">
        <f>(3157+2988)/12</f>
        <v>512.08333333333337</v>
      </c>
      <c r="R696" s="3">
        <v>1605</v>
      </c>
      <c r="S696" s="12">
        <f t="shared" si="30"/>
        <v>69.700000000000017</v>
      </c>
      <c r="T696" s="3">
        <f t="shared" si="31"/>
        <v>2186.7833333333333</v>
      </c>
      <c r="U696" s="8">
        <f t="shared" si="32"/>
        <v>776035</v>
      </c>
    </row>
    <row r="697" spans="1:21" ht="41.4" x14ac:dyDescent="0.3">
      <c r="A697" s="13">
        <v>45541</v>
      </c>
      <c r="B697" s="10" t="s">
        <v>1666</v>
      </c>
      <c r="C697" s="2" t="s">
        <v>4</v>
      </c>
      <c r="D697" s="2" t="s">
        <v>227</v>
      </c>
      <c r="E697" s="2" t="s">
        <v>375</v>
      </c>
      <c r="F697" s="2">
        <v>2017</v>
      </c>
      <c r="G697" s="2">
        <v>568</v>
      </c>
      <c r="H697" s="2">
        <v>568</v>
      </c>
      <c r="J697" s="2">
        <v>1</v>
      </c>
      <c r="K697" s="2">
        <v>1</v>
      </c>
      <c r="L697" s="2">
        <v>1</v>
      </c>
      <c r="M697" s="2">
        <v>6</v>
      </c>
      <c r="N697" s="9" t="s">
        <v>1665</v>
      </c>
      <c r="O697" s="8">
        <v>385000</v>
      </c>
      <c r="P697" s="1">
        <f>(2741+2832)/12</f>
        <v>464.41666666666669</v>
      </c>
      <c r="R697" s="3">
        <v>1618</v>
      </c>
      <c r="S697" s="12">
        <f t="shared" si="30"/>
        <v>46.133333333333333</v>
      </c>
      <c r="T697" s="3">
        <f t="shared" si="31"/>
        <v>2128.5499999999997</v>
      </c>
      <c r="U697" s="8">
        <f t="shared" si="32"/>
        <v>758565</v>
      </c>
    </row>
    <row r="698" spans="1:21" ht="14.4" x14ac:dyDescent="0.3">
      <c r="A698" s="13">
        <v>45541</v>
      </c>
      <c r="B698" s="2" t="s">
        <v>1664</v>
      </c>
      <c r="C698" s="2" t="s">
        <v>4</v>
      </c>
      <c r="D698" s="2" t="s">
        <v>227</v>
      </c>
      <c r="E698" s="2" t="s">
        <v>1734</v>
      </c>
      <c r="F698" s="2">
        <v>1950</v>
      </c>
      <c r="G698" s="1">
        <f>(5.5*3.9+11.7*11.7+10.4*4.9+11.7*11.7+23.9*11.9+9.9*11.6+11.7*8.2+10.4*10.8+5.9*9)*1.3</f>
        <v>1308.8399999999999</v>
      </c>
      <c r="H698" s="2">
        <v>4845</v>
      </c>
      <c r="J698" s="2">
        <v>1</v>
      </c>
      <c r="K698" s="2">
        <v>2</v>
      </c>
      <c r="L698" s="2">
        <v>1</v>
      </c>
      <c r="M698" s="2">
        <v>9</v>
      </c>
      <c r="N698" s="9" t="s">
        <v>1663</v>
      </c>
      <c r="O698" s="8">
        <v>389000</v>
      </c>
      <c r="P698" s="1">
        <f>(3439+325)/12</f>
        <v>313.66666666666669</v>
      </c>
      <c r="R698" s="3">
        <v>1642</v>
      </c>
      <c r="S698" s="12">
        <f t="shared" si="30"/>
        <v>89.349000000000004</v>
      </c>
      <c r="T698" s="3">
        <f t="shared" si="31"/>
        <v>2045.0156666666667</v>
      </c>
      <c r="U698" s="8">
        <f t="shared" si="32"/>
        <v>733504.70000000007</v>
      </c>
    </row>
    <row r="699" spans="1:21" ht="14.4" x14ac:dyDescent="0.3">
      <c r="A699" s="13">
        <v>45541</v>
      </c>
      <c r="B699" s="2" t="s">
        <v>1662</v>
      </c>
      <c r="C699" s="2" t="s">
        <v>4</v>
      </c>
      <c r="D699" s="2" t="s">
        <v>227</v>
      </c>
      <c r="E699" s="2" t="s">
        <v>375</v>
      </c>
      <c r="F699" s="2">
        <v>2010</v>
      </c>
      <c r="G699" s="2">
        <v>676</v>
      </c>
      <c r="H699" s="2">
        <v>676</v>
      </c>
      <c r="J699" s="2">
        <v>1</v>
      </c>
      <c r="K699" s="2">
        <v>1</v>
      </c>
      <c r="L699" s="2">
        <v>1</v>
      </c>
      <c r="M699" s="2">
        <v>4</v>
      </c>
      <c r="N699" s="9" t="s">
        <v>1661</v>
      </c>
      <c r="O699" s="8">
        <v>399000</v>
      </c>
      <c r="P699" s="1">
        <f>(2504+3436)/12</f>
        <v>495</v>
      </c>
      <c r="R699" s="3">
        <v>1703</v>
      </c>
      <c r="S699" s="12">
        <f t="shared" si="30"/>
        <v>52.433333333333337</v>
      </c>
      <c r="T699" s="3">
        <f t="shared" si="31"/>
        <v>2250.4333333333334</v>
      </c>
      <c r="U699" s="8">
        <f t="shared" si="32"/>
        <v>795130</v>
      </c>
    </row>
    <row r="700" spans="1:21" ht="14.4" x14ac:dyDescent="0.3">
      <c r="A700" s="13">
        <v>45541</v>
      </c>
      <c r="B700" s="2" t="s">
        <v>1115</v>
      </c>
      <c r="C700" s="2" t="s">
        <v>4</v>
      </c>
      <c r="D700" s="2" t="s">
        <v>227</v>
      </c>
      <c r="E700" s="2" t="s">
        <v>375</v>
      </c>
      <c r="F700" s="2">
        <v>2018</v>
      </c>
      <c r="G700" s="2">
        <v>578</v>
      </c>
      <c r="H700" s="2">
        <v>578</v>
      </c>
      <c r="J700" s="2">
        <v>1</v>
      </c>
      <c r="K700" s="2">
        <v>1</v>
      </c>
      <c r="L700" s="2">
        <v>1</v>
      </c>
      <c r="M700" s="2">
        <v>5</v>
      </c>
      <c r="N700" s="9" t="s">
        <v>1660</v>
      </c>
      <c r="O700" s="8">
        <v>399000</v>
      </c>
      <c r="P700" s="1">
        <f>(2432+3308)/12</f>
        <v>478.33333333333331</v>
      </c>
      <c r="R700" s="3">
        <v>1703</v>
      </c>
      <c r="S700" s="12">
        <f t="shared" si="30"/>
        <v>46.716666666666669</v>
      </c>
      <c r="T700" s="3">
        <f t="shared" si="31"/>
        <v>2228.0500000000002</v>
      </c>
      <c r="U700" s="8">
        <f t="shared" si="32"/>
        <v>788415</v>
      </c>
    </row>
    <row r="701" spans="1:21" ht="14.4" x14ac:dyDescent="0.3">
      <c r="A701" s="13">
        <v>45541</v>
      </c>
      <c r="B701" s="2" t="s">
        <v>1659</v>
      </c>
      <c r="C701" s="2" t="s">
        <v>4</v>
      </c>
      <c r="D701" s="2" t="s">
        <v>227</v>
      </c>
      <c r="E701" s="2" t="s">
        <v>375</v>
      </c>
      <c r="F701" s="2">
        <v>1990</v>
      </c>
      <c r="G701" s="2">
        <v>892</v>
      </c>
      <c r="H701" s="2">
        <v>892</v>
      </c>
      <c r="J701" s="2">
        <v>1</v>
      </c>
      <c r="K701" s="2">
        <v>2</v>
      </c>
      <c r="L701" s="2">
        <v>1</v>
      </c>
      <c r="M701" s="2">
        <v>8</v>
      </c>
      <c r="N701" s="9" t="s">
        <v>1658</v>
      </c>
      <c r="O701" s="8">
        <v>424900</v>
      </c>
      <c r="P701" s="1">
        <f>(2556+5292)/12</f>
        <v>654</v>
      </c>
      <c r="R701" s="3">
        <v>1861</v>
      </c>
      <c r="S701" s="12">
        <f t="shared" si="30"/>
        <v>65.033333333333331</v>
      </c>
      <c r="T701" s="3">
        <f t="shared" si="31"/>
        <v>2580.0333333333333</v>
      </c>
      <c r="U701" s="8">
        <f t="shared" si="32"/>
        <v>894010</v>
      </c>
    </row>
    <row r="702" spans="1:21" ht="27.6" x14ac:dyDescent="0.3">
      <c r="A702" s="13">
        <v>45541</v>
      </c>
      <c r="B702" s="10" t="s">
        <v>1657</v>
      </c>
      <c r="C702" s="2" t="s">
        <v>4</v>
      </c>
      <c r="D702" s="2" t="s">
        <v>227</v>
      </c>
      <c r="E702" s="2" t="s">
        <v>1734</v>
      </c>
      <c r="F702" s="2">
        <v>1956</v>
      </c>
      <c r="G702" s="1">
        <f>(10*10.9+16.9*11.3+11.3*13.6+11.2*11.5+9*10.9+6.9*4.8+26.7*30)*1.3</f>
        <v>1969.0710000000001</v>
      </c>
      <c r="H702" s="2">
        <v>4700</v>
      </c>
      <c r="J702" s="2">
        <v>1</v>
      </c>
      <c r="K702" s="2">
        <v>2</v>
      </c>
      <c r="L702" s="2">
        <v>1</v>
      </c>
      <c r="M702" s="2">
        <v>7</v>
      </c>
      <c r="N702" s="9" t="s">
        <v>1656</v>
      </c>
      <c r="O702" s="8">
        <v>424900</v>
      </c>
      <c r="P702" s="1">
        <f>3239/12</f>
        <v>269.91666666666669</v>
      </c>
      <c r="R702" s="3">
        <v>1861</v>
      </c>
      <c r="S702" s="12">
        <f t="shared" si="30"/>
        <v>127.86247500000002</v>
      </c>
      <c r="T702" s="3">
        <f t="shared" si="31"/>
        <v>2258.7791416666664</v>
      </c>
      <c r="U702" s="8">
        <f t="shared" si="32"/>
        <v>797633.74249999993</v>
      </c>
    </row>
    <row r="703" spans="1:21" ht="14.4" x14ac:dyDescent="0.3">
      <c r="A703" s="13">
        <v>45541</v>
      </c>
      <c r="B703" s="2" t="s">
        <v>1655</v>
      </c>
      <c r="C703" s="2" t="s">
        <v>4</v>
      </c>
      <c r="D703" s="2" t="s">
        <v>227</v>
      </c>
      <c r="E703" s="2" t="s">
        <v>375</v>
      </c>
      <c r="F703" s="2">
        <v>2010</v>
      </c>
      <c r="G703" s="2">
        <v>900</v>
      </c>
      <c r="H703" s="2">
        <v>900</v>
      </c>
      <c r="J703" s="2">
        <v>1</v>
      </c>
      <c r="K703" s="2">
        <v>2</v>
      </c>
      <c r="L703" s="2">
        <v>1</v>
      </c>
      <c r="M703" s="2">
        <v>8</v>
      </c>
      <c r="N703" s="9" t="s">
        <v>1654</v>
      </c>
      <c r="O703" s="8">
        <v>425000</v>
      </c>
      <c r="P703" s="1">
        <f>(1724+4872)/12</f>
        <v>549.66666666666663</v>
      </c>
      <c r="R703" s="3">
        <v>1862</v>
      </c>
      <c r="S703" s="12">
        <f t="shared" si="30"/>
        <v>65.5</v>
      </c>
      <c r="T703" s="3">
        <f t="shared" si="31"/>
        <v>2477.1666666666665</v>
      </c>
      <c r="U703" s="8">
        <f t="shared" si="32"/>
        <v>863150</v>
      </c>
    </row>
    <row r="704" spans="1:21" ht="14.4" x14ac:dyDescent="0.3">
      <c r="A704" s="13">
        <v>45541</v>
      </c>
      <c r="B704" s="2" t="s">
        <v>1653</v>
      </c>
      <c r="C704" s="2" t="s">
        <v>4</v>
      </c>
      <c r="D704" s="2" t="s">
        <v>227</v>
      </c>
      <c r="E704" s="2" t="s">
        <v>375</v>
      </c>
      <c r="F704" s="2">
        <v>1983</v>
      </c>
      <c r="G704" s="1">
        <f>(8.9*3.9+10.9*9.9+10*9.5+20*14.6+17.6*10.9+14.2*9.7+11.8*7.9)*1.3</f>
        <v>1238.1460000000002</v>
      </c>
      <c r="H704" s="1">
        <f>(8.9*3.9+10.9*9.9+10*9.5+20*14.6+17.6*10.9+14.2*9.7+11.8*7.9)*1.3</f>
        <v>1238.1460000000002</v>
      </c>
      <c r="J704" s="2">
        <v>1</v>
      </c>
      <c r="K704" s="2">
        <v>2</v>
      </c>
      <c r="L704" s="2">
        <v>1</v>
      </c>
      <c r="M704" s="2">
        <v>7</v>
      </c>
      <c r="N704" s="9" t="s">
        <v>1652</v>
      </c>
      <c r="O704" s="8">
        <v>449000</v>
      </c>
      <c r="P704" s="1">
        <f>(2487+3552)/12</f>
        <v>503.25</v>
      </c>
      <c r="R704" s="3">
        <v>2008</v>
      </c>
      <c r="S704" s="12">
        <f t="shared" si="30"/>
        <v>85.225183333333362</v>
      </c>
      <c r="T704" s="3">
        <f t="shared" si="31"/>
        <v>2596.4751833333335</v>
      </c>
      <c r="U704" s="8">
        <f t="shared" si="32"/>
        <v>898942.55499999993</v>
      </c>
    </row>
    <row r="705" spans="1:21" ht="14.4" x14ac:dyDescent="0.3">
      <c r="A705" s="13">
        <v>45541</v>
      </c>
      <c r="B705" s="16" t="s">
        <v>1651</v>
      </c>
      <c r="C705" s="2" t="s">
        <v>4</v>
      </c>
      <c r="D705" s="2" t="s">
        <v>227</v>
      </c>
      <c r="E705" s="2" t="s">
        <v>1734</v>
      </c>
      <c r="F705" s="2">
        <v>1962</v>
      </c>
      <c r="G705" s="1">
        <f>(3.7*3.8+11.4*11.9+9.9*11.6+13.5*8.9+11.1*13.9+10.1*5.9+23.4*16.4+11.6*11.3+5.5*6+10*9.9+6.7*5.6)*1.3</f>
        <v>1667.8349999999998</v>
      </c>
      <c r="H705" s="2">
        <v>4270</v>
      </c>
      <c r="J705" s="2">
        <v>1</v>
      </c>
      <c r="K705" s="2">
        <v>2</v>
      </c>
      <c r="L705" s="2">
        <v>2</v>
      </c>
      <c r="M705" s="2">
        <v>8</v>
      </c>
      <c r="N705" s="9" t="s">
        <v>1650</v>
      </c>
      <c r="O705" s="8">
        <v>474900</v>
      </c>
      <c r="P705" s="1">
        <f>3122/12</f>
        <v>260.16666666666669</v>
      </c>
      <c r="R705" s="3">
        <v>2166</v>
      </c>
      <c r="S705" s="12">
        <f t="shared" si="30"/>
        <v>110.290375</v>
      </c>
      <c r="T705" s="3">
        <f t="shared" si="31"/>
        <v>2536.4570416666666</v>
      </c>
      <c r="U705" s="8">
        <f t="shared" si="32"/>
        <v>880937.11249999993</v>
      </c>
    </row>
    <row r="706" spans="1:21" ht="14.4" x14ac:dyDescent="0.3">
      <c r="A706" s="13">
        <v>45541</v>
      </c>
      <c r="B706" s="2" t="s">
        <v>1649</v>
      </c>
      <c r="C706" s="2" t="s">
        <v>4</v>
      </c>
      <c r="D706" s="2" t="s">
        <v>227</v>
      </c>
      <c r="E706" s="2" t="s">
        <v>1734</v>
      </c>
      <c r="F706" s="2">
        <v>1962</v>
      </c>
      <c r="G706" s="1">
        <f>(12*9+9*10+9*10+9*2+11*14+12*14+9*11+5*6+11*19)*1.3</f>
        <v>1255.8</v>
      </c>
      <c r="H706" s="2">
        <v>5000</v>
      </c>
      <c r="J706" s="2">
        <v>1</v>
      </c>
      <c r="K706" s="2">
        <v>4</v>
      </c>
      <c r="L706" s="2">
        <v>2</v>
      </c>
      <c r="M706" s="2">
        <v>9</v>
      </c>
      <c r="N706" s="9" t="s">
        <v>1648</v>
      </c>
      <c r="O706" s="8">
        <v>499900</v>
      </c>
      <c r="P706" s="1">
        <f>3640/12</f>
        <v>303.33333333333331</v>
      </c>
      <c r="R706" s="3">
        <v>2319</v>
      </c>
      <c r="S706" s="12">
        <f t="shared" ref="S706:S769" si="33">13+(G706*10*0.07)/12</f>
        <v>86.25500000000001</v>
      </c>
      <c r="T706" s="3">
        <f t="shared" ref="T706:T769" si="34">P706+R706+S706</f>
        <v>2708.5883333333336</v>
      </c>
      <c r="U706" s="8">
        <f t="shared" ref="U706:U769" si="35">120000+T706*12*25</f>
        <v>932576.50000000012</v>
      </c>
    </row>
    <row r="707" spans="1:21" ht="14.4" x14ac:dyDescent="0.3">
      <c r="A707" s="13">
        <v>45541</v>
      </c>
      <c r="B707" s="2" t="s">
        <v>1647</v>
      </c>
      <c r="C707" s="2" t="s">
        <v>4</v>
      </c>
      <c r="D707" s="2" t="s">
        <v>227</v>
      </c>
      <c r="E707" s="2" t="s">
        <v>1734</v>
      </c>
      <c r="F707" s="2">
        <v>1987</v>
      </c>
      <c r="G707" s="1">
        <f>(11.8*16.6+7.1*5.2+9.6*9.2+8*9.1+13.1*12.9+8.1*7.9+9.9*11.9+19*14.6+11.6*14)*1.3</f>
        <v>1539.8630000000001</v>
      </c>
      <c r="H707" s="2">
        <v>3097</v>
      </c>
      <c r="J707" s="2">
        <v>1</v>
      </c>
      <c r="K707" s="2">
        <v>2</v>
      </c>
      <c r="L707" s="2">
        <v>1</v>
      </c>
      <c r="M707" s="2">
        <v>9</v>
      </c>
      <c r="N707" s="9" t="s">
        <v>1646</v>
      </c>
      <c r="O707" s="8">
        <v>534999</v>
      </c>
      <c r="P707" s="1">
        <f>3302/12</f>
        <v>275.16666666666669</v>
      </c>
      <c r="R707" s="3">
        <v>2533</v>
      </c>
      <c r="S707" s="12">
        <f t="shared" si="33"/>
        <v>102.82534166666669</v>
      </c>
      <c r="T707" s="3">
        <f t="shared" si="34"/>
        <v>2910.9920083333332</v>
      </c>
      <c r="U707" s="8">
        <f t="shared" si="35"/>
        <v>993297.60250000004</v>
      </c>
    </row>
    <row r="708" spans="1:21" ht="14.4" x14ac:dyDescent="0.3">
      <c r="A708" s="13">
        <v>45551</v>
      </c>
      <c r="B708" s="2" t="s">
        <v>1645</v>
      </c>
      <c r="C708" s="2" t="s">
        <v>4</v>
      </c>
      <c r="D708" s="2" t="s">
        <v>227</v>
      </c>
      <c r="E708" s="2" t="s">
        <v>375</v>
      </c>
      <c r="F708" s="2">
        <v>2004</v>
      </c>
      <c r="G708" s="1">
        <v>1111</v>
      </c>
      <c r="H708" s="2">
        <v>1111</v>
      </c>
      <c r="J708" s="2">
        <v>1</v>
      </c>
      <c r="K708" s="2">
        <v>2</v>
      </c>
      <c r="L708" s="2">
        <v>2</v>
      </c>
      <c r="M708" s="2">
        <v>7</v>
      </c>
      <c r="N708" s="9" t="s">
        <v>1644</v>
      </c>
      <c r="O708" s="8">
        <v>539000</v>
      </c>
      <c r="P708" s="1">
        <f>(3183+6342)/12</f>
        <v>793.75</v>
      </c>
      <c r="R708" s="3">
        <v>2558</v>
      </c>
      <c r="S708" s="12">
        <f t="shared" si="33"/>
        <v>77.808333333333337</v>
      </c>
      <c r="T708" s="3">
        <f t="shared" si="34"/>
        <v>3429.5583333333334</v>
      </c>
      <c r="U708" s="8">
        <f t="shared" si="35"/>
        <v>1148867.5</v>
      </c>
    </row>
    <row r="709" spans="1:21" ht="14.4" x14ac:dyDescent="0.3">
      <c r="A709" s="13">
        <v>45551</v>
      </c>
      <c r="B709" s="2" t="s">
        <v>1643</v>
      </c>
      <c r="C709" s="2" t="s">
        <v>4</v>
      </c>
      <c r="D709" s="2" t="s">
        <v>227</v>
      </c>
      <c r="E709" s="2" t="s">
        <v>1734</v>
      </c>
      <c r="F709" s="2">
        <v>1961</v>
      </c>
      <c r="G709" s="1">
        <f>(3.8*4.7+10.9*16.6+12.3*12.2+9.7*12.2+10.3*10.7+10.9*12.9+5*6.9+3.1*3+12.6*19.7+9.5*12.9+3.9*6.5+6.9*11.2)*1.3</f>
        <v>1605.7859999999998</v>
      </c>
      <c r="H709" s="2">
        <v>5400</v>
      </c>
      <c r="J709" s="2">
        <v>2</v>
      </c>
      <c r="K709" s="2">
        <v>4</v>
      </c>
      <c r="L709" s="2">
        <v>2</v>
      </c>
      <c r="M709" s="2">
        <v>12</v>
      </c>
      <c r="N709" s="9" t="s">
        <v>1642</v>
      </c>
      <c r="O709" s="8">
        <v>599900</v>
      </c>
      <c r="P709" s="1">
        <f>3652/12</f>
        <v>304.33333333333331</v>
      </c>
      <c r="R709" s="3">
        <v>2929</v>
      </c>
      <c r="S709" s="12">
        <f t="shared" si="33"/>
        <v>106.67085000000002</v>
      </c>
      <c r="T709" s="3">
        <f t="shared" si="34"/>
        <v>3340.0041833333335</v>
      </c>
      <c r="U709" s="8">
        <f t="shared" si="35"/>
        <v>1122001.2549999999</v>
      </c>
    </row>
    <row r="710" spans="1:21" ht="14.4" x14ac:dyDescent="0.3">
      <c r="A710" s="13">
        <v>45551</v>
      </c>
      <c r="B710" s="2" t="s">
        <v>1641</v>
      </c>
      <c r="C710" s="2" t="s">
        <v>4</v>
      </c>
      <c r="D710" s="2" t="s">
        <v>227</v>
      </c>
      <c r="E710" s="2" t="s">
        <v>1734</v>
      </c>
      <c r="F710" s="2">
        <v>1955</v>
      </c>
      <c r="G710" s="1">
        <f>(11.3*13.6+12*10.3+10*12.3+11.3*11.1+10.9*8+7*8.9+17.4*11.6+8*13+9.9*11.4+8.9*6+9.6*10+10*12)*1.3</f>
        <v>1772.3029999999999</v>
      </c>
      <c r="H710" s="2">
        <v>7675</v>
      </c>
      <c r="J710" s="2">
        <v>2</v>
      </c>
      <c r="K710" s="2">
        <v>4</v>
      </c>
      <c r="L710" s="2">
        <v>2</v>
      </c>
      <c r="M710" s="2">
        <v>12</v>
      </c>
      <c r="N710" s="9" t="s">
        <v>1640</v>
      </c>
      <c r="O710" s="8">
        <v>645000</v>
      </c>
      <c r="P710" s="1">
        <f>3712/12</f>
        <v>309.33333333333331</v>
      </c>
      <c r="R710" s="3">
        <v>3205</v>
      </c>
      <c r="S710" s="12">
        <f t="shared" si="33"/>
        <v>116.38434166666667</v>
      </c>
      <c r="T710" s="3">
        <f t="shared" si="34"/>
        <v>3630.7176750000003</v>
      </c>
      <c r="U710" s="8">
        <f t="shared" si="35"/>
        <v>1209215.3025000002</v>
      </c>
    </row>
    <row r="711" spans="1:21" ht="14.4" x14ac:dyDescent="0.3">
      <c r="A711" s="13">
        <v>45551</v>
      </c>
      <c r="B711" s="2" t="s">
        <v>1639</v>
      </c>
      <c r="C711" s="2" t="s">
        <v>4</v>
      </c>
      <c r="D711" s="2" t="s">
        <v>227</v>
      </c>
      <c r="E711" s="2" t="s">
        <v>1734</v>
      </c>
      <c r="F711" s="2">
        <v>1914</v>
      </c>
      <c r="G711" s="1">
        <f>(13*6.1+12.5*9.6+10*9.4+6.1*3.7+11.7*10.4+10.5*9+10*9.9+9.7*6.9+18.7*18.6)*1.3</f>
        <v>1359.54</v>
      </c>
      <c r="H711" s="2">
        <v>5281</v>
      </c>
      <c r="J711" s="2">
        <v>2</v>
      </c>
      <c r="K711" s="2">
        <v>3</v>
      </c>
      <c r="L711" s="2">
        <v>2</v>
      </c>
      <c r="M711" s="2">
        <v>6</v>
      </c>
      <c r="N711" s="9" t="s">
        <v>1638</v>
      </c>
      <c r="O711" s="8">
        <v>649000</v>
      </c>
      <c r="P711" s="1">
        <f>2614/12</f>
        <v>217.83333333333334</v>
      </c>
      <c r="R711" s="3">
        <v>3229</v>
      </c>
      <c r="S711" s="12">
        <f t="shared" si="33"/>
        <v>92.306500000000014</v>
      </c>
      <c r="T711" s="3">
        <f t="shared" si="34"/>
        <v>3539.1398333333336</v>
      </c>
      <c r="U711" s="8">
        <f t="shared" si="35"/>
        <v>1181741.95</v>
      </c>
    </row>
    <row r="712" spans="1:21" ht="14.4" x14ac:dyDescent="0.3">
      <c r="A712" s="13">
        <v>45551</v>
      </c>
      <c r="B712" s="2" t="s">
        <v>1637</v>
      </c>
      <c r="C712" s="2" t="s">
        <v>4</v>
      </c>
      <c r="D712" s="2" t="s">
        <v>227</v>
      </c>
      <c r="E712" s="2" t="s">
        <v>1734</v>
      </c>
      <c r="F712" s="2">
        <v>1983</v>
      </c>
      <c r="G712" s="1">
        <f>(16.8*12.5+8.3*12.1+15.7*7.1+14.1*12.8+9*12.2+9.1*7.7+22*10.6+10.9*10.7+10*11.8+12.6*15.5)*1.3</f>
        <v>1878.9939999999999</v>
      </c>
      <c r="H712" s="2">
        <v>4021</v>
      </c>
      <c r="J712" s="2">
        <v>2</v>
      </c>
      <c r="K712" s="2">
        <v>3</v>
      </c>
      <c r="L712" s="2">
        <v>1</v>
      </c>
      <c r="M712" s="2">
        <v>10</v>
      </c>
      <c r="N712" s="9" t="s">
        <v>1636</v>
      </c>
      <c r="O712" s="8">
        <v>649500</v>
      </c>
      <c r="P712" s="1">
        <f>4148/12</f>
        <v>345.66666666666669</v>
      </c>
      <c r="R712" s="3">
        <v>3232</v>
      </c>
      <c r="S712" s="12">
        <f t="shared" si="33"/>
        <v>122.60798333333334</v>
      </c>
      <c r="T712" s="3">
        <f t="shared" si="34"/>
        <v>3700.2746499999998</v>
      </c>
      <c r="U712" s="8">
        <f t="shared" si="35"/>
        <v>1230082.395</v>
      </c>
    </row>
    <row r="713" spans="1:21" ht="14.4" x14ac:dyDescent="0.3">
      <c r="A713" s="13">
        <v>45551</v>
      </c>
      <c r="B713" s="2" t="s">
        <v>1635</v>
      </c>
      <c r="C713" s="2" t="s">
        <v>4</v>
      </c>
      <c r="D713" s="2" t="s">
        <v>227</v>
      </c>
      <c r="E713" s="2" t="s">
        <v>375</v>
      </c>
      <c r="F713" s="2">
        <v>2018</v>
      </c>
      <c r="G713" s="1">
        <v>1078</v>
      </c>
      <c r="H713" s="1">
        <v>1078</v>
      </c>
      <c r="J713" s="2">
        <v>1</v>
      </c>
      <c r="K713" s="2">
        <v>2</v>
      </c>
      <c r="L713" s="2">
        <v>2</v>
      </c>
      <c r="M713" s="2">
        <v>7</v>
      </c>
      <c r="N713" s="9" t="s">
        <v>1634</v>
      </c>
      <c r="O713" s="8">
        <v>649900</v>
      </c>
      <c r="P713" s="1">
        <f>(4171+5004)/12</f>
        <v>764.58333333333337</v>
      </c>
      <c r="R713" s="3">
        <v>3234</v>
      </c>
      <c r="S713" s="12">
        <f t="shared" si="33"/>
        <v>75.883333333333326</v>
      </c>
      <c r="T713" s="3">
        <f t="shared" si="34"/>
        <v>4074.4666666666667</v>
      </c>
      <c r="U713" s="8">
        <f t="shared" si="35"/>
        <v>1342340</v>
      </c>
    </row>
    <row r="714" spans="1:21" ht="14.4" x14ac:dyDescent="0.3">
      <c r="A714" s="13">
        <v>45551</v>
      </c>
      <c r="B714" s="2" t="s">
        <v>1633</v>
      </c>
      <c r="C714" s="2" t="s">
        <v>4</v>
      </c>
      <c r="D714" s="2" t="s">
        <v>227</v>
      </c>
      <c r="E714" s="2" t="s">
        <v>1734</v>
      </c>
      <c r="F714" s="2">
        <v>1955</v>
      </c>
      <c r="G714" s="1">
        <f>(11.9*11.5+15.3*12.3+9.3*8.1+14.3*9.7+10.9*9.3+11.7*7.9+6.9*6.1+11.9*10+3.5*3.3+20.1*11.9+33.2*11.1)*1.3</f>
        <v>1967.1990000000001</v>
      </c>
      <c r="H714" s="2">
        <v>5000</v>
      </c>
      <c r="J714" s="2">
        <v>2</v>
      </c>
      <c r="K714" s="2">
        <v>4</v>
      </c>
      <c r="L714" s="2">
        <v>2</v>
      </c>
      <c r="M714" s="2">
        <v>10</v>
      </c>
      <c r="N714" s="9" t="s">
        <v>1632</v>
      </c>
      <c r="O714" s="8">
        <v>650000</v>
      </c>
      <c r="P714" s="1">
        <f>3184/12</f>
        <v>265.33333333333331</v>
      </c>
      <c r="R714" s="3">
        <v>3235</v>
      </c>
      <c r="S714" s="12">
        <f t="shared" si="33"/>
        <v>127.75327500000002</v>
      </c>
      <c r="T714" s="3">
        <f t="shared" si="34"/>
        <v>3628.0866083333335</v>
      </c>
      <c r="U714" s="8">
        <f t="shared" si="35"/>
        <v>1208425.9825000002</v>
      </c>
    </row>
    <row r="715" spans="1:21" ht="14.4" x14ac:dyDescent="0.3">
      <c r="A715" s="13">
        <v>45551</v>
      </c>
      <c r="B715" s="2" t="s">
        <v>1631</v>
      </c>
      <c r="C715" s="2" t="s">
        <v>4</v>
      </c>
      <c r="D715" s="2" t="s">
        <v>227</v>
      </c>
      <c r="E715" s="2" t="s">
        <v>1734</v>
      </c>
      <c r="F715" s="2">
        <v>1910</v>
      </c>
      <c r="G715" s="1">
        <f>(19.9*14.2+14.9*9.8+8.3*9.5+11.2*23.2+7.9*6.5+11.4*9.2+11.4*9.3+7.6*7.5+15.1*13.1+8.9*16.3+2.9*7.4+8.6*7.8+19*7.7+7.8*13.6)*1.3</f>
        <v>2301.4419999999996</v>
      </c>
      <c r="H715" s="2">
        <v>4800</v>
      </c>
      <c r="J715" s="2">
        <v>3</v>
      </c>
      <c r="K715" s="2">
        <v>4</v>
      </c>
      <c r="L715" s="2">
        <v>4</v>
      </c>
      <c r="M715" s="2">
        <v>14</v>
      </c>
      <c r="N715" s="9" t="s">
        <v>1630</v>
      </c>
      <c r="O715" s="8">
        <v>650000</v>
      </c>
      <c r="P715" s="1">
        <f>2924/12</f>
        <v>243.66666666666666</v>
      </c>
      <c r="R715" s="3">
        <v>3235</v>
      </c>
      <c r="S715" s="12">
        <f t="shared" si="33"/>
        <v>147.25078333333332</v>
      </c>
      <c r="T715" s="3">
        <f t="shared" si="34"/>
        <v>3625.9174499999999</v>
      </c>
      <c r="U715" s="8">
        <f t="shared" si="35"/>
        <v>1207775.2349999999</v>
      </c>
    </row>
    <row r="716" spans="1:21" ht="14.4" x14ac:dyDescent="0.3">
      <c r="A716" s="13">
        <v>45551</v>
      </c>
      <c r="B716" s="2" t="s">
        <v>1629</v>
      </c>
      <c r="C716" s="2" t="s">
        <v>4</v>
      </c>
      <c r="D716" s="2" t="s">
        <v>227</v>
      </c>
      <c r="E716" s="2" t="s">
        <v>1734</v>
      </c>
      <c r="F716" s="2">
        <v>1970</v>
      </c>
      <c r="G716" s="1">
        <f>(5.9*3.8+12.5*16.6+10.9*9.8+10.9*8.6+14.2*10.9+12.9*9.9+11.1*9+10.9*4.9+18.3*19+10.6*8.6+6.8*11.3+12.4*6.4+8.9*7.9)*1.3</f>
        <v>1991.1450000000002</v>
      </c>
      <c r="H716" s="2">
        <v>5298</v>
      </c>
      <c r="J716" s="2">
        <v>3</v>
      </c>
      <c r="K716" s="2">
        <v>4</v>
      </c>
      <c r="L716" s="2">
        <v>2</v>
      </c>
      <c r="M716" s="2">
        <v>12</v>
      </c>
      <c r="N716" s="9" t="s">
        <v>1628</v>
      </c>
      <c r="O716" s="8">
        <v>659000</v>
      </c>
      <c r="P716" s="1">
        <f>3919/12</f>
        <v>326.58333333333331</v>
      </c>
      <c r="R716" s="3">
        <v>3290</v>
      </c>
      <c r="S716" s="12">
        <f t="shared" si="33"/>
        <v>129.150125</v>
      </c>
      <c r="T716" s="3">
        <f t="shared" si="34"/>
        <v>3745.7334583333336</v>
      </c>
      <c r="U716" s="8">
        <f t="shared" si="35"/>
        <v>1243720.0375000001</v>
      </c>
    </row>
    <row r="717" spans="1:21" ht="14.4" x14ac:dyDescent="0.3">
      <c r="A717" s="13">
        <v>45551</v>
      </c>
      <c r="B717" s="2" t="s">
        <v>1627</v>
      </c>
      <c r="C717" s="2" t="s">
        <v>4</v>
      </c>
      <c r="D717" s="2" t="s">
        <v>227</v>
      </c>
      <c r="E717" s="2" t="s">
        <v>1734</v>
      </c>
      <c r="F717" s="2">
        <v>1974</v>
      </c>
      <c r="G717" s="1">
        <f>(5.9*4.3+15.1*12.5+11*7.4+11*9.9+10.9*7.9+12.9*11.7+15.5*10.9+15.2*9.4+26.3*14.7+14.3*9.9+9.9*7.2)*1.3</f>
        <v>2018.575</v>
      </c>
      <c r="H717" s="2">
        <v>4957</v>
      </c>
      <c r="J717" s="2">
        <v>3</v>
      </c>
      <c r="K717" s="2">
        <v>3</v>
      </c>
      <c r="L717" s="2">
        <v>2</v>
      </c>
      <c r="M717" s="2">
        <v>11</v>
      </c>
      <c r="N717" s="9" t="s">
        <v>1626</v>
      </c>
      <c r="O717" s="8">
        <v>689000</v>
      </c>
      <c r="P717" s="1">
        <f>4153/12</f>
        <v>346.08333333333331</v>
      </c>
      <c r="R717" s="3">
        <v>3473</v>
      </c>
      <c r="S717" s="12">
        <f t="shared" si="33"/>
        <v>130.75020833333332</v>
      </c>
      <c r="T717" s="3">
        <f t="shared" si="34"/>
        <v>3949.8335416666669</v>
      </c>
      <c r="U717" s="8">
        <f t="shared" si="35"/>
        <v>1304950.0625</v>
      </c>
    </row>
    <row r="718" spans="1:21" ht="14.4" x14ac:dyDescent="0.3">
      <c r="A718" s="13">
        <v>45551</v>
      </c>
      <c r="B718" s="2" t="s">
        <v>1625</v>
      </c>
      <c r="C718" s="2" t="s">
        <v>4</v>
      </c>
      <c r="D718" s="2" t="s">
        <v>227</v>
      </c>
      <c r="E718" s="2" t="s">
        <v>375</v>
      </c>
      <c r="F718" s="2">
        <v>2016</v>
      </c>
      <c r="G718" s="1">
        <v>1009</v>
      </c>
      <c r="H718" s="2">
        <v>1009</v>
      </c>
      <c r="J718" s="2">
        <v>1</v>
      </c>
      <c r="K718" s="2">
        <v>3</v>
      </c>
      <c r="L718" s="2">
        <v>2</v>
      </c>
      <c r="M718" s="2">
        <v>10</v>
      </c>
      <c r="N718" s="9" t="s">
        <v>1624</v>
      </c>
      <c r="O718" s="8">
        <v>699000</v>
      </c>
      <c r="P718" s="1">
        <f>(3245+5100)/12</f>
        <v>695.41666666666663</v>
      </c>
      <c r="R718" s="3">
        <v>3534</v>
      </c>
      <c r="S718" s="12">
        <f t="shared" si="33"/>
        <v>71.858333333333348</v>
      </c>
      <c r="T718" s="3">
        <f t="shared" si="34"/>
        <v>4301.2750000000005</v>
      </c>
      <c r="U718" s="8">
        <f t="shared" si="35"/>
        <v>1410382.5</v>
      </c>
    </row>
    <row r="719" spans="1:21" ht="14.4" x14ac:dyDescent="0.3">
      <c r="A719" s="13">
        <v>45551</v>
      </c>
      <c r="B719" s="2" t="s">
        <v>1623</v>
      </c>
      <c r="C719" s="2" t="s">
        <v>4</v>
      </c>
      <c r="D719" s="2" t="s">
        <v>227</v>
      </c>
      <c r="E719" s="2" t="s">
        <v>1734</v>
      </c>
      <c r="F719" s="2">
        <v>1958</v>
      </c>
      <c r="G719" s="1">
        <f>(14*18.8+8.1*9.8+9.5*9.8+11.4*14+4.7*3.9+17.5*11.1+8.2*13.7+11.2*10.6+5*7+15*9.3+13*7.2+13.9*16.7+6.8*11.6+11.5*9)*1.3</f>
        <v>2237.9890000000005</v>
      </c>
      <c r="H719" s="2">
        <v>4914</v>
      </c>
      <c r="J719" s="2">
        <v>2</v>
      </c>
      <c r="K719" s="2">
        <v>4</v>
      </c>
      <c r="L719" s="2">
        <v>2</v>
      </c>
      <c r="M719" s="2">
        <v>14</v>
      </c>
      <c r="N719" s="9" t="s">
        <v>1622</v>
      </c>
      <c r="O719" s="8">
        <v>699000</v>
      </c>
      <c r="P719" s="1">
        <f>4339/12</f>
        <v>361.58333333333331</v>
      </c>
      <c r="R719" s="3">
        <v>3534</v>
      </c>
      <c r="S719" s="12">
        <f t="shared" si="33"/>
        <v>143.5493583333334</v>
      </c>
      <c r="T719" s="3">
        <f t="shared" si="34"/>
        <v>4039.1326916666667</v>
      </c>
      <c r="U719" s="8">
        <f t="shared" si="35"/>
        <v>1331739.8075000001</v>
      </c>
    </row>
    <row r="720" spans="1:21" ht="27.6" x14ac:dyDescent="0.3">
      <c r="A720" s="13">
        <v>45551</v>
      </c>
      <c r="B720" s="10" t="s">
        <v>1621</v>
      </c>
      <c r="C720" s="2" t="s">
        <v>4</v>
      </c>
      <c r="D720" s="2" t="s">
        <v>227</v>
      </c>
      <c r="E720" s="2" t="s">
        <v>1734</v>
      </c>
      <c r="F720" s="2">
        <v>1949</v>
      </c>
      <c r="G720" s="1">
        <f>(11*5.5+19.7*10.8+14.4*16.9+11.9*12.1+11.7*10.2+8.1*4.9+11.2*24.4+24.6*24.7+7.4*15.2+10.2*13.1+6.2*8.7+16.2*9+15.9*9+8.9*3.9+7.2*29.3)*1.3</f>
        <v>3295.6950000000002</v>
      </c>
      <c r="H720" s="2">
        <v>4402</v>
      </c>
      <c r="J720" s="2">
        <v>3</v>
      </c>
      <c r="K720" s="2">
        <v>4</v>
      </c>
      <c r="L720" s="2">
        <v>2</v>
      </c>
      <c r="M720" s="2">
        <v>15</v>
      </c>
      <c r="N720" s="9" t="s">
        <v>1620</v>
      </c>
      <c r="O720" s="8">
        <v>724900</v>
      </c>
      <c r="P720" s="1">
        <f>4022/12</f>
        <v>335.16666666666669</v>
      </c>
      <c r="R720" s="3">
        <v>3692</v>
      </c>
      <c r="S720" s="12">
        <f t="shared" si="33"/>
        <v>205.24887500000003</v>
      </c>
      <c r="T720" s="3">
        <f t="shared" si="34"/>
        <v>4232.4155416666663</v>
      </c>
      <c r="U720" s="8">
        <f t="shared" si="35"/>
        <v>1389724.6625000001</v>
      </c>
    </row>
    <row r="721" spans="1:21" ht="14.4" x14ac:dyDescent="0.3">
      <c r="A721" s="13">
        <v>45551</v>
      </c>
      <c r="B721" s="2" t="s">
        <v>1619</v>
      </c>
      <c r="C721" s="2" t="s">
        <v>4</v>
      </c>
      <c r="D721" s="2" t="s">
        <v>227</v>
      </c>
      <c r="E721" s="2" t="s">
        <v>1734</v>
      </c>
      <c r="F721" s="2">
        <v>1955</v>
      </c>
      <c r="G721" s="1">
        <f>(11*5.5+19.7*10.8+14.4*16.9+11.9*12.1+11.7*10.2+8.1*4.9+11.2*24.4+24.6*24.7+7.4*15.2+10.2*13.1+6.2*8.7+16.2*9+15.9*9+8.9*3.9+7.2*29.3)*1.3</f>
        <v>3295.6950000000002</v>
      </c>
      <c r="H721" s="2">
        <v>4792</v>
      </c>
      <c r="J721" s="2">
        <v>3</v>
      </c>
      <c r="K721" s="2">
        <v>7</v>
      </c>
      <c r="L721" s="2">
        <v>3</v>
      </c>
      <c r="M721" s="2">
        <v>10</v>
      </c>
      <c r="N721" s="9" t="s">
        <v>1618</v>
      </c>
      <c r="O721" s="8">
        <v>739000</v>
      </c>
      <c r="P721" s="1">
        <f>3615/12</f>
        <v>301.25</v>
      </c>
      <c r="R721" s="3">
        <v>3778</v>
      </c>
      <c r="S721" s="12">
        <f t="shared" si="33"/>
        <v>205.24887500000003</v>
      </c>
      <c r="T721" s="3">
        <f t="shared" si="34"/>
        <v>4284.4988750000002</v>
      </c>
      <c r="U721" s="8">
        <f t="shared" si="35"/>
        <v>1405349.6625000001</v>
      </c>
    </row>
    <row r="722" spans="1:21" ht="14.4" x14ac:dyDescent="0.3">
      <c r="A722" s="13">
        <v>45551</v>
      </c>
      <c r="B722" s="2" t="s">
        <v>1617</v>
      </c>
      <c r="C722" s="2" t="s">
        <v>4</v>
      </c>
      <c r="D722" s="2" t="s">
        <v>227</v>
      </c>
      <c r="E722" s="2" t="s">
        <v>1734</v>
      </c>
      <c r="F722" s="2">
        <v>1964</v>
      </c>
      <c r="G722" s="1">
        <f>(4*5+12*14+12*14+10*12+5*6+15*16+15*16+12*11+10*10+12*10+9*7+11*9+11*20+7*9)*1.3</f>
        <v>2317.9</v>
      </c>
      <c r="H722" s="2">
        <v>3790</v>
      </c>
      <c r="J722" s="2">
        <v>3</v>
      </c>
      <c r="K722" s="2">
        <v>4</v>
      </c>
      <c r="L722" s="2">
        <v>4</v>
      </c>
      <c r="M722" s="2">
        <v>10</v>
      </c>
      <c r="N722" s="9" t="s">
        <v>1616</v>
      </c>
      <c r="O722" s="8">
        <v>810000</v>
      </c>
      <c r="P722" s="1">
        <f>4411/12</f>
        <v>367.58333333333331</v>
      </c>
      <c r="R722" s="3">
        <v>4212</v>
      </c>
      <c r="S722" s="12">
        <f t="shared" si="33"/>
        <v>148.21083333333334</v>
      </c>
      <c r="T722" s="3">
        <f t="shared" si="34"/>
        <v>4727.7941666666666</v>
      </c>
      <c r="U722" s="8">
        <f t="shared" si="35"/>
        <v>1538338.25</v>
      </c>
    </row>
    <row r="723" spans="1:21" ht="14.4" x14ac:dyDescent="0.3">
      <c r="A723" s="13">
        <v>45551</v>
      </c>
      <c r="B723" s="2" t="s">
        <v>1615</v>
      </c>
      <c r="C723" s="2" t="s">
        <v>4</v>
      </c>
      <c r="D723" s="2" t="s">
        <v>288</v>
      </c>
      <c r="E723" s="2" t="s">
        <v>375</v>
      </c>
      <c r="F723" s="2">
        <v>1987</v>
      </c>
      <c r="G723" s="1">
        <v>844</v>
      </c>
      <c r="H723" s="2">
        <v>844</v>
      </c>
      <c r="J723" s="2">
        <v>1</v>
      </c>
      <c r="K723" s="2">
        <v>2</v>
      </c>
      <c r="L723" s="2">
        <v>1</v>
      </c>
      <c r="M723" s="2">
        <v>9</v>
      </c>
      <c r="N723" s="9" t="s">
        <v>1614</v>
      </c>
      <c r="O723" s="8">
        <v>389000</v>
      </c>
      <c r="P723" s="1">
        <f>(2550+4740)/12</f>
        <v>607.5</v>
      </c>
      <c r="R723" s="1">
        <v>1642</v>
      </c>
      <c r="S723" s="12">
        <f t="shared" si="33"/>
        <v>62.233333333333341</v>
      </c>
      <c r="T723" s="3">
        <f t="shared" si="34"/>
        <v>2311.7333333333331</v>
      </c>
      <c r="U723" s="8">
        <f t="shared" si="35"/>
        <v>813519.99999999988</v>
      </c>
    </row>
    <row r="724" spans="1:21" ht="27.6" x14ac:dyDescent="0.3">
      <c r="A724" s="13">
        <v>45551</v>
      </c>
      <c r="B724" s="10" t="s">
        <v>1613</v>
      </c>
      <c r="C724" s="2" t="s">
        <v>4</v>
      </c>
      <c r="D724" s="2" t="s">
        <v>288</v>
      </c>
      <c r="E724" s="2" t="s">
        <v>375</v>
      </c>
      <c r="F724" s="2">
        <v>2014</v>
      </c>
      <c r="G724" s="1">
        <v>925</v>
      </c>
      <c r="H724" s="2">
        <v>925</v>
      </c>
      <c r="J724" s="2">
        <v>1</v>
      </c>
      <c r="K724" s="2">
        <v>2</v>
      </c>
      <c r="L724" s="2">
        <v>1</v>
      </c>
      <c r="M724" s="2">
        <v>5</v>
      </c>
      <c r="N724" s="9" t="s">
        <v>1612</v>
      </c>
      <c r="O724" s="8">
        <v>459000</v>
      </c>
      <c r="P724" s="1">
        <f>(2875+7320)/12</f>
        <v>849.58333333333337</v>
      </c>
      <c r="R724" s="1">
        <v>2069</v>
      </c>
      <c r="S724" s="12">
        <f t="shared" si="33"/>
        <v>66.958333333333343</v>
      </c>
      <c r="T724" s="3">
        <f t="shared" si="34"/>
        <v>2985.541666666667</v>
      </c>
      <c r="U724" s="8">
        <f t="shared" si="35"/>
        <v>1015662.5</v>
      </c>
    </row>
    <row r="725" spans="1:21" ht="14.4" x14ac:dyDescent="0.3">
      <c r="A725" s="13">
        <v>45551</v>
      </c>
      <c r="B725" s="2" t="s">
        <v>1611</v>
      </c>
      <c r="C725" s="2" t="s">
        <v>4</v>
      </c>
      <c r="D725" s="2" t="s">
        <v>288</v>
      </c>
      <c r="E725" s="2" t="s">
        <v>375</v>
      </c>
      <c r="F725" s="2">
        <v>2017</v>
      </c>
      <c r="G725" s="1">
        <v>833</v>
      </c>
      <c r="H725" s="2">
        <v>833</v>
      </c>
      <c r="J725" s="2">
        <v>1</v>
      </c>
      <c r="K725" s="2">
        <v>1</v>
      </c>
      <c r="L725" s="2">
        <v>1</v>
      </c>
      <c r="M725" s="2">
        <v>5</v>
      </c>
      <c r="N725" s="9" t="s">
        <v>1610</v>
      </c>
      <c r="O725" s="8">
        <v>499000</v>
      </c>
      <c r="P725" s="1">
        <f>(3659+5292)/12</f>
        <v>745.91666666666663</v>
      </c>
      <c r="R725" s="1">
        <v>2313</v>
      </c>
      <c r="S725" s="12">
        <f t="shared" si="33"/>
        <v>61.591666666666669</v>
      </c>
      <c r="T725" s="3">
        <f t="shared" si="34"/>
        <v>3120.5083333333332</v>
      </c>
      <c r="U725" s="8">
        <f t="shared" si="35"/>
        <v>1056152.5</v>
      </c>
    </row>
    <row r="726" spans="1:21" ht="14.4" x14ac:dyDescent="0.3">
      <c r="A726" s="13">
        <v>45551</v>
      </c>
      <c r="B726" s="2" t="s">
        <v>1609</v>
      </c>
      <c r="C726" s="2" t="s">
        <v>4</v>
      </c>
      <c r="D726" s="2" t="s">
        <v>288</v>
      </c>
      <c r="E726" s="2" t="s">
        <v>1734</v>
      </c>
      <c r="F726" s="2">
        <v>1954</v>
      </c>
      <c r="G726" s="1">
        <f>(10*10+10*10+10*10+12*10+10*10+10*10+7*8+10*10+7*8+15*20)*1.3</f>
        <v>1471.6000000000001</v>
      </c>
      <c r="H726" s="2">
        <v>3554</v>
      </c>
      <c r="J726" s="2">
        <v>2</v>
      </c>
      <c r="K726" s="2">
        <v>4</v>
      </c>
      <c r="L726" s="2">
        <v>2</v>
      </c>
      <c r="M726" s="2">
        <v>10</v>
      </c>
      <c r="N726" s="9" t="s">
        <v>1608</v>
      </c>
      <c r="O726" s="8">
        <v>529000</v>
      </c>
      <c r="P726" s="1">
        <f>3071/12</f>
        <v>255.91666666666666</v>
      </c>
      <c r="R726" s="1">
        <v>2497</v>
      </c>
      <c r="S726" s="12">
        <f t="shared" si="33"/>
        <v>98.843333333333348</v>
      </c>
      <c r="T726" s="3">
        <f t="shared" si="34"/>
        <v>2851.7599999999998</v>
      </c>
      <c r="U726" s="8">
        <f t="shared" si="35"/>
        <v>975527.99999999988</v>
      </c>
    </row>
    <row r="727" spans="1:21" ht="27.6" x14ac:dyDescent="0.3">
      <c r="A727" s="13">
        <v>45551</v>
      </c>
      <c r="B727" s="10" t="s">
        <v>1607</v>
      </c>
      <c r="C727" s="2" t="s">
        <v>4</v>
      </c>
      <c r="D727" s="2" t="s">
        <v>288</v>
      </c>
      <c r="E727" s="2" t="s">
        <v>1734</v>
      </c>
      <c r="F727" s="2">
        <v>1958</v>
      </c>
      <c r="G727" s="1">
        <f>(18*12.7+13*10+13.4*10.8+14*12+13.2*13+5*11+30*20+7*4.5)*1.3</f>
        <v>1988.2460000000001</v>
      </c>
      <c r="H727" s="2">
        <v>6000</v>
      </c>
      <c r="J727" s="2">
        <v>3</v>
      </c>
      <c r="K727" s="2">
        <v>3</v>
      </c>
      <c r="L727" s="2">
        <v>2</v>
      </c>
      <c r="M727" s="2">
        <v>8</v>
      </c>
      <c r="N727" s="9" t="s">
        <v>1606</v>
      </c>
      <c r="O727" s="8">
        <v>579000</v>
      </c>
      <c r="P727" s="1">
        <f>3749/12</f>
        <v>312.41666666666669</v>
      </c>
      <c r="R727" s="1">
        <v>2802</v>
      </c>
      <c r="S727" s="12">
        <f t="shared" si="33"/>
        <v>128.98101666666668</v>
      </c>
      <c r="T727" s="3">
        <f t="shared" si="34"/>
        <v>3243.3976833333331</v>
      </c>
      <c r="U727" s="8">
        <f t="shared" si="35"/>
        <v>1093019.3049999999</v>
      </c>
    </row>
    <row r="728" spans="1:21" ht="14.4" x14ac:dyDescent="0.3">
      <c r="A728" s="13">
        <v>45551</v>
      </c>
      <c r="B728" s="2" t="s">
        <v>1605</v>
      </c>
      <c r="C728" s="2" t="s">
        <v>4</v>
      </c>
      <c r="D728" s="2" t="s">
        <v>288</v>
      </c>
      <c r="E728" s="2" t="s">
        <v>1734</v>
      </c>
      <c r="F728" s="2">
        <v>1952</v>
      </c>
      <c r="G728" s="1">
        <f>(4.5*5.9+12.5*10.5+9.5*10.9+13.5*13.7+8.9*9.1+4.9*10.1+12.4*24.1+12.6*16.9+12.5*6.9+12.9*25.4+9.6*14.4+3.8*14.2+6.4*6.7)*1.3</f>
        <v>2258.8150000000001</v>
      </c>
      <c r="H728" s="2">
        <v>3148</v>
      </c>
      <c r="J728" s="2">
        <v>3</v>
      </c>
      <c r="K728" s="2">
        <v>4</v>
      </c>
      <c r="L728" s="2">
        <v>3</v>
      </c>
      <c r="M728" s="2">
        <v>13</v>
      </c>
      <c r="N728" s="9" t="s">
        <v>1604</v>
      </c>
      <c r="O728" s="8">
        <v>599400</v>
      </c>
      <c r="P728" s="1">
        <f>3297/12</f>
        <v>274.75</v>
      </c>
      <c r="R728" s="1">
        <v>2926</v>
      </c>
      <c r="S728" s="12">
        <f t="shared" si="33"/>
        <v>144.76420833333336</v>
      </c>
      <c r="T728" s="3">
        <f t="shared" si="34"/>
        <v>3345.5142083333335</v>
      </c>
      <c r="U728" s="8">
        <f t="shared" si="35"/>
        <v>1123654.2625</v>
      </c>
    </row>
    <row r="729" spans="1:21" ht="14.4" x14ac:dyDescent="0.3">
      <c r="A729" s="13">
        <v>45551</v>
      </c>
      <c r="B729" s="2" t="s">
        <v>1603</v>
      </c>
      <c r="C729" s="2" t="s">
        <v>4</v>
      </c>
      <c r="D729" s="2" t="s">
        <v>288</v>
      </c>
      <c r="E729" s="2" t="s">
        <v>1734</v>
      </c>
      <c r="F729" s="2">
        <v>1956</v>
      </c>
      <c r="G729" s="1">
        <f>(4*4+14.3*12.6+16.6*14+11.6*9.3+14.3*12.6+11.6*5.4+13*11.6+20*15+10*5.1+17.6*16+11.4*10.3+13*11.4)*1.3</f>
        <v>2376.79</v>
      </c>
      <c r="H729" s="2">
        <v>6693</v>
      </c>
      <c r="J729" s="1">
        <v>3</v>
      </c>
      <c r="K729" s="2">
        <v>5</v>
      </c>
      <c r="L729" s="2">
        <v>2</v>
      </c>
      <c r="M729" s="2">
        <v>12</v>
      </c>
      <c r="N729" s="9" t="s">
        <v>1602</v>
      </c>
      <c r="O729" s="8">
        <v>619000</v>
      </c>
      <c r="P729" s="1">
        <f>3474/12</f>
        <v>289.5</v>
      </c>
      <c r="R729" s="1">
        <v>3046</v>
      </c>
      <c r="S729" s="12">
        <f t="shared" si="33"/>
        <v>151.64608333333334</v>
      </c>
      <c r="T729" s="3">
        <f t="shared" si="34"/>
        <v>3487.1460833333335</v>
      </c>
      <c r="U729" s="8">
        <f t="shared" si="35"/>
        <v>1166143.8250000002</v>
      </c>
    </row>
    <row r="730" spans="1:21" ht="14.4" x14ac:dyDescent="0.3">
      <c r="A730" s="13">
        <v>45551</v>
      </c>
      <c r="B730" s="2" t="s">
        <v>1601</v>
      </c>
      <c r="C730" s="2" t="s">
        <v>4</v>
      </c>
      <c r="D730" s="2" t="s">
        <v>288</v>
      </c>
      <c r="E730" s="2" t="s">
        <v>1734</v>
      </c>
      <c r="F730" s="2">
        <v>1961</v>
      </c>
      <c r="G730" s="1">
        <f>(4.4*4.1+10.4*9.6+7.2*5.6+10.4*6.3+16.4*3.4+12.9*10.2+10.3*9.9+10.8*9.1+10.1*4.9+16.5*13.3+10.4*9.4+6.1*5.9+10.4*9.2)*1.3</f>
        <v>1442.5840000000001</v>
      </c>
      <c r="H730" s="2">
        <v>5665</v>
      </c>
      <c r="J730" s="2">
        <v>3</v>
      </c>
      <c r="K730" s="2">
        <v>4</v>
      </c>
      <c r="L730" s="2">
        <v>2</v>
      </c>
      <c r="M730" s="2">
        <v>13</v>
      </c>
      <c r="N730" s="9" t="s">
        <v>1600</v>
      </c>
      <c r="O730" s="8">
        <v>629000</v>
      </c>
      <c r="P730" s="1">
        <f>3120/12</f>
        <v>260</v>
      </c>
      <c r="R730" s="1">
        <v>3107</v>
      </c>
      <c r="S730" s="12">
        <f t="shared" si="33"/>
        <v>97.150733333333349</v>
      </c>
      <c r="T730" s="3">
        <f t="shared" si="34"/>
        <v>3464.1507333333334</v>
      </c>
      <c r="U730" s="8">
        <f t="shared" si="35"/>
        <v>1159245.22</v>
      </c>
    </row>
    <row r="731" spans="1:21" ht="14.4" x14ac:dyDescent="0.3">
      <c r="A731" s="13">
        <v>45551</v>
      </c>
      <c r="B731" s="2" t="s">
        <v>1599</v>
      </c>
      <c r="C731" s="2" t="s">
        <v>4</v>
      </c>
      <c r="D731" s="2" t="s">
        <v>288</v>
      </c>
      <c r="E731" s="2" t="s">
        <v>1734</v>
      </c>
      <c r="F731" s="2">
        <v>1955</v>
      </c>
      <c r="G731" s="1">
        <f>(14*10+14.8*10+9.5*10+13.8*10.5+10*9+10.5*8.5+7*5+16.4*12.4+5*5+12.1*5+18.8*7.8)*1.3</f>
        <v>1530.9450000000002</v>
      </c>
      <c r="H731" s="2">
        <v>5300</v>
      </c>
      <c r="J731" s="2">
        <v>3</v>
      </c>
      <c r="K731" s="2">
        <v>3</v>
      </c>
      <c r="L731" s="2">
        <v>2</v>
      </c>
      <c r="M731" s="2">
        <v>11</v>
      </c>
      <c r="N731" s="9" t="s">
        <v>1598</v>
      </c>
      <c r="O731" s="8">
        <v>649000</v>
      </c>
      <c r="P731" s="1">
        <f>3769/12</f>
        <v>314.08333333333331</v>
      </c>
      <c r="R731" s="1">
        <v>3229</v>
      </c>
      <c r="S731" s="12">
        <f t="shared" si="33"/>
        <v>102.30512500000002</v>
      </c>
      <c r="T731" s="3">
        <f t="shared" si="34"/>
        <v>3645.3884583333333</v>
      </c>
      <c r="U731" s="8">
        <f t="shared" si="35"/>
        <v>1213616.5375000001</v>
      </c>
    </row>
    <row r="732" spans="1:21" ht="14.4" x14ac:dyDescent="0.3">
      <c r="A732" s="13">
        <v>45551</v>
      </c>
      <c r="B732" s="2" t="s">
        <v>1597</v>
      </c>
      <c r="C732" s="2" t="s">
        <v>4</v>
      </c>
      <c r="D732" s="2" t="s">
        <v>288</v>
      </c>
      <c r="E732" s="2" t="s">
        <v>1734</v>
      </c>
      <c r="F732" s="2">
        <v>1951</v>
      </c>
      <c r="G732" s="1">
        <f>(10*10+10*10+10*14+10*10+9*9+10*10+10*5+6*6)*2*1.3</f>
        <v>1838.2</v>
      </c>
      <c r="H732" s="2">
        <v>4915</v>
      </c>
      <c r="J732" s="2">
        <v>3</v>
      </c>
      <c r="K732" s="2">
        <v>3</v>
      </c>
      <c r="L732" s="2">
        <v>1</v>
      </c>
      <c r="M732" s="2">
        <v>10</v>
      </c>
      <c r="N732" s="9" t="s">
        <v>1596</v>
      </c>
      <c r="O732" s="8">
        <v>655000</v>
      </c>
      <c r="P732" s="1">
        <f>3344/12</f>
        <v>278.66666666666669</v>
      </c>
      <c r="R732" s="1">
        <v>3265</v>
      </c>
      <c r="S732" s="12">
        <f t="shared" si="33"/>
        <v>120.22833333333334</v>
      </c>
      <c r="T732" s="3">
        <f t="shared" si="34"/>
        <v>3663.895</v>
      </c>
      <c r="U732" s="8">
        <f t="shared" si="35"/>
        <v>1219168.5</v>
      </c>
    </row>
    <row r="733" spans="1:21" ht="14.4" x14ac:dyDescent="0.3">
      <c r="A733" s="13">
        <v>45551</v>
      </c>
      <c r="B733" s="2" t="s">
        <v>1595</v>
      </c>
      <c r="C733" s="2" t="s">
        <v>4</v>
      </c>
      <c r="D733" s="2" t="s">
        <v>288</v>
      </c>
      <c r="E733" s="2" t="s">
        <v>1734</v>
      </c>
      <c r="F733" s="2">
        <v>1959</v>
      </c>
      <c r="G733" s="1">
        <f>(10.2*15.1+9.9*11+11*9+12*11+9.2*17+9*12.2+8.4*16.2+14*8.5+10*14+9*12.2)*1.3</f>
        <v>1644.4999999999998</v>
      </c>
      <c r="H733" s="2">
        <v>4620</v>
      </c>
      <c r="J733" s="2">
        <v>3</v>
      </c>
      <c r="K733" s="2">
        <v>4</v>
      </c>
      <c r="L733" s="2">
        <v>2</v>
      </c>
      <c r="M733" s="2">
        <v>9</v>
      </c>
      <c r="N733" s="9" t="s">
        <v>1594</v>
      </c>
      <c r="O733" s="8">
        <v>699000</v>
      </c>
      <c r="P733" s="1">
        <f>4277/12</f>
        <v>356.41666666666669</v>
      </c>
      <c r="R733" s="1">
        <v>3534</v>
      </c>
      <c r="S733" s="12">
        <f t="shared" si="33"/>
        <v>108.92916666666666</v>
      </c>
      <c r="T733" s="3">
        <f t="shared" si="34"/>
        <v>3999.3458333333333</v>
      </c>
      <c r="U733" s="8">
        <f t="shared" si="35"/>
        <v>1319803.75</v>
      </c>
    </row>
    <row r="734" spans="1:21" ht="14.4" x14ac:dyDescent="0.3">
      <c r="A734" s="13">
        <v>45551</v>
      </c>
      <c r="B734" s="2" t="s">
        <v>1593</v>
      </c>
      <c r="C734" s="2" t="s">
        <v>4</v>
      </c>
      <c r="D734" s="2" t="s">
        <v>288</v>
      </c>
      <c r="E734" s="2" t="s">
        <v>1734</v>
      </c>
      <c r="F734" s="2">
        <v>1962</v>
      </c>
      <c r="G734" s="1">
        <f>(4.2*4.7+9.1*11.9+12.1*15.2+10*11.4+12.9*9.9+15.5*11.9+10.6*12.5+8.3*7.7+10.5*9.6+28.4*19.3+6.9*7.5+10.6*9.7+21.2*14.7+6*9.7+9.8*5.3+6.9*16.5+9.9*23.9+7.2*5.9)*1.3</f>
        <v>3318.549</v>
      </c>
      <c r="H734" s="2">
        <v>5753</v>
      </c>
      <c r="J734" s="2">
        <v>3</v>
      </c>
      <c r="K734" s="2">
        <v>5</v>
      </c>
      <c r="L734" s="2">
        <v>3</v>
      </c>
      <c r="M734" s="2">
        <v>14</v>
      </c>
      <c r="N734" s="9" t="s">
        <v>1592</v>
      </c>
      <c r="O734" s="8">
        <v>729000</v>
      </c>
      <c r="P734" s="1">
        <f>4830/12</f>
        <v>402.5</v>
      </c>
      <c r="R734" s="1">
        <v>3717</v>
      </c>
      <c r="S734" s="12">
        <f t="shared" si="33"/>
        <v>206.58202500000002</v>
      </c>
      <c r="T734" s="3">
        <f t="shared" si="34"/>
        <v>4326.0820249999997</v>
      </c>
      <c r="U734" s="8">
        <f t="shared" si="35"/>
        <v>1417824.6074999999</v>
      </c>
    </row>
    <row r="735" spans="1:21" ht="14.4" x14ac:dyDescent="0.3">
      <c r="A735" s="13">
        <v>45551</v>
      </c>
      <c r="B735" s="2" t="s">
        <v>1591</v>
      </c>
      <c r="C735" s="2" t="s">
        <v>4</v>
      </c>
      <c r="D735" s="2" t="s">
        <v>288</v>
      </c>
      <c r="E735" s="2" t="s">
        <v>375</v>
      </c>
      <c r="F735" s="2">
        <v>2017</v>
      </c>
      <c r="G735" s="1">
        <v>1234</v>
      </c>
      <c r="H735" s="2">
        <v>1234</v>
      </c>
      <c r="J735" s="2">
        <v>1</v>
      </c>
      <c r="K735" s="2">
        <v>2</v>
      </c>
      <c r="L735" s="2">
        <v>2</v>
      </c>
      <c r="M735" s="2">
        <v>10</v>
      </c>
      <c r="N735" s="9" t="s">
        <v>1590</v>
      </c>
      <c r="O735" s="8">
        <v>794900</v>
      </c>
      <c r="P735" s="1">
        <f>(5726+10473)/12</f>
        <v>1349.9166666666667</v>
      </c>
      <c r="R735" s="1">
        <v>4120</v>
      </c>
      <c r="S735" s="12">
        <f t="shared" si="33"/>
        <v>84.983333333333334</v>
      </c>
      <c r="T735" s="3">
        <f t="shared" si="34"/>
        <v>5554.9000000000005</v>
      </c>
      <c r="U735" s="8">
        <f t="shared" si="35"/>
        <v>1786470</v>
      </c>
    </row>
    <row r="736" spans="1:21" ht="14.4" x14ac:dyDescent="0.3">
      <c r="A736" s="13">
        <v>45551</v>
      </c>
      <c r="B736" s="2" t="s">
        <v>1589</v>
      </c>
      <c r="C736" s="2" t="s">
        <v>4</v>
      </c>
      <c r="D736" s="2" t="s">
        <v>288</v>
      </c>
      <c r="E736" s="2" t="s">
        <v>1734</v>
      </c>
      <c r="F736" s="2">
        <v>2020</v>
      </c>
      <c r="G736" s="1">
        <f>(4*7+11.1*9+11.1*16+8*9+16.1*13.1+8*8+11*13+11*10+6*5+7*7+12*18+8*11+13*7+12*11.1+11*11+11*8+6.1*5)*1.3</f>
        <v>2277.7430000000004</v>
      </c>
      <c r="H736" s="2">
        <v>5119</v>
      </c>
      <c r="J736" s="2">
        <v>3</v>
      </c>
      <c r="K736" s="2">
        <v>3</v>
      </c>
      <c r="L736" s="2">
        <v>3</v>
      </c>
      <c r="M736" s="2">
        <v>12</v>
      </c>
      <c r="N736" s="9" t="s">
        <v>1588</v>
      </c>
      <c r="O736" s="8">
        <v>929000</v>
      </c>
      <c r="P736" s="1">
        <f>5491/12</f>
        <v>457.58333333333331</v>
      </c>
      <c r="R736" s="1">
        <v>4938</v>
      </c>
      <c r="S736" s="12">
        <f t="shared" si="33"/>
        <v>145.86834166666671</v>
      </c>
      <c r="T736" s="3">
        <f t="shared" si="34"/>
        <v>5541.4516749999993</v>
      </c>
      <c r="U736" s="8">
        <f t="shared" si="35"/>
        <v>1782435.5024999997</v>
      </c>
    </row>
    <row r="737" spans="1:21" ht="14.4" x14ac:dyDescent="0.3">
      <c r="A737" s="13">
        <v>45551</v>
      </c>
      <c r="B737" s="2" t="s">
        <v>1587</v>
      </c>
      <c r="C737" s="2" t="s">
        <v>4</v>
      </c>
      <c r="D737" s="2" t="s">
        <v>288</v>
      </c>
      <c r="E737" s="2" t="s">
        <v>1734</v>
      </c>
      <c r="F737" s="2">
        <v>1961</v>
      </c>
      <c r="G737" s="1">
        <f>(15.9*11.9+11.1*10+15.1*11.1+10.5*8.2+15.3*12.3+12.3*11.4+15.9*9.9+7.9*4.7+14.8*10.3+10.8*7.2+10.5*10.4+16.9*11.7+11.9*11.9+11.4*10.4+7.6*5.7+7*5.6+52.1*27.4)*1.3</f>
        <v>4399.4990000000007</v>
      </c>
      <c r="H737" s="2">
        <v>6680</v>
      </c>
      <c r="J737" s="2">
        <v>3</v>
      </c>
      <c r="K737" s="2">
        <v>4</v>
      </c>
      <c r="L737" s="2">
        <v>3</v>
      </c>
      <c r="M737" s="2">
        <v>17</v>
      </c>
      <c r="N737" s="9" t="s">
        <v>1586</v>
      </c>
      <c r="O737" s="8">
        <v>997000</v>
      </c>
      <c r="P737" s="1">
        <f>5434/12</f>
        <v>452.83333333333331</v>
      </c>
      <c r="R737" s="1">
        <v>5353</v>
      </c>
      <c r="S737" s="12">
        <f t="shared" si="33"/>
        <v>269.63744166666669</v>
      </c>
      <c r="T737" s="3">
        <f t="shared" si="34"/>
        <v>6075.4707749999998</v>
      </c>
      <c r="U737" s="8">
        <f t="shared" si="35"/>
        <v>1942641.2324999997</v>
      </c>
    </row>
    <row r="738" spans="1:21" ht="14.4" x14ac:dyDescent="0.3">
      <c r="A738" s="13">
        <v>45551</v>
      </c>
      <c r="B738" s="2" t="s">
        <v>1585</v>
      </c>
      <c r="C738" s="2" t="s">
        <v>4</v>
      </c>
      <c r="D738" s="2" t="s">
        <v>288</v>
      </c>
      <c r="E738" s="2" t="s">
        <v>375</v>
      </c>
      <c r="F738" s="2">
        <v>2017</v>
      </c>
      <c r="G738" s="1">
        <v>1535</v>
      </c>
      <c r="H738" s="1">
        <v>1535</v>
      </c>
      <c r="J738" s="2">
        <v>1</v>
      </c>
      <c r="K738" s="2">
        <v>2</v>
      </c>
      <c r="L738" s="2">
        <v>2</v>
      </c>
      <c r="M738" s="2">
        <v>10</v>
      </c>
      <c r="N738" s="9" t="s">
        <v>1584</v>
      </c>
      <c r="O738" s="8">
        <v>1199000</v>
      </c>
      <c r="P738" s="1">
        <f>(7061+14208)/12</f>
        <v>1772.4166666666667</v>
      </c>
      <c r="R738" s="1">
        <v>6586</v>
      </c>
      <c r="S738" s="12">
        <f t="shared" si="33"/>
        <v>102.54166666666667</v>
      </c>
      <c r="T738" s="3">
        <f t="shared" si="34"/>
        <v>8460.9583333333321</v>
      </c>
      <c r="U738" s="8">
        <f t="shared" si="35"/>
        <v>2658287.4999999995</v>
      </c>
    </row>
    <row r="739" spans="1:21" ht="14.4" x14ac:dyDescent="0.3">
      <c r="A739" s="13">
        <v>45551</v>
      </c>
      <c r="B739" s="2" t="s">
        <v>1583</v>
      </c>
      <c r="C739" s="2" t="s">
        <v>4</v>
      </c>
      <c r="D739" s="2" t="s">
        <v>288</v>
      </c>
      <c r="E739" s="2" t="s">
        <v>375</v>
      </c>
      <c r="F739" s="2">
        <v>2019</v>
      </c>
      <c r="G739" s="1">
        <v>1656</v>
      </c>
      <c r="H739" s="1">
        <v>1656</v>
      </c>
      <c r="J739" s="2">
        <v>1</v>
      </c>
      <c r="K739" s="2">
        <v>2</v>
      </c>
      <c r="L739" s="2">
        <v>3</v>
      </c>
      <c r="M739" s="2">
        <v>10</v>
      </c>
      <c r="N739" s="9" t="s">
        <v>1582</v>
      </c>
      <c r="O739" s="8">
        <v>1299000</v>
      </c>
      <c r="P739" s="1">
        <f>(7460+13920)/12</f>
        <v>1781.6666666666667</v>
      </c>
      <c r="R739" s="1">
        <v>7197</v>
      </c>
      <c r="S739" s="12">
        <f t="shared" si="33"/>
        <v>109.60000000000001</v>
      </c>
      <c r="T739" s="3">
        <f t="shared" si="34"/>
        <v>9088.2666666666664</v>
      </c>
      <c r="U739" s="8">
        <f t="shared" si="35"/>
        <v>2846480</v>
      </c>
    </row>
    <row r="740" spans="1:21" ht="14.4" x14ac:dyDescent="0.3">
      <c r="A740" s="13">
        <v>45551</v>
      </c>
      <c r="B740" s="2" t="s">
        <v>1581</v>
      </c>
      <c r="C740" s="2" t="s">
        <v>4</v>
      </c>
      <c r="D740" s="2" t="s">
        <v>288</v>
      </c>
      <c r="E740" s="2" t="s">
        <v>375</v>
      </c>
      <c r="F740" s="2">
        <v>1987</v>
      </c>
      <c r="G740" s="1">
        <v>2029</v>
      </c>
      <c r="H740" s="2">
        <v>2029</v>
      </c>
      <c r="J740" s="2">
        <v>1</v>
      </c>
      <c r="K740" s="2">
        <v>3</v>
      </c>
      <c r="L740" s="2">
        <v>3</v>
      </c>
      <c r="M740" s="2">
        <v>8</v>
      </c>
      <c r="N740" s="9" t="s">
        <v>1580</v>
      </c>
      <c r="O740" s="8">
        <v>1299000</v>
      </c>
      <c r="P740" s="1">
        <f>(7580+11808)/12</f>
        <v>1615.6666666666667</v>
      </c>
      <c r="R740" s="1">
        <v>7197</v>
      </c>
      <c r="S740" s="12">
        <f t="shared" si="33"/>
        <v>131.35833333333335</v>
      </c>
      <c r="T740" s="3">
        <f t="shared" si="34"/>
        <v>8944.0249999999996</v>
      </c>
      <c r="U740" s="8">
        <f t="shared" si="35"/>
        <v>2803207.4999999995</v>
      </c>
    </row>
    <row r="741" spans="1:21" ht="14.4" x14ac:dyDescent="0.3">
      <c r="A741" s="13">
        <v>45551</v>
      </c>
      <c r="B741" s="2" t="s">
        <v>1579</v>
      </c>
      <c r="C741" s="2" t="s">
        <v>4</v>
      </c>
      <c r="D741" s="2" t="s">
        <v>288</v>
      </c>
      <c r="E741" s="2" t="s">
        <v>1734</v>
      </c>
      <c r="F741" s="2">
        <v>1959</v>
      </c>
      <c r="G741" s="1">
        <f>(18*19.5+13.9*18.9+11*13.9+18.5*13.8+10.7*9.9+19*15.4+6.3*9.9+14.3*17.6+13.7*14.4+18*15.5+13.7*9.6+12.8*6.5+12.8*15.9+10.9*10.5+6.2*5.5+11.9*8.3)*1.3</f>
        <v>3739.2289999999994</v>
      </c>
      <c r="H741" s="1">
        <v>6000</v>
      </c>
      <c r="J741" s="2">
        <v>3</v>
      </c>
      <c r="K741" s="2">
        <v>6</v>
      </c>
      <c r="L741" s="2">
        <v>4</v>
      </c>
      <c r="M741" s="2">
        <v>11</v>
      </c>
      <c r="N741" s="9" t="s">
        <v>1578</v>
      </c>
      <c r="O741" s="8">
        <v>1499000</v>
      </c>
      <c r="P741" s="1">
        <f>5086/12</f>
        <v>423.83333333333331</v>
      </c>
      <c r="R741" s="1">
        <v>8417</v>
      </c>
      <c r="S741" s="12">
        <f t="shared" si="33"/>
        <v>231.12169166666664</v>
      </c>
      <c r="T741" s="3">
        <f t="shared" si="34"/>
        <v>9071.9550250000011</v>
      </c>
      <c r="U741" s="8">
        <f t="shared" si="35"/>
        <v>2841586.5075000003</v>
      </c>
    </row>
    <row r="742" spans="1:21" ht="14.4" x14ac:dyDescent="0.3">
      <c r="A742" s="13">
        <v>45552</v>
      </c>
      <c r="B742" s="2" t="s">
        <v>1337</v>
      </c>
      <c r="C742" s="2" t="s">
        <v>4</v>
      </c>
      <c r="D742" s="2" t="s">
        <v>1338</v>
      </c>
      <c r="E742" s="2" t="s">
        <v>375</v>
      </c>
      <c r="F742" s="2">
        <v>2023</v>
      </c>
      <c r="G742" s="1">
        <v>424</v>
      </c>
      <c r="H742" s="2">
        <v>424</v>
      </c>
      <c r="J742" s="2">
        <v>1</v>
      </c>
      <c r="K742" s="2">
        <v>1</v>
      </c>
      <c r="L742" s="2">
        <v>1</v>
      </c>
      <c r="M742" s="2">
        <v>3</v>
      </c>
      <c r="N742" s="9" t="s">
        <v>1339</v>
      </c>
      <c r="O742" s="8">
        <v>275940</v>
      </c>
      <c r="P742" s="15">
        <f>2328/12+150</f>
        <v>344</v>
      </c>
      <c r="Q742" s="1" t="s">
        <v>25</v>
      </c>
      <c r="R742" s="3">
        <v>952</v>
      </c>
      <c r="S742" s="12">
        <f t="shared" si="33"/>
        <v>37.733333333333334</v>
      </c>
      <c r="T742" s="3">
        <f t="shared" si="34"/>
        <v>1333.7333333333333</v>
      </c>
      <c r="U742" s="8">
        <f t="shared" si="35"/>
        <v>520120</v>
      </c>
    </row>
    <row r="743" spans="1:21" ht="27.6" x14ac:dyDescent="0.3">
      <c r="A743" s="13">
        <v>45552</v>
      </c>
      <c r="B743" s="10" t="s">
        <v>1340</v>
      </c>
      <c r="C743" s="2" t="s">
        <v>4</v>
      </c>
      <c r="D743" s="2" t="s">
        <v>1338</v>
      </c>
      <c r="E743" s="2" t="s">
        <v>375</v>
      </c>
      <c r="F743" s="2">
        <v>2024</v>
      </c>
      <c r="G743" s="1">
        <v>485</v>
      </c>
      <c r="H743" s="2">
        <v>485</v>
      </c>
      <c r="J743" s="2">
        <v>1</v>
      </c>
      <c r="K743" s="2">
        <v>1</v>
      </c>
      <c r="L743" s="2">
        <v>1</v>
      </c>
      <c r="M743" s="2">
        <v>4</v>
      </c>
      <c r="N743" s="9" t="s">
        <v>1341</v>
      </c>
      <c r="O743" s="8">
        <v>299000</v>
      </c>
      <c r="P743" s="15">
        <v>350</v>
      </c>
      <c r="Q743" s="1" t="s">
        <v>25</v>
      </c>
      <c r="R743" s="3">
        <v>1093</v>
      </c>
      <c r="S743" s="12">
        <f t="shared" si="33"/>
        <v>41.291666666666671</v>
      </c>
      <c r="T743" s="3">
        <f t="shared" si="34"/>
        <v>1484.2916666666667</v>
      </c>
      <c r="U743" s="8">
        <f t="shared" si="35"/>
        <v>565287.5</v>
      </c>
    </row>
    <row r="744" spans="1:21" ht="14.4" x14ac:dyDescent="0.3">
      <c r="A744" s="13">
        <v>45552</v>
      </c>
      <c r="B744" s="2" t="s">
        <v>1342</v>
      </c>
      <c r="C744" s="2" t="s">
        <v>4</v>
      </c>
      <c r="D744" s="2" t="s">
        <v>1338</v>
      </c>
      <c r="E744" s="2" t="s">
        <v>375</v>
      </c>
      <c r="F744" s="2">
        <v>2022</v>
      </c>
      <c r="G744" s="1">
        <v>380</v>
      </c>
      <c r="H744" s="2">
        <v>380</v>
      </c>
      <c r="J744" s="2">
        <v>1</v>
      </c>
      <c r="K744" s="2">
        <v>1</v>
      </c>
      <c r="L744" s="2">
        <v>1</v>
      </c>
      <c r="M744" s="2">
        <v>6</v>
      </c>
      <c r="N744" s="9" t="s">
        <v>1343</v>
      </c>
      <c r="O744" s="8">
        <v>299500</v>
      </c>
      <c r="P744" s="15">
        <f>(1530+2412)/12</f>
        <v>328.5</v>
      </c>
      <c r="R744" s="3">
        <v>1096</v>
      </c>
      <c r="S744" s="12">
        <f t="shared" si="33"/>
        <v>35.166666666666671</v>
      </c>
      <c r="T744" s="3">
        <f t="shared" si="34"/>
        <v>1459.6666666666667</v>
      </c>
      <c r="U744" s="8">
        <f t="shared" si="35"/>
        <v>557900</v>
      </c>
    </row>
    <row r="745" spans="1:21" ht="27.6" x14ac:dyDescent="0.3">
      <c r="A745" s="13">
        <v>45552</v>
      </c>
      <c r="B745" s="10" t="s">
        <v>1344</v>
      </c>
      <c r="C745" s="2" t="s">
        <v>4</v>
      </c>
      <c r="D745" s="2" t="s">
        <v>1338</v>
      </c>
      <c r="E745" s="2" t="s">
        <v>375</v>
      </c>
      <c r="F745" s="2">
        <v>2010</v>
      </c>
      <c r="G745" s="1">
        <v>495</v>
      </c>
      <c r="H745" s="2">
        <v>495</v>
      </c>
      <c r="J745" s="2">
        <v>1</v>
      </c>
      <c r="K745" s="2">
        <v>1</v>
      </c>
      <c r="L745" s="2">
        <v>1</v>
      </c>
      <c r="M745" s="2">
        <v>3</v>
      </c>
      <c r="N745" s="9" t="s">
        <v>1345</v>
      </c>
      <c r="O745" s="8">
        <v>319000</v>
      </c>
      <c r="P745" s="15">
        <f>(1456+1956)/12</f>
        <v>284.33333333333331</v>
      </c>
      <c r="R745" s="3">
        <v>1215</v>
      </c>
      <c r="S745" s="12">
        <f t="shared" si="33"/>
        <v>41.875</v>
      </c>
      <c r="T745" s="3">
        <f t="shared" si="34"/>
        <v>1541.2083333333333</v>
      </c>
      <c r="U745" s="8">
        <f t="shared" si="35"/>
        <v>582362.5</v>
      </c>
    </row>
    <row r="746" spans="1:21" ht="14.4" x14ac:dyDescent="0.3">
      <c r="A746" s="13">
        <v>45552</v>
      </c>
      <c r="B746" s="2" t="s">
        <v>1346</v>
      </c>
      <c r="C746" s="2" t="s">
        <v>4</v>
      </c>
      <c r="D746" s="2" t="s">
        <v>1338</v>
      </c>
      <c r="E746" s="2" t="s">
        <v>375</v>
      </c>
      <c r="F746" s="2">
        <v>2010</v>
      </c>
      <c r="G746" s="1">
        <v>678</v>
      </c>
      <c r="H746" s="1">
        <v>678</v>
      </c>
      <c r="J746" s="2">
        <v>1</v>
      </c>
      <c r="K746" s="2">
        <v>1</v>
      </c>
      <c r="L746" s="2">
        <v>1</v>
      </c>
      <c r="M746" s="2">
        <v>6</v>
      </c>
      <c r="N746" s="9" t="s">
        <v>1347</v>
      </c>
      <c r="O746" s="8">
        <v>323000</v>
      </c>
      <c r="P746" s="15">
        <f>(1830+2292)/12</f>
        <v>343.5</v>
      </c>
      <c r="R746" s="3">
        <v>1239</v>
      </c>
      <c r="S746" s="12">
        <f t="shared" si="33"/>
        <v>52.550000000000004</v>
      </c>
      <c r="T746" s="3">
        <f t="shared" si="34"/>
        <v>1635.05</v>
      </c>
      <c r="U746" s="8">
        <f t="shared" si="35"/>
        <v>610515</v>
      </c>
    </row>
    <row r="747" spans="1:21" ht="27.6" x14ac:dyDescent="0.3">
      <c r="A747" s="13">
        <v>45552</v>
      </c>
      <c r="B747" s="10" t="s">
        <v>1348</v>
      </c>
      <c r="C747" s="2" t="s">
        <v>4</v>
      </c>
      <c r="D747" s="2" t="s">
        <v>1338</v>
      </c>
      <c r="E747" s="2" t="s">
        <v>375</v>
      </c>
      <c r="F747" s="2">
        <v>1978</v>
      </c>
      <c r="G747" s="1">
        <v>877</v>
      </c>
      <c r="H747" s="2">
        <v>877</v>
      </c>
      <c r="J747" s="2">
        <v>1</v>
      </c>
      <c r="K747" s="2">
        <v>2</v>
      </c>
      <c r="L747" s="2">
        <v>1</v>
      </c>
      <c r="M747" s="2">
        <v>6</v>
      </c>
      <c r="N747" s="9" t="s">
        <v>1349</v>
      </c>
      <c r="O747" s="8">
        <v>325000</v>
      </c>
      <c r="P747" s="15">
        <f>(1741+4368)/12</f>
        <v>509.08333333333331</v>
      </c>
      <c r="R747" s="3">
        <v>1251</v>
      </c>
      <c r="S747" s="12">
        <f t="shared" si="33"/>
        <v>64.158333333333331</v>
      </c>
      <c r="T747" s="3">
        <f t="shared" si="34"/>
        <v>1824.2416666666666</v>
      </c>
      <c r="U747" s="8">
        <f t="shared" si="35"/>
        <v>667272.5</v>
      </c>
    </row>
    <row r="748" spans="1:21" ht="14.4" x14ac:dyDescent="0.3">
      <c r="A748" s="13">
        <v>45552</v>
      </c>
      <c r="B748" s="2" t="s">
        <v>1350</v>
      </c>
      <c r="C748" s="2" t="s">
        <v>4</v>
      </c>
      <c r="D748" s="2" t="s">
        <v>1338</v>
      </c>
      <c r="E748" s="2" t="s">
        <v>375</v>
      </c>
      <c r="F748" s="2">
        <v>2011</v>
      </c>
      <c r="G748" s="1">
        <v>630</v>
      </c>
      <c r="H748" s="2">
        <v>630</v>
      </c>
      <c r="J748" s="2">
        <v>1</v>
      </c>
      <c r="K748" s="2">
        <v>1</v>
      </c>
      <c r="L748" s="2">
        <v>1</v>
      </c>
      <c r="M748" s="2">
        <v>5</v>
      </c>
      <c r="N748" s="9" t="s">
        <v>1351</v>
      </c>
      <c r="O748" s="8">
        <v>325000</v>
      </c>
      <c r="P748" s="1">
        <f>(2082+2460)/12</f>
        <v>378.5</v>
      </c>
      <c r="R748" s="3">
        <v>1251</v>
      </c>
      <c r="S748" s="12">
        <f t="shared" si="33"/>
        <v>49.750000000000007</v>
      </c>
      <c r="T748" s="3">
        <f t="shared" si="34"/>
        <v>1679.25</v>
      </c>
      <c r="U748" s="8">
        <f t="shared" si="35"/>
        <v>623775</v>
      </c>
    </row>
    <row r="749" spans="1:21" ht="27.6" x14ac:dyDescent="0.3">
      <c r="A749" s="13">
        <v>45552</v>
      </c>
      <c r="B749" s="10" t="s">
        <v>1352</v>
      </c>
      <c r="C749" s="2" t="s">
        <v>4</v>
      </c>
      <c r="D749" s="2" t="s">
        <v>1338</v>
      </c>
      <c r="E749" s="2" t="s">
        <v>375</v>
      </c>
      <c r="F749" s="2">
        <v>2024</v>
      </c>
      <c r="G749" s="1">
        <v>424</v>
      </c>
      <c r="H749" s="2">
        <v>424</v>
      </c>
      <c r="J749" s="2">
        <v>1</v>
      </c>
      <c r="K749" s="2">
        <v>1</v>
      </c>
      <c r="L749" s="2">
        <v>1</v>
      </c>
      <c r="M749" s="2">
        <v>3</v>
      </c>
      <c r="N749" s="9" t="s">
        <v>1353</v>
      </c>
      <c r="O749" s="8">
        <v>328403</v>
      </c>
      <c r="P749" s="2">
        <v>400</v>
      </c>
      <c r="Q749" s="1" t="s">
        <v>25</v>
      </c>
      <c r="R749" s="3">
        <v>1272</v>
      </c>
      <c r="S749" s="12">
        <f t="shared" si="33"/>
        <v>37.733333333333334</v>
      </c>
      <c r="T749" s="3">
        <f t="shared" si="34"/>
        <v>1709.7333333333333</v>
      </c>
      <c r="U749" s="8">
        <f t="shared" si="35"/>
        <v>632920</v>
      </c>
    </row>
    <row r="750" spans="1:21" ht="14.4" x14ac:dyDescent="0.3">
      <c r="A750" s="13">
        <v>45552</v>
      </c>
      <c r="B750" s="2" t="s">
        <v>1354</v>
      </c>
      <c r="C750" s="2" t="s">
        <v>4</v>
      </c>
      <c r="D750" s="2" t="s">
        <v>1338</v>
      </c>
      <c r="E750" s="2" t="s">
        <v>375</v>
      </c>
      <c r="F750" s="2">
        <v>1978</v>
      </c>
      <c r="G750" s="2">
        <v>889</v>
      </c>
      <c r="H750" s="2">
        <v>889</v>
      </c>
      <c r="J750" s="2">
        <v>1</v>
      </c>
      <c r="K750" s="2">
        <v>2</v>
      </c>
      <c r="L750" s="2">
        <v>1</v>
      </c>
      <c r="M750" s="2">
        <v>6</v>
      </c>
      <c r="N750" s="9" t="s">
        <v>1355</v>
      </c>
      <c r="O750" s="8">
        <v>330000</v>
      </c>
      <c r="P750" s="1">
        <f>(1871+4020)/12</f>
        <v>490.91666666666669</v>
      </c>
      <c r="R750" s="3">
        <v>1282</v>
      </c>
      <c r="S750" s="12">
        <f t="shared" si="33"/>
        <v>64.858333333333348</v>
      </c>
      <c r="T750" s="3">
        <f t="shared" si="34"/>
        <v>1837.7750000000001</v>
      </c>
      <c r="U750" s="8">
        <f t="shared" si="35"/>
        <v>671332.50000000012</v>
      </c>
    </row>
    <row r="751" spans="1:21" ht="27.6" x14ac:dyDescent="0.3">
      <c r="A751" s="13">
        <v>45552</v>
      </c>
      <c r="B751" s="10" t="s">
        <v>1356</v>
      </c>
      <c r="C751" s="2" t="s">
        <v>4</v>
      </c>
      <c r="D751" s="2" t="s">
        <v>1338</v>
      </c>
      <c r="E751" s="2" t="s">
        <v>375</v>
      </c>
      <c r="F751" s="2">
        <v>2011</v>
      </c>
      <c r="G751" s="1">
        <v>571</v>
      </c>
      <c r="H751" s="1">
        <v>571</v>
      </c>
      <c r="J751" s="2">
        <v>1</v>
      </c>
      <c r="K751" s="2">
        <v>1</v>
      </c>
      <c r="L751" s="2">
        <v>1</v>
      </c>
      <c r="M751" s="2">
        <v>4</v>
      </c>
      <c r="N751" s="9" t="s">
        <v>1357</v>
      </c>
      <c r="O751" s="8">
        <v>333000</v>
      </c>
      <c r="P751" s="1">
        <f>(1715+3346)/12</f>
        <v>421.75</v>
      </c>
      <c r="R751" s="3">
        <v>1300</v>
      </c>
      <c r="S751" s="12">
        <f t="shared" si="33"/>
        <v>46.308333333333337</v>
      </c>
      <c r="T751" s="3">
        <f t="shared" si="34"/>
        <v>1768.0583333333334</v>
      </c>
      <c r="U751" s="8">
        <f t="shared" si="35"/>
        <v>650417.5</v>
      </c>
    </row>
    <row r="752" spans="1:21" ht="41.4" x14ac:dyDescent="0.3">
      <c r="A752" s="13">
        <v>45552</v>
      </c>
      <c r="B752" s="10" t="s">
        <v>1358</v>
      </c>
      <c r="C752" s="2" t="s">
        <v>4</v>
      </c>
      <c r="D752" s="2" t="s">
        <v>1338</v>
      </c>
      <c r="E752" s="2" t="s">
        <v>375</v>
      </c>
      <c r="F752" s="2">
        <v>2010</v>
      </c>
      <c r="G752" s="1">
        <v>756</v>
      </c>
      <c r="H752" s="2">
        <v>756</v>
      </c>
      <c r="J752" s="2">
        <v>1</v>
      </c>
      <c r="K752" s="2">
        <v>1</v>
      </c>
      <c r="L752" s="2">
        <v>1</v>
      </c>
      <c r="M752" s="2">
        <v>2</v>
      </c>
      <c r="N752" s="9" t="s">
        <v>1359</v>
      </c>
      <c r="O752" s="8">
        <v>335000</v>
      </c>
      <c r="P752" s="1">
        <f>(1979+2436)/12</f>
        <v>367.91666666666669</v>
      </c>
      <c r="R752" s="3">
        <v>1312</v>
      </c>
      <c r="S752" s="12">
        <f t="shared" si="33"/>
        <v>57.1</v>
      </c>
      <c r="T752" s="3">
        <f t="shared" si="34"/>
        <v>1737.0166666666667</v>
      </c>
      <c r="U752" s="8">
        <f t="shared" si="35"/>
        <v>641105</v>
      </c>
    </row>
    <row r="753" spans="1:21" ht="27.6" x14ac:dyDescent="0.3">
      <c r="A753" s="13">
        <v>45552</v>
      </c>
      <c r="B753" s="10" t="s">
        <v>1360</v>
      </c>
      <c r="C753" s="2" t="s">
        <v>4</v>
      </c>
      <c r="D753" s="2" t="s">
        <v>1338</v>
      </c>
      <c r="E753" s="2" t="s">
        <v>375</v>
      </c>
      <c r="F753" s="2">
        <v>2022</v>
      </c>
      <c r="G753" s="1">
        <v>429</v>
      </c>
      <c r="H753" s="1">
        <v>429</v>
      </c>
      <c r="J753" s="2">
        <v>1</v>
      </c>
      <c r="K753" s="2">
        <v>1</v>
      </c>
      <c r="L753" s="2">
        <v>1</v>
      </c>
      <c r="M753" s="2">
        <v>5</v>
      </c>
      <c r="N753" s="9" t="s">
        <v>1361</v>
      </c>
      <c r="O753" s="8">
        <v>335000</v>
      </c>
      <c r="P753" s="2">
        <v>400</v>
      </c>
      <c r="Q753" s="1" t="s">
        <v>25</v>
      </c>
      <c r="R753" s="3">
        <v>1312</v>
      </c>
      <c r="S753" s="12">
        <f t="shared" si="33"/>
        <v>38.025000000000006</v>
      </c>
      <c r="T753" s="3">
        <f t="shared" si="34"/>
        <v>1750.0250000000001</v>
      </c>
      <c r="U753" s="8">
        <f t="shared" si="35"/>
        <v>645007.50000000012</v>
      </c>
    </row>
    <row r="754" spans="1:21" ht="27.6" x14ac:dyDescent="0.3">
      <c r="A754" s="13">
        <v>45552</v>
      </c>
      <c r="B754" s="10" t="s">
        <v>1362</v>
      </c>
      <c r="C754" s="2" t="s">
        <v>4</v>
      </c>
      <c r="D754" s="2" t="s">
        <v>1338</v>
      </c>
      <c r="E754" s="2" t="s">
        <v>375</v>
      </c>
      <c r="F754" s="2">
        <v>2024</v>
      </c>
      <c r="G754" s="1">
        <v>424</v>
      </c>
      <c r="H754" s="2">
        <v>424</v>
      </c>
      <c r="J754" s="2">
        <v>1</v>
      </c>
      <c r="K754" s="2">
        <v>1</v>
      </c>
      <c r="L754" s="2">
        <v>1</v>
      </c>
      <c r="M754" s="2">
        <v>4</v>
      </c>
      <c r="N754" s="9" t="s">
        <v>1363</v>
      </c>
      <c r="O754" s="8">
        <v>338601</v>
      </c>
      <c r="P754" s="2">
        <v>400</v>
      </c>
      <c r="Q754" s="1" t="s">
        <v>25</v>
      </c>
      <c r="R754" s="3">
        <v>1334</v>
      </c>
      <c r="S754" s="12">
        <f t="shared" si="33"/>
        <v>37.733333333333334</v>
      </c>
      <c r="T754" s="3">
        <f t="shared" si="34"/>
        <v>1771.7333333333333</v>
      </c>
      <c r="U754" s="8">
        <f t="shared" si="35"/>
        <v>651520</v>
      </c>
    </row>
    <row r="755" spans="1:21" ht="41.4" x14ac:dyDescent="0.3">
      <c r="A755" s="13">
        <v>45552</v>
      </c>
      <c r="B755" s="10" t="s">
        <v>1364</v>
      </c>
      <c r="C755" s="2" t="s">
        <v>4</v>
      </c>
      <c r="D755" s="2" t="s">
        <v>1338</v>
      </c>
      <c r="E755" s="2" t="s">
        <v>375</v>
      </c>
      <c r="F755" s="2">
        <v>2022</v>
      </c>
      <c r="G755" s="1">
        <v>508</v>
      </c>
      <c r="H755" s="1">
        <v>508</v>
      </c>
      <c r="J755" s="2">
        <v>1</v>
      </c>
      <c r="K755" s="2">
        <v>1</v>
      </c>
      <c r="L755" s="2">
        <v>1</v>
      </c>
      <c r="M755" s="2">
        <v>4</v>
      </c>
      <c r="N755" s="9" t="s">
        <v>1365</v>
      </c>
      <c r="O755" s="8">
        <v>349000</v>
      </c>
      <c r="P755" s="1">
        <f>(2104+2556)/12</f>
        <v>388.33333333333331</v>
      </c>
      <c r="R755" s="3">
        <v>1398</v>
      </c>
      <c r="S755" s="12">
        <f t="shared" si="33"/>
        <v>42.63333333333334</v>
      </c>
      <c r="T755" s="3">
        <f t="shared" si="34"/>
        <v>1828.9666666666667</v>
      </c>
      <c r="U755" s="8">
        <f t="shared" si="35"/>
        <v>668690</v>
      </c>
    </row>
    <row r="756" spans="1:21" ht="27.6" x14ac:dyDescent="0.3">
      <c r="A756" s="13">
        <v>45552</v>
      </c>
      <c r="B756" s="10" t="s">
        <v>1366</v>
      </c>
      <c r="C756" s="2" t="s">
        <v>4</v>
      </c>
      <c r="D756" s="2" t="s">
        <v>1338</v>
      </c>
      <c r="E756" s="2" t="s">
        <v>375</v>
      </c>
      <c r="F756" s="2">
        <v>2009</v>
      </c>
      <c r="G756" s="1">
        <v>496</v>
      </c>
      <c r="H756" s="1">
        <v>496</v>
      </c>
      <c r="J756" s="2">
        <v>1</v>
      </c>
      <c r="K756" s="2">
        <v>1</v>
      </c>
      <c r="L756" s="2">
        <v>1</v>
      </c>
      <c r="M756" s="2">
        <v>3</v>
      </c>
      <c r="N756" s="9" t="s">
        <v>1367</v>
      </c>
      <c r="O756" s="8">
        <v>349000</v>
      </c>
      <c r="P756" s="1">
        <f>(1923+2232)/12</f>
        <v>346.25</v>
      </c>
      <c r="R756" s="3">
        <v>1398</v>
      </c>
      <c r="S756" s="12">
        <f t="shared" si="33"/>
        <v>41.933333333333337</v>
      </c>
      <c r="T756" s="3">
        <f t="shared" si="34"/>
        <v>1786.1833333333334</v>
      </c>
      <c r="U756" s="8">
        <f t="shared" si="35"/>
        <v>655855</v>
      </c>
    </row>
    <row r="757" spans="1:21" ht="55.2" x14ac:dyDescent="0.3">
      <c r="A757" s="13">
        <v>45552</v>
      </c>
      <c r="B757" s="10" t="s">
        <v>1368</v>
      </c>
      <c r="C757" s="2" t="s">
        <v>4</v>
      </c>
      <c r="D757" s="2" t="s">
        <v>1338</v>
      </c>
      <c r="E757" s="2" t="s">
        <v>375</v>
      </c>
      <c r="F757" s="2">
        <v>2022</v>
      </c>
      <c r="G757" s="1">
        <v>576</v>
      </c>
      <c r="H757" s="1">
        <v>576</v>
      </c>
      <c r="J757" s="2">
        <v>1</v>
      </c>
      <c r="K757" s="2">
        <v>1</v>
      </c>
      <c r="L757" s="2">
        <v>1</v>
      </c>
      <c r="M757" s="2">
        <v>5</v>
      </c>
      <c r="N757" s="9" t="s">
        <v>1369</v>
      </c>
      <c r="O757" s="8">
        <v>349000</v>
      </c>
      <c r="P757" s="1">
        <f>(1909+2724)/12</f>
        <v>386.08333333333331</v>
      </c>
      <c r="R757" s="3">
        <v>1398</v>
      </c>
      <c r="S757" s="12">
        <f t="shared" si="33"/>
        <v>46.6</v>
      </c>
      <c r="T757" s="3">
        <f t="shared" si="34"/>
        <v>1830.6833333333332</v>
      </c>
      <c r="U757" s="8">
        <f t="shared" si="35"/>
        <v>669204.99999999988</v>
      </c>
    </row>
    <row r="758" spans="1:21" ht="27.6" x14ac:dyDescent="0.3">
      <c r="A758" s="13">
        <v>45552</v>
      </c>
      <c r="B758" s="10" t="s">
        <v>1370</v>
      </c>
      <c r="C758" s="2" t="s">
        <v>4</v>
      </c>
      <c r="D758" s="2" t="s">
        <v>1338</v>
      </c>
      <c r="E758" s="2" t="s">
        <v>375</v>
      </c>
      <c r="F758" s="2">
        <v>1977</v>
      </c>
      <c r="G758" s="1">
        <v>880</v>
      </c>
      <c r="H758" s="1">
        <v>880</v>
      </c>
      <c r="J758" s="2">
        <v>1</v>
      </c>
      <c r="K758" s="2">
        <v>2</v>
      </c>
      <c r="L758" s="2">
        <v>1</v>
      </c>
      <c r="M758" s="2">
        <v>6</v>
      </c>
      <c r="N758" s="9" t="s">
        <v>1371</v>
      </c>
      <c r="O758" s="8">
        <v>349999</v>
      </c>
      <c r="P758" s="1">
        <f>(2089+4416)/12</f>
        <v>542.08333333333337</v>
      </c>
      <c r="R758" s="3">
        <v>1404</v>
      </c>
      <c r="S758" s="12">
        <f t="shared" si="33"/>
        <v>64.333333333333343</v>
      </c>
      <c r="T758" s="3">
        <f t="shared" si="34"/>
        <v>2010.4166666666667</v>
      </c>
      <c r="U758" s="8">
        <f t="shared" si="35"/>
        <v>723125</v>
      </c>
    </row>
    <row r="759" spans="1:21" ht="27.6" x14ac:dyDescent="0.3">
      <c r="A759" s="13">
        <v>45552</v>
      </c>
      <c r="B759" s="10" t="s">
        <v>1372</v>
      </c>
      <c r="C759" s="2" t="s">
        <v>4</v>
      </c>
      <c r="D759" s="2" t="s">
        <v>1338</v>
      </c>
      <c r="E759" s="2" t="s">
        <v>375</v>
      </c>
      <c r="F759" s="2">
        <v>2023</v>
      </c>
      <c r="G759" s="1">
        <v>485</v>
      </c>
      <c r="H759" s="1">
        <v>485</v>
      </c>
      <c r="J759" s="2">
        <v>1</v>
      </c>
      <c r="K759" s="2">
        <v>1</v>
      </c>
      <c r="L759" s="2">
        <v>1</v>
      </c>
      <c r="M759" s="2">
        <v>3</v>
      </c>
      <c r="N759" s="9" t="s">
        <v>1373</v>
      </c>
      <c r="O759" s="8">
        <v>355935</v>
      </c>
      <c r="P759" s="2">
        <v>450</v>
      </c>
      <c r="Q759" s="1" t="s">
        <v>25</v>
      </c>
      <c r="R759" s="3">
        <v>1440</v>
      </c>
      <c r="S759" s="12">
        <f t="shared" si="33"/>
        <v>41.291666666666671</v>
      </c>
      <c r="T759" s="3">
        <f t="shared" si="34"/>
        <v>1931.2916666666667</v>
      </c>
      <c r="U759" s="8">
        <f t="shared" si="35"/>
        <v>699387.5</v>
      </c>
    </row>
    <row r="760" spans="1:21" ht="41.4" x14ac:dyDescent="0.3">
      <c r="A760" s="13">
        <v>45552</v>
      </c>
      <c r="B760" s="10" t="s">
        <v>1374</v>
      </c>
      <c r="C760" s="2" t="s">
        <v>4</v>
      </c>
      <c r="D760" s="2" t="s">
        <v>1338</v>
      </c>
      <c r="E760" s="2" t="s">
        <v>375</v>
      </c>
      <c r="F760" s="2">
        <v>2022</v>
      </c>
      <c r="G760" s="1">
        <v>536</v>
      </c>
      <c r="H760" s="1">
        <v>536</v>
      </c>
      <c r="J760" s="2">
        <v>1</v>
      </c>
      <c r="K760" s="2">
        <v>1</v>
      </c>
      <c r="L760" s="2">
        <v>1</v>
      </c>
      <c r="M760" s="2">
        <v>5</v>
      </c>
      <c r="N760" s="9" t="s">
        <v>1375</v>
      </c>
      <c r="O760" s="8">
        <v>359000</v>
      </c>
      <c r="P760" s="2">
        <v>450</v>
      </c>
      <c r="Q760" s="1" t="s">
        <v>25</v>
      </c>
      <c r="R760" s="3">
        <v>1459</v>
      </c>
      <c r="S760" s="12">
        <f t="shared" si="33"/>
        <v>44.266666666666666</v>
      </c>
      <c r="T760" s="3">
        <f t="shared" si="34"/>
        <v>1953.2666666666667</v>
      </c>
      <c r="U760" s="8">
        <f t="shared" si="35"/>
        <v>705980</v>
      </c>
    </row>
    <row r="761" spans="1:21" ht="41.4" x14ac:dyDescent="0.3">
      <c r="A761" s="13">
        <v>45552</v>
      </c>
      <c r="B761" s="10" t="s">
        <v>1376</v>
      </c>
      <c r="C761" s="2" t="s">
        <v>4</v>
      </c>
      <c r="D761" s="2" t="s">
        <v>1338</v>
      </c>
      <c r="E761" s="2" t="s">
        <v>375</v>
      </c>
      <c r="F761" s="2">
        <v>1989</v>
      </c>
      <c r="G761" s="1">
        <v>930</v>
      </c>
      <c r="H761" s="1">
        <v>930</v>
      </c>
      <c r="J761" s="2">
        <v>1</v>
      </c>
      <c r="K761" s="2">
        <v>2</v>
      </c>
      <c r="L761" s="2">
        <v>1</v>
      </c>
      <c r="M761" s="2">
        <v>8</v>
      </c>
      <c r="N761" s="9" t="s">
        <v>1377</v>
      </c>
      <c r="O761" s="8">
        <v>360000</v>
      </c>
      <c r="P761" s="1">
        <f>(2067+2040)/12</f>
        <v>342.25</v>
      </c>
      <c r="R761" s="3">
        <v>1465</v>
      </c>
      <c r="S761" s="12">
        <f t="shared" si="33"/>
        <v>67.25</v>
      </c>
      <c r="T761" s="3">
        <f t="shared" si="34"/>
        <v>1874.5</v>
      </c>
      <c r="U761" s="8">
        <f t="shared" si="35"/>
        <v>682350</v>
      </c>
    </row>
    <row r="762" spans="1:21" ht="27.6" x14ac:dyDescent="0.3">
      <c r="A762" s="13">
        <v>45552</v>
      </c>
      <c r="B762" s="10" t="s">
        <v>1378</v>
      </c>
      <c r="C762" s="2" t="s">
        <v>4</v>
      </c>
      <c r="D762" s="2" t="s">
        <v>1338</v>
      </c>
      <c r="E762" s="2" t="s">
        <v>375</v>
      </c>
      <c r="F762" s="2">
        <v>1989</v>
      </c>
      <c r="G762" s="1">
        <v>940</v>
      </c>
      <c r="H762" s="1">
        <v>940</v>
      </c>
      <c r="J762" s="2">
        <v>1</v>
      </c>
      <c r="K762" s="2">
        <v>2</v>
      </c>
      <c r="L762" s="2">
        <v>1</v>
      </c>
      <c r="M762" s="2">
        <v>8</v>
      </c>
      <c r="N762" s="9" t="s">
        <v>1379</v>
      </c>
      <c r="O762" s="8">
        <v>360000</v>
      </c>
      <c r="P762" s="1">
        <f>(2277+2412)/12</f>
        <v>390.75</v>
      </c>
      <c r="R762" s="3">
        <v>1465</v>
      </c>
      <c r="S762" s="12">
        <f t="shared" si="33"/>
        <v>67.833333333333343</v>
      </c>
      <c r="T762" s="3">
        <f t="shared" si="34"/>
        <v>1923.5833333333333</v>
      </c>
      <c r="U762" s="8">
        <f t="shared" si="35"/>
        <v>697075</v>
      </c>
    </row>
    <row r="763" spans="1:21" ht="41.4" x14ac:dyDescent="0.3">
      <c r="A763" s="13">
        <v>45552</v>
      </c>
      <c r="B763" s="10" t="s">
        <v>1380</v>
      </c>
      <c r="C763" s="2" t="s">
        <v>4</v>
      </c>
      <c r="D763" s="2" t="s">
        <v>1338</v>
      </c>
      <c r="E763" s="2" t="s">
        <v>375</v>
      </c>
      <c r="F763" s="2">
        <v>1988</v>
      </c>
      <c r="G763" s="1">
        <v>972</v>
      </c>
      <c r="H763" s="1">
        <v>972</v>
      </c>
      <c r="J763" s="2">
        <v>1</v>
      </c>
      <c r="K763" s="2">
        <v>2</v>
      </c>
      <c r="L763" s="2">
        <v>1</v>
      </c>
      <c r="M763" s="2">
        <v>6</v>
      </c>
      <c r="N763" s="9" t="s">
        <v>1381</v>
      </c>
      <c r="O763" s="8">
        <v>368000</v>
      </c>
      <c r="P763" s="1">
        <f>(2275+3048)/12</f>
        <v>443.58333333333331</v>
      </c>
      <c r="R763" s="3">
        <v>1514</v>
      </c>
      <c r="S763" s="12">
        <f t="shared" si="33"/>
        <v>69.700000000000017</v>
      </c>
      <c r="T763" s="3">
        <f t="shared" si="34"/>
        <v>2027.2833333333333</v>
      </c>
      <c r="U763" s="8">
        <f t="shared" si="35"/>
        <v>728185</v>
      </c>
    </row>
    <row r="764" spans="1:21" ht="27.6" x14ac:dyDescent="0.3">
      <c r="A764" s="13">
        <v>45552</v>
      </c>
      <c r="B764" s="10" t="s">
        <v>1382</v>
      </c>
      <c r="C764" s="2" t="s">
        <v>4</v>
      </c>
      <c r="D764" s="2" t="s">
        <v>1338</v>
      </c>
      <c r="E764" s="2" t="s">
        <v>375</v>
      </c>
      <c r="F764" s="2">
        <v>2017</v>
      </c>
      <c r="G764" s="1">
        <v>625</v>
      </c>
      <c r="H764" s="1">
        <v>625</v>
      </c>
      <c r="J764" s="2">
        <v>1</v>
      </c>
      <c r="K764" s="2">
        <v>1</v>
      </c>
      <c r="L764" s="2">
        <v>1</v>
      </c>
      <c r="M764" s="2">
        <v>5</v>
      </c>
      <c r="N764" s="9" t="s">
        <v>1383</v>
      </c>
      <c r="O764" s="8">
        <v>374000</v>
      </c>
      <c r="P764" s="1">
        <f>(2075+3120)/12</f>
        <v>432.91666666666669</v>
      </c>
      <c r="R764" s="3">
        <v>1550</v>
      </c>
      <c r="S764" s="12">
        <f t="shared" si="33"/>
        <v>49.458333333333336</v>
      </c>
      <c r="T764" s="3">
        <f t="shared" si="34"/>
        <v>2032.375</v>
      </c>
      <c r="U764" s="8">
        <f t="shared" si="35"/>
        <v>729712.5</v>
      </c>
    </row>
    <row r="765" spans="1:21" ht="41.4" x14ac:dyDescent="0.3">
      <c r="A765" s="13">
        <v>45552</v>
      </c>
      <c r="B765" s="10" t="s">
        <v>1384</v>
      </c>
      <c r="C765" s="2" t="s">
        <v>4</v>
      </c>
      <c r="D765" s="2" t="s">
        <v>1338</v>
      </c>
      <c r="E765" s="2" t="s">
        <v>375</v>
      </c>
      <c r="F765" s="2">
        <v>2022</v>
      </c>
      <c r="G765" s="1">
        <v>667</v>
      </c>
      <c r="H765" s="1">
        <v>667</v>
      </c>
      <c r="J765" s="2">
        <v>1</v>
      </c>
      <c r="K765" s="2">
        <v>1</v>
      </c>
      <c r="L765" s="2">
        <v>1</v>
      </c>
      <c r="M765" s="2">
        <v>3</v>
      </c>
      <c r="N765" s="9" t="s">
        <v>1385</v>
      </c>
      <c r="O765" s="8">
        <v>379000</v>
      </c>
      <c r="P765" s="1">
        <f>(2304+3240)/12</f>
        <v>462</v>
      </c>
      <c r="R765" s="3">
        <v>1581</v>
      </c>
      <c r="S765" s="12">
        <f t="shared" si="33"/>
        <v>51.908333333333339</v>
      </c>
      <c r="T765" s="3">
        <f t="shared" si="34"/>
        <v>2094.9083333333333</v>
      </c>
      <c r="U765" s="8">
        <f t="shared" si="35"/>
        <v>748472.5</v>
      </c>
    </row>
    <row r="766" spans="1:21" ht="41.4" x14ac:dyDescent="0.3">
      <c r="A766" s="13">
        <v>45552</v>
      </c>
      <c r="B766" s="10" t="s">
        <v>1386</v>
      </c>
      <c r="C766" s="2" t="s">
        <v>4</v>
      </c>
      <c r="D766" s="2" t="s">
        <v>1338</v>
      </c>
      <c r="E766" s="2" t="s">
        <v>375</v>
      </c>
      <c r="F766" s="2">
        <v>2022</v>
      </c>
      <c r="G766" s="1">
        <v>673</v>
      </c>
      <c r="H766" s="1">
        <v>673</v>
      </c>
      <c r="J766" s="2">
        <v>1</v>
      </c>
      <c r="K766" s="2">
        <v>1</v>
      </c>
      <c r="L766" s="2">
        <v>1</v>
      </c>
      <c r="M766" s="2">
        <v>4</v>
      </c>
      <c r="N766" s="9" t="s">
        <v>1387</v>
      </c>
      <c r="O766" s="8">
        <v>388000</v>
      </c>
      <c r="P766" s="1">
        <f>(2395+2820)/12</f>
        <v>434.58333333333331</v>
      </c>
      <c r="R766" s="3">
        <v>1636</v>
      </c>
      <c r="S766" s="12">
        <f t="shared" si="33"/>
        <v>52.258333333333333</v>
      </c>
      <c r="T766" s="3">
        <f t="shared" si="34"/>
        <v>2122.8416666666667</v>
      </c>
      <c r="U766" s="8">
        <f t="shared" si="35"/>
        <v>756852.5</v>
      </c>
    </row>
    <row r="767" spans="1:21" ht="41.4" x14ac:dyDescent="0.3">
      <c r="A767" s="13">
        <v>45552</v>
      </c>
      <c r="B767" s="10" t="s">
        <v>1388</v>
      </c>
      <c r="C767" s="2" t="s">
        <v>4</v>
      </c>
      <c r="D767" s="2" t="s">
        <v>1338</v>
      </c>
      <c r="E767" s="2" t="s">
        <v>375</v>
      </c>
      <c r="F767" s="2">
        <v>2022</v>
      </c>
      <c r="G767" s="1">
        <v>547</v>
      </c>
      <c r="H767" s="1">
        <v>547</v>
      </c>
      <c r="J767" s="2">
        <v>1</v>
      </c>
      <c r="K767" s="2">
        <v>1</v>
      </c>
      <c r="L767" s="2">
        <v>1</v>
      </c>
      <c r="M767" s="2">
        <v>4</v>
      </c>
      <c r="N767" s="9" t="s">
        <v>1389</v>
      </c>
      <c r="O767" s="8">
        <v>389000</v>
      </c>
      <c r="P767" s="1">
        <f>(2012+2856)/12</f>
        <v>405.66666666666669</v>
      </c>
      <c r="R767" s="3">
        <v>1642</v>
      </c>
      <c r="S767" s="12">
        <f t="shared" si="33"/>
        <v>44.908333333333331</v>
      </c>
      <c r="T767" s="3">
        <f t="shared" si="34"/>
        <v>2092.5750000000003</v>
      </c>
      <c r="U767" s="8">
        <f t="shared" si="35"/>
        <v>747772.5</v>
      </c>
    </row>
    <row r="768" spans="1:21" ht="27.6" x14ac:dyDescent="0.3">
      <c r="A768" s="13">
        <v>45552</v>
      </c>
      <c r="B768" s="10" t="s">
        <v>1390</v>
      </c>
      <c r="C768" s="2" t="s">
        <v>4</v>
      </c>
      <c r="D768" s="2" t="s">
        <v>1338</v>
      </c>
      <c r="E768" s="2" t="s">
        <v>375</v>
      </c>
      <c r="F768" s="2">
        <v>2024</v>
      </c>
      <c r="G768" s="1">
        <v>599</v>
      </c>
      <c r="H768" s="1">
        <v>599</v>
      </c>
      <c r="J768" s="2">
        <v>1</v>
      </c>
      <c r="K768" s="2">
        <v>1</v>
      </c>
      <c r="L768" s="2">
        <v>1</v>
      </c>
      <c r="M768" s="2">
        <v>3</v>
      </c>
      <c r="N768" s="9" t="s">
        <v>1391</v>
      </c>
      <c r="O768" s="8">
        <v>393789</v>
      </c>
      <c r="P768" s="2">
        <v>500</v>
      </c>
      <c r="Q768" s="1" t="s">
        <v>25</v>
      </c>
      <c r="R768" s="3">
        <v>1671</v>
      </c>
      <c r="S768" s="12">
        <f t="shared" si="33"/>
        <v>47.94166666666667</v>
      </c>
      <c r="T768" s="3">
        <f t="shared" si="34"/>
        <v>2218.9416666666666</v>
      </c>
      <c r="U768" s="8">
        <f t="shared" si="35"/>
        <v>785682.5</v>
      </c>
    </row>
    <row r="769" spans="1:21" ht="41.4" x14ac:dyDescent="0.3">
      <c r="A769" s="13">
        <v>45552</v>
      </c>
      <c r="B769" s="10" t="s">
        <v>1392</v>
      </c>
      <c r="C769" s="2" t="s">
        <v>4</v>
      </c>
      <c r="D769" s="2" t="s">
        <v>1338</v>
      </c>
      <c r="E769" s="2" t="s">
        <v>375</v>
      </c>
      <c r="F769" s="2">
        <v>2013</v>
      </c>
      <c r="G769" s="1">
        <v>695</v>
      </c>
      <c r="H769" s="1">
        <v>695</v>
      </c>
      <c r="J769" s="2">
        <v>1</v>
      </c>
      <c r="K769" s="2">
        <v>1</v>
      </c>
      <c r="L769" s="2">
        <v>1</v>
      </c>
      <c r="M769" s="2">
        <v>5</v>
      </c>
      <c r="N769" s="9" t="s">
        <v>1393</v>
      </c>
      <c r="O769" s="8">
        <v>399000</v>
      </c>
      <c r="P769" s="1">
        <f>(2242+2640)/12</f>
        <v>406.83333333333331</v>
      </c>
      <c r="R769" s="3">
        <v>1703</v>
      </c>
      <c r="S769" s="12">
        <f t="shared" si="33"/>
        <v>53.541666666666671</v>
      </c>
      <c r="T769" s="3">
        <f t="shared" si="34"/>
        <v>2163.375</v>
      </c>
      <c r="U769" s="8">
        <f t="shared" si="35"/>
        <v>769012.5</v>
      </c>
    </row>
    <row r="770" spans="1:21" ht="27.6" x14ac:dyDescent="0.3">
      <c r="A770" s="13">
        <v>45552</v>
      </c>
      <c r="B770" s="10" t="s">
        <v>1394</v>
      </c>
      <c r="C770" s="2" t="s">
        <v>4</v>
      </c>
      <c r="D770" s="2" t="s">
        <v>1338</v>
      </c>
      <c r="E770" s="2" t="s">
        <v>375</v>
      </c>
      <c r="F770" s="2">
        <v>1985</v>
      </c>
      <c r="G770" s="1">
        <v>1276</v>
      </c>
      <c r="H770" s="1">
        <v>1276</v>
      </c>
      <c r="J770" s="2">
        <v>1</v>
      </c>
      <c r="K770" s="2">
        <v>2</v>
      </c>
      <c r="L770" s="2">
        <v>2</v>
      </c>
      <c r="M770" s="2">
        <v>9</v>
      </c>
      <c r="N770" s="9" t="s">
        <v>1395</v>
      </c>
      <c r="O770" s="8">
        <v>399000</v>
      </c>
      <c r="P770" s="1">
        <f>(2925+5220)/12</f>
        <v>678.75</v>
      </c>
      <c r="R770" s="3">
        <v>1703</v>
      </c>
      <c r="S770" s="12">
        <f t="shared" ref="S770:S833" si="36">13+(G770*10*0.07)/12</f>
        <v>87.433333333333337</v>
      </c>
      <c r="T770" s="3">
        <f t="shared" ref="T770:T833" si="37">P770+R770+S770</f>
        <v>2469.1833333333334</v>
      </c>
      <c r="U770" s="8">
        <f t="shared" ref="U770:U833" si="38">120000+T770*12*25</f>
        <v>860755</v>
      </c>
    </row>
    <row r="771" spans="1:21" ht="27.6" x14ac:dyDescent="0.3">
      <c r="A771" s="13">
        <v>45552</v>
      </c>
      <c r="B771" s="10" t="s">
        <v>1396</v>
      </c>
      <c r="C771" s="2" t="s">
        <v>4</v>
      </c>
      <c r="D771" s="2" t="s">
        <v>1338</v>
      </c>
      <c r="E771" s="2" t="s">
        <v>375</v>
      </c>
      <c r="F771" s="2">
        <v>2004</v>
      </c>
      <c r="G771" s="1">
        <v>763</v>
      </c>
      <c r="H771" s="1">
        <v>763</v>
      </c>
      <c r="J771" s="2">
        <v>1</v>
      </c>
      <c r="K771" s="2">
        <v>2</v>
      </c>
      <c r="L771" s="2">
        <v>1</v>
      </c>
      <c r="M771" s="2">
        <v>5</v>
      </c>
      <c r="N771" s="9" t="s">
        <v>1397</v>
      </c>
      <c r="O771" s="8">
        <v>399900</v>
      </c>
      <c r="P771" s="1">
        <f>(2273+2172)/12</f>
        <v>370.41666666666669</v>
      </c>
      <c r="R771" s="3">
        <v>1708</v>
      </c>
      <c r="S771" s="12">
        <f t="shared" si="36"/>
        <v>57.508333333333333</v>
      </c>
      <c r="T771" s="3">
        <f t="shared" si="37"/>
        <v>2135.9249999999997</v>
      </c>
      <c r="U771" s="8">
        <f t="shared" si="38"/>
        <v>760777.5</v>
      </c>
    </row>
    <row r="772" spans="1:21" ht="27.6" x14ac:dyDescent="0.3">
      <c r="A772" s="13">
        <v>45552</v>
      </c>
      <c r="B772" s="10" t="s">
        <v>1398</v>
      </c>
      <c r="C772" s="2" t="s">
        <v>4</v>
      </c>
      <c r="D772" s="2" t="s">
        <v>1338</v>
      </c>
      <c r="E772" s="2" t="s">
        <v>375</v>
      </c>
      <c r="F772" s="2">
        <v>1981</v>
      </c>
      <c r="G772" s="1">
        <v>1186</v>
      </c>
      <c r="H772" s="1">
        <v>1186</v>
      </c>
      <c r="J772" s="2">
        <v>1</v>
      </c>
      <c r="K772" s="2">
        <v>3</v>
      </c>
      <c r="L772" s="2">
        <v>2</v>
      </c>
      <c r="M772" s="2">
        <v>6</v>
      </c>
      <c r="N772" s="9" t="s">
        <v>1399</v>
      </c>
      <c r="O772" s="8">
        <v>399900</v>
      </c>
      <c r="P772" s="1">
        <f>1708/12</f>
        <v>142.33333333333334</v>
      </c>
      <c r="R772" s="3">
        <v>1708</v>
      </c>
      <c r="S772" s="12">
        <f t="shared" si="36"/>
        <v>82.183333333333337</v>
      </c>
      <c r="T772" s="3">
        <f t="shared" si="37"/>
        <v>1932.5166666666667</v>
      </c>
      <c r="U772" s="8">
        <f t="shared" si="38"/>
        <v>699755</v>
      </c>
    </row>
    <row r="773" spans="1:21" ht="27.6" x14ac:dyDescent="0.3">
      <c r="A773" s="13">
        <v>45552</v>
      </c>
      <c r="B773" s="10" t="s">
        <v>1400</v>
      </c>
      <c r="C773" s="2" t="s">
        <v>4</v>
      </c>
      <c r="D773" s="2" t="s">
        <v>1338</v>
      </c>
      <c r="E773" s="2" t="s">
        <v>375</v>
      </c>
      <c r="F773" s="2">
        <v>1990</v>
      </c>
      <c r="G773" s="1">
        <v>975</v>
      </c>
      <c r="H773" s="1">
        <v>975</v>
      </c>
      <c r="J773" s="2">
        <v>1</v>
      </c>
      <c r="K773" s="2">
        <v>2</v>
      </c>
      <c r="L773" s="2">
        <v>2</v>
      </c>
      <c r="M773" s="2">
        <v>5</v>
      </c>
      <c r="N773" s="9" t="s">
        <v>1401</v>
      </c>
      <c r="O773" s="8">
        <v>409000</v>
      </c>
      <c r="P773" s="1">
        <f>(2462+3960)/12</f>
        <v>535.16666666666663</v>
      </c>
      <c r="R773" s="3">
        <v>1764</v>
      </c>
      <c r="S773" s="12">
        <f t="shared" si="36"/>
        <v>69.875</v>
      </c>
      <c r="T773" s="3">
        <f t="shared" si="37"/>
        <v>2369.0416666666665</v>
      </c>
      <c r="U773" s="8">
        <f t="shared" si="38"/>
        <v>830712.5</v>
      </c>
    </row>
    <row r="774" spans="1:21" ht="27.6" x14ac:dyDescent="0.3">
      <c r="A774" s="13">
        <v>45552</v>
      </c>
      <c r="B774" s="10" t="s">
        <v>1402</v>
      </c>
      <c r="C774" s="2" t="s">
        <v>4</v>
      </c>
      <c r="D774" s="2" t="s">
        <v>1338</v>
      </c>
      <c r="E774" s="2" t="s">
        <v>375</v>
      </c>
      <c r="F774" s="2">
        <v>2010</v>
      </c>
      <c r="G774" s="1">
        <v>904</v>
      </c>
      <c r="H774" s="1">
        <v>904</v>
      </c>
      <c r="J774" s="2">
        <v>1</v>
      </c>
      <c r="K774" s="2">
        <v>2</v>
      </c>
      <c r="L774" s="2">
        <v>1</v>
      </c>
      <c r="M774" s="2">
        <v>6</v>
      </c>
      <c r="N774" s="9" t="s">
        <v>1403</v>
      </c>
      <c r="O774" s="8">
        <v>409000</v>
      </c>
      <c r="P774" s="1">
        <f>(2262+2712)/12</f>
        <v>414.5</v>
      </c>
      <c r="R774" s="3">
        <v>1764</v>
      </c>
      <c r="S774" s="12">
        <f t="shared" si="36"/>
        <v>65.733333333333348</v>
      </c>
      <c r="T774" s="3">
        <f t="shared" si="37"/>
        <v>2244.2333333333336</v>
      </c>
      <c r="U774" s="8">
        <f t="shared" si="38"/>
        <v>793270.00000000012</v>
      </c>
    </row>
    <row r="775" spans="1:21" ht="27.6" x14ac:dyDescent="0.3">
      <c r="A775" s="13">
        <v>45552</v>
      </c>
      <c r="B775" s="10" t="s">
        <v>1404</v>
      </c>
      <c r="C775" s="2" t="s">
        <v>4</v>
      </c>
      <c r="D775" s="2" t="s">
        <v>1338</v>
      </c>
      <c r="E775" s="2" t="s">
        <v>375</v>
      </c>
      <c r="F775" s="2">
        <v>2012</v>
      </c>
      <c r="G775" s="1">
        <v>974</v>
      </c>
      <c r="H775" s="1">
        <v>974</v>
      </c>
      <c r="J775" s="2">
        <v>1</v>
      </c>
      <c r="K775" s="2">
        <v>2</v>
      </c>
      <c r="L775" s="2">
        <v>1</v>
      </c>
      <c r="M775" s="2">
        <v>5</v>
      </c>
      <c r="N775" s="9" t="s">
        <v>1405</v>
      </c>
      <c r="O775" s="8">
        <v>409900</v>
      </c>
      <c r="P775" s="1">
        <f>(2662+4848)/12</f>
        <v>625.83333333333337</v>
      </c>
      <c r="R775" s="3">
        <v>1770</v>
      </c>
      <c r="S775" s="12">
        <f t="shared" si="36"/>
        <v>69.816666666666663</v>
      </c>
      <c r="T775" s="3">
        <f t="shared" si="37"/>
        <v>2465.65</v>
      </c>
      <c r="U775" s="8">
        <f t="shared" si="38"/>
        <v>859695.00000000012</v>
      </c>
    </row>
    <row r="776" spans="1:21" ht="27.6" x14ac:dyDescent="0.3">
      <c r="A776" s="13">
        <v>45552</v>
      </c>
      <c r="B776" s="10" t="s">
        <v>1406</v>
      </c>
      <c r="C776" s="2" t="s">
        <v>4</v>
      </c>
      <c r="D776" s="2" t="s">
        <v>1338</v>
      </c>
      <c r="E776" s="2" t="s">
        <v>375</v>
      </c>
      <c r="F776" s="2">
        <v>1988</v>
      </c>
      <c r="G776" s="1">
        <v>956</v>
      </c>
      <c r="H776" s="1">
        <v>956</v>
      </c>
      <c r="J776" s="2">
        <v>1</v>
      </c>
      <c r="K776" s="2">
        <v>2</v>
      </c>
      <c r="L776" s="2">
        <v>1</v>
      </c>
      <c r="M776" s="2">
        <v>7</v>
      </c>
      <c r="N776" s="9" t="s">
        <v>1407</v>
      </c>
      <c r="O776" s="8">
        <v>418900</v>
      </c>
      <c r="P776" s="1">
        <f>(2199+3036)/12</f>
        <v>436.25</v>
      </c>
      <c r="R776" s="3">
        <v>1824</v>
      </c>
      <c r="S776" s="12">
        <f t="shared" si="36"/>
        <v>68.76666666666668</v>
      </c>
      <c r="T776" s="3">
        <f t="shared" si="37"/>
        <v>2329.0166666666669</v>
      </c>
      <c r="U776" s="8">
        <f t="shared" si="38"/>
        <v>818705.00000000012</v>
      </c>
    </row>
    <row r="777" spans="1:21" ht="27.6" x14ac:dyDescent="0.3">
      <c r="A777" s="13">
        <v>45552</v>
      </c>
      <c r="B777" s="10" t="s">
        <v>1408</v>
      </c>
      <c r="C777" s="2" t="s">
        <v>4</v>
      </c>
      <c r="D777" s="2" t="s">
        <v>1338</v>
      </c>
      <c r="E777" s="2" t="s">
        <v>375</v>
      </c>
      <c r="F777" s="2">
        <v>2012</v>
      </c>
      <c r="G777" s="1">
        <v>671</v>
      </c>
      <c r="H777" s="1">
        <v>671</v>
      </c>
      <c r="J777" s="2">
        <v>1</v>
      </c>
      <c r="K777" s="2">
        <v>2</v>
      </c>
      <c r="L777" s="2">
        <v>1</v>
      </c>
      <c r="M777" s="2">
        <v>4</v>
      </c>
      <c r="N777" s="9" t="s">
        <v>1409</v>
      </c>
      <c r="O777" s="8">
        <v>419900</v>
      </c>
      <c r="P777" s="1">
        <f>(2402+3060)/12</f>
        <v>455.16666666666669</v>
      </c>
      <c r="R777" s="3">
        <v>1831</v>
      </c>
      <c r="S777" s="12">
        <f t="shared" si="36"/>
        <v>52.141666666666673</v>
      </c>
      <c r="T777" s="3">
        <f t="shared" si="37"/>
        <v>2338.3083333333334</v>
      </c>
      <c r="U777" s="8">
        <f t="shared" si="38"/>
        <v>821492.5</v>
      </c>
    </row>
    <row r="778" spans="1:21" ht="27.6" x14ac:dyDescent="0.3">
      <c r="A778" s="13">
        <v>45552</v>
      </c>
      <c r="B778" s="10" t="s">
        <v>1410</v>
      </c>
      <c r="C778" s="2" t="s">
        <v>4</v>
      </c>
      <c r="D778" s="2" t="s">
        <v>1338</v>
      </c>
      <c r="E778" s="2" t="s">
        <v>375</v>
      </c>
      <c r="F778" s="2">
        <v>2007</v>
      </c>
      <c r="G778" s="1">
        <v>870</v>
      </c>
      <c r="H778" s="1">
        <v>870</v>
      </c>
      <c r="J778" s="2">
        <v>1</v>
      </c>
      <c r="K778" s="2">
        <v>2</v>
      </c>
      <c r="L778" s="2">
        <v>1</v>
      </c>
      <c r="M778" s="2">
        <v>7</v>
      </c>
      <c r="N778" s="9" t="s">
        <v>1411</v>
      </c>
      <c r="O778" s="8">
        <v>422000</v>
      </c>
      <c r="P778" s="1">
        <f>(2200+2590)/12</f>
        <v>399.16666666666669</v>
      </c>
      <c r="R778" s="3">
        <v>1843</v>
      </c>
      <c r="S778" s="12">
        <f t="shared" si="36"/>
        <v>63.750000000000007</v>
      </c>
      <c r="T778" s="3">
        <f t="shared" si="37"/>
        <v>2305.9166666666665</v>
      </c>
      <c r="U778" s="8">
        <f t="shared" si="38"/>
        <v>811775</v>
      </c>
    </row>
    <row r="779" spans="1:21" ht="27.6" x14ac:dyDescent="0.3">
      <c r="A779" s="13">
        <v>45552</v>
      </c>
      <c r="B779" s="10" t="s">
        <v>1412</v>
      </c>
      <c r="C779" s="2" t="s">
        <v>4</v>
      </c>
      <c r="D779" s="2" t="s">
        <v>1338</v>
      </c>
      <c r="E779" s="2" t="s">
        <v>375</v>
      </c>
      <c r="F779" s="2">
        <v>1990</v>
      </c>
      <c r="G779" s="1">
        <v>1178</v>
      </c>
      <c r="H779" s="1">
        <v>1178</v>
      </c>
      <c r="J779" s="2">
        <v>1</v>
      </c>
      <c r="K779" s="2">
        <v>2</v>
      </c>
      <c r="L779" s="2">
        <v>2</v>
      </c>
      <c r="M779" s="2">
        <v>4</v>
      </c>
      <c r="N779" s="9" t="s">
        <v>1413</v>
      </c>
      <c r="O779" s="8">
        <v>424800</v>
      </c>
      <c r="P779" s="1">
        <f>(3111+5388)/12</f>
        <v>708.25</v>
      </c>
      <c r="R779" s="3">
        <v>1860</v>
      </c>
      <c r="S779" s="12">
        <f t="shared" si="36"/>
        <v>81.716666666666669</v>
      </c>
      <c r="T779" s="3">
        <f t="shared" si="37"/>
        <v>2649.9666666666667</v>
      </c>
      <c r="U779" s="8">
        <f t="shared" si="38"/>
        <v>914990</v>
      </c>
    </row>
    <row r="780" spans="1:21" ht="41.4" x14ac:dyDescent="0.3">
      <c r="A780" s="13">
        <v>45552</v>
      </c>
      <c r="B780" s="10" t="s">
        <v>1414</v>
      </c>
      <c r="C780" s="2" t="s">
        <v>4</v>
      </c>
      <c r="D780" s="2" t="s">
        <v>1338</v>
      </c>
      <c r="E780" s="2" t="s">
        <v>375</v>
      </c>
      <c r="F780" s="2">
        <v>2013</v>
      </c>
      <c r="G780" s="1">
        <v>820</v>
      </c>
      <c r="H780" s="1">
        <v>820</v>
      </c>
      <c r="J780" s="2">
        <v>1</v>
      </c>
      <c r="K780" s="2">
        <v>2</v>
      </c>
      <c r="L780" s="2">
        <v>1</v>
      </c>
      <c r="M780" s="2">
        <v>6</v>
      </c>
      <c r="N780" s="9" t="s">
        <v>1415</v>
      </c>
      <c r="O780" s="8">
        <v>429000</v>
      </c>
      <c r="P780" s="1">
        <f>(2925+3084)/12</f>
        <v>500.75</v>
      </c>
      <c r="R780" s="3">
        <v>1886</v>
      </c>
      <c r="S780" s="12">
        <f t="shared" si="36"/>
        <v>60.833333333333336</v>
      </c>
      <c r="T780" s="3">
        <f t="shared" si="37"/>
        <v>2447.5833333333335</v>
      </c>
      <c r="U780" s="8">
        <f t="shared" si="38"/>
        <v>854275</v>
      </c>
    </row>
    <row r="781" spans="1:21" ht="41.4" x14ac:dyDescent="0.3">
      <c r="A781" s="13">
        <v>45552</v>
      </c>
      <c r="B781" s="10" t="s">
        <v>1416</v>
      </c>
      <c r="C781" s="2" t="s">
        <v>4</v>
      </c>
      <c r="D781" s="2" t="s">
        <v>1338</v>
      </c>
      <c r="E781" s="2" t="s">
        <v>375</v>
      </c>
      <c r="F781" s="2">
        <v>2022</v>
      </c>
      <c r="G781" s="1">
        <v>781</v>
      </c>
      <c r="H781" s="1">
        <v>781</v>
      </c>
      <c r="J781" s="2">
        <v>1</v>
      </c>
      <c r="K781" s="2">
        <v>2</v>
      </c>
      <c r="L781" s="2">
        <v>1</v>
      </c>
      <c r="M781" s="2">
        <v>6</v>
      </c>
      <c r="N781" s="9" t="s">
        <v>1417</v>
      </c>
      <c r="O781" s="8">
        <v>435000</v>
      </c>
      <c r="P781" s="1">
        <f>(2735+3660)/12</f>
        <v>532.91666666666663</v>
      </c>
      <c r="R781" s="3">
        <v>1923</v>
      </c>
      <c r="S781" s="12">
        <f t="shared" si="36"/>
        <v>58.558333333333337</v>
      </c>
      <c r="T781" s="3">
        <f t="shared" si="37"/>
        <v>2514.4749999999999</v>
      </c>
      <c r="U781" s="8">
        <f t="shared" si="38"/>
        <v>874342.49999999988</v>
      </c>
    </row>
    <row r="782" spans="1:21" ht="27.6" x14ac:dyDescent="0.3">
      <c r="A782" s="13">
        <v>45552</v>
      </c>
      <c r="B782" s="10" t="s">
        <v>1418</v>
      </c>
      <c r="C782" s="2" t="s">
        <v>4</v>
      </c>
      <c r="D782" s="2" t="s">
        <v>1338</v>
      </c>
      <c r="E782" s="2" t="s">
        <v>375</v>
      </c>
      <c r="F782" s="2">
        <v>2022</v>
      </c>
      <c r="G782" s="1">
        <v>623</v>
      </c>
      <c r="H782" s="1">
        <v>623</v>
      </c>
      <c r="J782" s="2">
        <v>1</v>
      </c>
      <c r="K782" s="2">
        <v>2</v>
      </c>
      <c r="L782" s="2">
        <v>1</v>
      </c>
      <c r="M782" s="2">
        <v>5</v>
      </c>
      <c r="N782" s="9" t="s">
        <v>1419</v>
      </c>
      <c r="O782" s="8">
        <v>438000</v>
      </c>
      <c r="P782" s="1">
        <f>(2481+3504)/12</f>
        <v>498.75</v>
      </c>
      <c r="R782" s="3">
        <v>1941</v>
      </c>
      <c r="S782" s="12">
        <f t="shared" si="36"/>
        <v>49.341666666666669</v>
      </c>
      <c r="T782" s="3">
        <f t="shared" si="37"/>
        <v>2489.0916666666667</v>
      </c>
      <c r="U782" s="8">
        <f t="shared" si="38"/>
        <v>866727.5</v>
      </c>
    </row>
    <row r="783" spans="1:21" ht="27.6" x14ac:dyDescent="0.3">
      <c r="A783" s="13">
        <v>45552</v>
      </c>
      <c r="B783" s="10" t="s">
        <v>1420</v>
      </c>
      <c r="C783" s="2" t="s">
        <v>4</v>
      </c>
      <c r="D783" s="2" t="s">
        <v>1338</v>
      </c>
      <c r="E783" s="2" t="s">
        <v>375</v>
      </c>
      <c r="F783" s="2">
        <v>1982</v>
      </c>
      <c r="G783" s="1">
        <v>1005</v>
      </c>
      <c r="H783" s="1">
        <v>1005</v>
      </c>
      <c r="J783" s="2">
        <v>1</v>
      </c>
      <c r="K783" s="2">
        <v>2</v>
      </c>
      <c r="L783" s="2">
        <v>2</v>
      </c>
      <c r="M783" s="2">
        <v>8</v>
      </c>
      <c r="N783" s="9" t="s">
        <v>1421</v>
      </c>
      <c r="O783" s="8">
        <v>448000</v>
      </c>
      <c r="P783" s="1">
        <f>(2075+3492)/12</f>
        <v>463.91666666666669</v>
      </c>
      <c r="R783" s="3">
        <v>2002</v>
      </c>
      <c r="S783" s="12">
        <f t="shared" si="36"/>
        <v>71.625</v>
      </c>
      <c r="T783" s="3">
        <f t="shared" si="37"/>
        <v>2537.5416666666665</v>
      </c>
      <c r="U783" s="8">
        <f t="shared" si="38"/>
        <v>881262.5</v>
      </c>
    </row>
    <row r="784" spans="1:21" ht="27.6" x14ac:dyDescent="0.3">
      <c r="A784" s="13">
        <v>45552</v>
      </c>
      <c r="B784" s="10" t="s">
        <v>1422</v>
      </c>
      <c r="C784" s="2" t="s">
        <v>4</v>
      </c>
      <c r="D784" s="2" t="s">
        <v>1338</v>
      </c>
      <c r="E784" s="2" t="s">
        <v>375</v>
      </c>
      <c r="F784" s="2">
        <v>2014</v>
      </c>
      <c r="G784" s="1">
        <v>633</v>
      </c>
      <c r="H784" s="1">
        <v>633</v>
      </c>
      <c r="J784" s="2">
        <v>1</v>
      </c>
      <c r="K784" s="2">
        <v>1</v>
      </c>
      <c r="L784" s="2">
        <v>1</v>
      </c>
      <c r="M784" s="2">
        <v>3</v>
      </c>
      <c r="N784" s="9" t="s">
        <v>1423</v>
      </c>
      <c r="O784" s="8">
        <v>449000</v>
      </c>
      <c r="P784" s="1">
        <f>(3097+3672)/12</f>
        <v>564.08333333333337</v>
      </c>
      <c r="R784" s="3">
        <v>2008</v>
      </c>
      <c r="S784" s="12">
        <f t="shared" si="36"/>
        <v>49.925000000000004</v>
      </c>
      <c r="T784" s="3">
        <f t="shared" si="37"/>
        <v>2622.0083333333337</v>
      </c>
      <c r="U784" s="8">
        <f t="shared" si="38"/>
        <v>906602.50000000012</v>
      </c>
    </row>
    <row r="785" spans="1:21" ht="41.4" x14ac:dyDescent="0.3">
      <c r="A785" s="13">
        <v>45552</v>
      </c>
      <c r="B785" s="10" t="s">
        <v>1424</v>
      </c>
      <c r="C785" s="2" t="s">
        <v>4</v>
      </c>
      <c r="D785" s="2" t="s">
        <v>1338</v>
      </c>
      <c r="E785" s="2" t="s">
        <v>375</v>
      </c>
      <c r="F785" s="2">
        <v>1999</v>
      </c>
      <c r="G785" s="1">
        <v>888</v>
      </c>
      <c r="H785" s="1">
        <v>888</v>
      </c>
      <c r="J785" s="2">
        <v>1</v>
      </c>
      <c r="K785" s="2">
        <v>2</v>
      </c>
      <c r="L785" s="2">
        <v>1</v>
      </c>
      <c r="M785" s="2">
        <v>8</v>
      </c>
      <c r="N785" s="9" t="s">
        <v>1425</v>
      </c>
      <c r="O785" s="8">
        <v>449000</v>
      </c>
      <c r="P785" s="1">
        <f>(2960+3384)/12</f>
        <v>528.66666666666663</v>
      </c>
      <c r="R785" s="3">
        <v>2008</v>
      </c>
      <c r="S785" s="12">
        <f t="shared" si="36"/>
        <v>64.800000000000011</v>
      </c>
      <c r="T785" s="3">
        <f t="shared" si="37"/>
        <v>2601.4666666666667</v>
      </c>
      <c r="U785" s="8">
        <f t="shared" si="38"/>
        <v>900440</v>
      </c>
    </row>
    <row r="786" spans="1:21" ht="41.4" x14ac:dyDescent="0.3">
      <c r="A786" s="13">
        <v>45552</v>
      </c>
      <c r="B786" s="10" t="s">
        <v>1426</v>
      </c>
      <c r="C786" s="2" t="s">
        <v>4</v>
      </c>
      <c r="D786" s="2" t="s">
        <v>1338</v>
      </c>
      <c r="E786" s="2" t="s">
        <v>375</v>
      </c>
      <c r="F786" s="2">
        <v>2013</v>
      </c>
      <c r="G786" s="1">
        <v>781</v>
      </c>
      <c r="H786" s="1">
        <v>781</v>
      </c>
      <c r="J786" s="2">
        <v>1</v>
      </c>
      <c r="K786" s="2">
        <v>2</v>
      </c>
      <c r="L786" s="2">
        <v>1</v>
      </c>
      <c r="M786" s="2">
        <v>8</v>
      </c>
      <c r="N786" s="9" t="s">
        <v>1427</v>
      </c>
      <c r="O786" s="8">
        <v>449500</v>
      </c>
      <c r="P786" s="1">
        <f>(2835+3756)/12</f>
        <v>549.25</v>
      </c>
      <c r="R786" s="3">
        <v>2011</v>
      </c>
      <c r="S786" s="12">
        <f t="shared" si="36"/>
        <v>58.558333333333337</v>
      </c>
      <c r="T786" s="3">
        <f t="shared" si="37"/>
        <v>2618.8083333333334</v>
      </c>
      <c r="U786" s="8">
        <f t="shared" si="38"/>
        <v>905642.5</v>
      </c>
    </row>
    <row r="787" spans="1:21" ht="27.6" x14ac:dyDescent="0.3">
      <c r="A787" s="13">
        <v>45552</v>
      </c>
      <c r="B787" s="10" t="s">
        <v>1428</v>
      </c>
      <c r="C787" s="2" t="s">
        <v>4</v>
      </c>
      <c r="D787" s="2" t="s">
        <v>1338</v>
      </c>
      <c r="E787" s="2" t="s">
        <v>375</v>
      </c>
      <c r="F787" s="2">
        <v>2023</v>
      </c>
      <c r="G787" s="1">
        <v>600</v>
      </c>
      <c r="H787" s="1">
        <v>600</v>
      </c>
      <c r="J787" s="2">
        <v>1</v>
      </c>
      <c r="K787" s="2">
        <v>1</v>
      </c>
      <c r="L787" s="2">
        <v>1</v>
      </c>
      <c r="M787" s="2">
        <v>8</v>
      </c>
      <c r="N787" s="9" t="s">
        <v>1429</v>
      </c>
      <c r="O787" s="8">
        <v>449900</v>
      </c>
      <c r="P787" s="2">
        <v>550</v>
      </c>
      <c r="Q787" s="1" t="s">
        <v>25</v>
      </c>
      <c r="R787" s="3">
        <v>2014</v>
      </c>
      <c r="S787" s="12">
        <f t="shared" si="36"/>
        <v>48.000000000000007</v>
      </c>
      <c r="T787" s="3">
        <f t="shared" si="37"/>
        <v>2612</v>
      </c>
      <c r="U787" s="8">
        <f t="shared" si="38"/>
        <v>903600</v>
      </c>
    </row>
    <row r="788" spans="1:21" ht="27.6" x14ac:dyDescent="0.3">
      <c r="A788" s="13">
        <v>45552</v>
      </c>
      <c r="B788" s="10" t="s">
        <v>1430</v>
      </c>
      <c r="C788" s="2" t="s">
        <v>4</v>
      </c>
      <c r="D788" s="2" t="s">
        <v>1338</v>
      </c>
      <c r="E788" s="2" t="s">
        <v>375</v>
      </c>
      <c r="F788" s="2">
        <v>2022</v>
      </c>
      <c r="G788" s="1">
        <v>1060</v>
      </c>
      <c r="H788" s="1">
        <v>1060</v>
      </c>
      <c r="J788" s="2">
        <v>1</v>
      </c>
      <c r="K788" s="2">
        <v>3</v>
      </c>
      <c r="L788" s="2">
        <v>1</v>
      </c>
      <c r="M788" s="2">
        <v>7</v>
      </c>
      <c r="N788" s="9" t="s">
        <v>1431</v>
      </c>
      <c r="O788" s="8">
        <v>450000</v>
      </c>
      <c r="P788" s="1">
        <f>(2247+3420)/12</f>
        <v>472.25</v>
      </c>
      <c r="R788" s="3">
        <v>2014</v>
      </c>
      <c r="S788" s="12">
        <f t="shared" si="36"/>
        <v>74.833333333333343</v>
      </c>
      <c r="T788" s="3">
        <f t="shared" si="37"/>
        <v>2561.0833333333335</v>
      </c>
      <c r="U788" s="8">
        <f t="shared" si="38"/>
        <v>888325</v>
      </c>
    </row>
    <row r="789" spans="1:21" ht="27.6" x14ac:dyDescent="0.3">
      <c r="A789" s="13">
        <v>45552</v>
      </c>
      <c r="B789" s="10" t="s">
        <v>1432</v>
      </c>
      <c r="C789" s="2" t="s">
        <v>4</v>
      </c>
      <c r="D789" s="2" t="s">
        <v>1338</v>
      </c>
      <c r="E789" s="2" t="s">
        <v>375</v>
      </c>
      <c r="F789" s="2">
        <v>1987</v>
      </c>
      <c r="G789" s="1">
        <v>1001</v>
      </c>
      <c r="H789" s="1">
        <v>1001</v>
      </c>
      <c r="J789" s="2">
        <v>1</v>
      </c>
      <c r="K789" s="2">
        <v>2</v>
      </c>
      <c r="L789" s="2">
        <v>2</v>
      </c>
      <c r="M789" s="2">
        <v>8</v>
      </c>
      <c r="N789" s="9" t="s">
        <v>1433</v>
      </c>
      <c r="O789" s="8">
        <v>459000</v>
      </c>
      <c r="P789" s="1">
        <f>(2468+3132)/12</f>
        <v>466.66666666666669</v>
      </c>
      <c r="R789" s="3">
        <v>2069</v>
      </c>
      <c r="S789" s="12">
        <f t="shared" si="36"/>
        <v>71.39166666666668</v>
      </c>
      <c r="T789" s="3">
        <f t="shared" si="37"/>
        <v>2607.0583333333334</v>
      </c>
      <c r="U789" s="8">
        <f t="shared" si="38"/>
        <v>902117.5</v>
      </c>
    </row>
    <row r="790" spans="1:21" ht="27.6" x14ac:dyDescent="0.3">
      <c r="A790" s="13">
        <v>45552</v>
      </c>
      <c r="B790" s="10" t="s">
        <v>1434</v>
      </c>
      <c r="C790" s="2" t="s">
        <v>4</v>
      </c>
      <c r="D790" s="2" t="s">
        <v>1338</v>
      </c>
      <c r="E790" s="2" t="s">
        <v>375</v>
      </c>
      <c r="F790" s="2">
        <v>1980</v>
      </c>
      <c r="G790" s="2">
        <v>1189</v>
      </c>
      <c r="H790" s="2">
        <v>1189</v>
      </c>
      <c r="J790" s="2">
        <v>1</v>
      </c>
      <c r="K790" s="2">
        <v>3</v>
      </c>
      <c r="L790" s="2">
        <v>2</v>
      </c>
      <c r="M790" s="2">
        <v>6</v>
      </c>
      <c r="N790" s="9" t="s">
        <v>1435</v>
      </c>
      <c r="O790" s="8">
        <v>465000</v>
      </c>
      <c r="P790" s="1">
        <f>(2807+4260)/12</f>
        <v>588.91666666666663</v>
      </c>
      <c r="R790" s="3">
        <v>2106</v>
      </c>
      <c r="S790" s="12">
        <f t="shared" si="36"/>
        <v>82.358333333333334</v>
      </c>
      <c r="T790" s="3">
        <f t="shared" si="37"/>
        <v>2777.2749999999996</v>
      </c>
      <c r="U790" s="8">
        <f t="shared" si="38"/>
        <v>953182.49999999988</v>
      </c>
    </row>
    <row r="791" spans="1:21" ht="27.6" x14ac:dyDescent="0.3">
      <c r="A791" s="13">
        <v>45552</v>
      </c>
      <c r="B791" s="10" t="s">
        <v>1436</v>
      </c>
      <c r="C791" s="2" t="s">
        <v>4</v>
      </c>
      <c r="D791" s="2" t="s">
        <v>1338</v>
      </c>
      <c r="E791" s="2" t="s">
        <v>375</v>
      </c>
      <c r="F791" s="2">
        <v>2012</v>
      </c>
      <c r="G791" s="1">
        <v>984</v>
      </c>
      <c r="H791" s="1">
        <v>984</v>
      </c>
      <c r="J791" s="2">
        <v>1</v>
      </c>
      <c r="K791" s="2">
        <v>2</v>
      </c>
      <c r="L791" s="2">
        <v>2</v>
      </c>
      <c r="M791" s="2">
        <v>5</v>
      </c>
      <c r="N791" s="9" t="s">
        <v>1437</v>
      </c>
      <c r="O791" s="8">
        <v>469000</v>
      </c>
      <c r="P791" s="1">
        <f>(2748+3000)/12</f>
        <v>479</v>
      </c>
      <c r="R791" s="3">
        <v>2130</v>
      </c>
      <c r="S791" s="12">
        <f t="shared" si="36"/>
        <v>70.400000000000006</v>
      </c>
      <c r="T791" s="3">
        <f t="shared" si="37"/>
        <v>2679.4</v>
      </c>
      <c r="U791" s="8">
        <f t="shared" si="38"/>
        <v>923820.00000000012</v>
      </c>
    </row>
    <row r="792" spans="1:21" ht="27.6" x14ac:dyDescent="0.3">
      <c r="A792" s="13">
        <v>45552</v>
      </c>
      <c r="B792" s="10" t="s">
        <v>1438</v>
      </c>
      <c r="C792" s="2" t="s">
        <v>4</v>
      </c>
      <c r="D792" s="2" t="s">
        <v>1338</v>
      </c>
      <c r="E792" s="2" t="s">
        <v>375</v>
      </c>
      <c r="F792" s="2">
        <v>1982</v>
      </c>
      <c r="G792" s="1">
        <v>1331</v>
      </c>
      <c r="H792" s="1">
        <v>1331</v>
      </c>
      <c r="J792" s="2">
        <v>1</v>
      </c>
      <c r="K792" s="2">
        <v>2</v>
      </c>
      <c r="L792" s="2">
        <v>3</v>
      </c>
      <c r="M792" s="2">
        <v>10</v>
      </c>
      <c r="N792" s="9" t="s">
        <v>1439</v>
      </c>
      <c r="O792" s="8">
        <v>469000</v>
      </c>
      <c r="P792" s="1">
        <f>(2967+7356)/12</f>
        <v>860.25</v>
      </c>
      <c r="R792" s="3">
        <v>2130</v>
      </c>
      <c r="S792" s="12">
        <f t="shared" si="36"/>
        <v>90.641666666666666</v>
      </c>
      <c r="T792" s="3">
        <f t="shared" si="37"/>
        <v>3080.8916666666669</v>
      </c>
      <c r="U792" s="8">
        <f t="shared" si="38"/>
        <v>1044267.5000000001</v>
      </c>
    </row>
    <row r="793" spans="1:21" ht="27.6" x14ac:dyDescent="0.3">
      <c r="A793" s="13">
        <v>45552</v>
      </c>
      <c r="B793" s="10" t="s">
        <v>1440</v>
      </c>
      <c r="C793" s="2" t="s">
        <v>4</v>
      </c>
      <c r="D793" s="2" t="s">
        <v>1338</v>
      </c>
      <c r="E793" s="2" t="s">
        <v>375</v>
      </c>
      <c r="F793" s="2">
        <v>2011</v>
      </c>
      <c r="G793" s="1">
        <v>850</v>
      </c>
      <c r="H793" s="1">
        <v>850</v>
      </c>
      <c r="J793" s="2">
        <v>1</v>
      </c>
      <c r="K793" s="2">
        <v>2</v>
      </c>
      <c r="L793" s="2">
        <v>1</v>
      </c>
      <c r="M793" s="2">
        <v>7</v>
      </c>
      <c r="N793" s="9" t="s">
        <v>1441</v>
      </c>
      <c r="O793" s="8">
        <v>475000</v>
      </c>
      <c r="P793" s="1">
        <f>(2398+3276)/12</f>
        <v>472.83333333333331</v>
      </c>
      <c r="R793" s="3">
        <v>2167</v>
      </c>
      <c r="S793" s="12">
        <f t="shared" si="36"/>
        <v>62.583333333333336</v>
      </c>
      <c r="T793" s="3">
        <f t="shared" si="37"/>
        <v>2702.416666666667</v>
      </c>
      <c r="U793" s="8">
        <f t="shared" si="38"/>
        <v>930725.00000000012</v>
      </c>
    </row>
    <row r="794" spans="1:21" ht="27.6" x14ac:dyDescent="0.3">
      <c r="A794" s="13">
        <v>45552</v>
      </c>
      <c r="B794" s="10" t="s">
        <v>1442</v>
      </c>
      <c r="C794" s="2" t="s">
        <v>4</v>
      </c>
      <c r="D794" s="2" t="s">
        <v>1338</v>
      </c>
      <c r="E794" s="2" t="s">
        <v>375</v>
      </c>
      <c r="F794" s="2">
        <v>2021</v>
      </c>
      <c r="G794" s="1">
        <v>640</v>
      </c>
      <c r="H794" s="1">
        <v>640</v>
      </c>
      <c r="J794" s="2">
        <v>1</v>
      </c>
      <c r="K794" s="2">
        <v>2</v>
      </c>
      <c r="L794" s="2">
        <v>1</v>
      </c>
      <c r="M794" s="2">
        <v>3</v>
      </c>
      <c r="N794" s="9" t="s">
        <v>1443</v>
      </c>
      <c r="O794" s="8">
        <v>479000</v>
      </c>
      <c r="P794" s="1">
        <f>(2776+3336)/12</f>
        <v>509.33333333333331</v>
      </c>
      <c r="R794" s="3">
        <v>2191</v>
      </c>
      <c r="S794" s="12">
        <f t="shared" si="36"/>
        <v>50.333333333333336</v>
      </c>
      <c r="T794" s="3">
        <f t="shared" si="37"/>
        <v>2750.666666666667</v>
      </c>
      <c r="U794" s="8">
        <f t="shared" si="38"/>
        <v>945200</v>
      </c>
    </row>
    <row r="795" spans="1:21" ht="27.6" x14ac:dyDescent="0.3">
      <c r="A795" s="13">
        <v>45552</v>
      </c>
      <c r="B795" s="10" t="s">
        <v>1444</v>
      </c>
      <c r="C795" s="2" t="s">
        <v>4</v>
      </c>
      <c r="D795" s="2" t="s">
        <v>1338</v>
      </c>
      <c r="E795" s="2" t="s">
        <v>375</v>
      </c>
      <c r="F795" s="2">
        <v>2011</v>
      </c>
      <c r="G795" s="1">
        <v>877</v>
      </c>
      <c r="H795" s="1">
        <v>877</v>
      </c>
      <c r="J795" s="2">
        <v>1</v>
      </c>
      <c r="K795" s="2">
        <v>2</v>
      </c>
      <c r="L795" s="2">
        <v>1</v>
      </c>
      <c r="M795" s="2">
        <v>7</v>
      </c>
      <c r="N795" s="9" t="s">
        <v>1445</v>
      </c>
      <c r="O795" s="8">
        <v>479000</v>
      </c>
      <c r="P795" s="1">
        <f>(2941+3432)/12</f>
        <v>531.08333333333337</v>
      </c>
      <c r="R795" s="3">
        <v>2191</v>
      </c>
      <c r="S795" s="12">
        <f t="shared" si="36"/>
        <v>64.158333333333331</v>
      </c>
      <c r="T795" s="3">
        <f t="shared" si="37"/>
        <v>2786.2416666666668</v>
      </c>
      <c r="U795" s="8">
        <f t="shared" si="38"/>
        <v>955872.5</v>
      </c>
    </row>
    <row r="796" spans="1:21" ht="27.6" x14ac:dyDescent="0.3">
      <c r="A796" s="13">
        <v>45552</v>
      </c>
      <c r="B796" s="10" t="s">
        <v>1446</v>
      </c>
      <c r="C796" s="2" t="s">
        <v>4</v>
      </c>
      <c r="D796" s="2" t="s">
        <v>1338</v>
      </c>
      <c r="E796" s="2" t="s">
        <v>375</v>
      </c>
      <c r="F796" s="2">
        <v>1989</v>
      </c>
      <c r="G796" s="1">
        <v>1098</v>
      </c>
      <c r="H796" s="1">
        <v>1098</v>
      </c>
      <c r="J796" s="2">
        <v>1</v>
      </c>
      <c r="K796" s="2">
        <v>3</v>
      </c>
      <c r="L796" s="2">
        <v>1</v>
      </c>
      <c r="M796" s="2">
        <v>9</v>
      </c>
      <c r="N796" s="9" t="s">
        <v>1447</v>
      </c>
      <c r="O796" s="8">
        <v>489000</v>
      </c>
      <c r="P796" s="1">
        <f>(2172+2244)/12</f>
        <v>368</v>
      </c>
      <c r="R796" s="3">
        <v>2252</v>
      </c>
      <c r="S796" s="12">
        <f t="shared" si="36"/>
        <v>77.05</v>
      </c>
      <c r="T796" s="3">
        <f t="shared" si="37"/>
        <v>2697.05</v>
      </c>
      <c r="U796" s="8">
        <f t="shared" si="38"/>
        <v>929115</v>
      </c>
    </row>
    <row r="797" spans="1:21" ht="41.4" x14ac:dyDescent="0.3">
      <c r="A797" s="13">
        <v>45552</v>
      </c>
      <c r="B797" s="10" t="s">
        <v>1448</v>
      </c>
      <c r="C797" s="2" t="s">
        <v>4</v>
      </c>
      <c r="D797" s="2" t="s">
        <v>1338</v>
      </c>
      <c r="E797" s="2" t="s">
        <v>375</v>
      </c>
      <c r="F797" s="2">
        <v>2020</v>
      </c>
      <c r="G797" s="1">
        <v>839</v>
      </c>
      <c r="H797" s="1">
        <v>839</v>
      </c>
      <c r="J797" s="2">
        <v>1</v>
      </c>
      <c r="K797" s="2">
        <v>1</v>
      </c>
      <c r="L797" s="2">
        <v>1</v>
      </c>
      <c r="M797" s="2">
        <v>7</v>
      </c>
      <c r="N797" s="9" t="s">
        <v>1449</v>
      </c>
      <c r="O797" s="8">
        <v>489900</v>
      </c>
      <c r="P797" s="1">
        <f>(3274+2772)/12</f>
        <v>503.83333333333331</v>
      </c>
      <c r="R797" s="3">
        <v>2258</v>
      </c>
      <c r="S797" s="12">
        <f t="shared" si="36"/>
        <v>61.94166666666667</v>
      </c>
      <c r="T797" s="3">
        <f t="shared" si="37"/>
        <v>2823.7750000000001</v>
      </c>
      <c r="U797" s="8">
        <f t="shared" si="38"/>
        <v>967132.50000000012</v>
      </c>
    </row>
    <row r="798" spans="1:21" ht="27.6" x14ac:dyDescent="0.3">
      <c r="A798" s="13">
        <v>45552</v>
      </c>
      <c r="B798" s="10" t="s">
        <v>1450</v>
      </c>
      <c r="C798" s="2" t="s">
        <v>4</v>
      </c>
      <c r="D798" s="2" t="s">
        <v>1338</v>
      </c>
      <c r="E798" s="2" t="s">
        <v>375</v>
      </c>
      <c r="F798" s="2">
        <v>2022</v>
      </c>
      <c r="G798" s="1">
        <v>791</v>
      </c>
      <c r="H798" s="1">
        <v>791</v>
      </c>
      <c r="J798" s="2">
        <v>1</v>
      </c>
      <c r="K798" s="2">
        <v>2</v>
      </c>
      <c r="L798" s="2">
        <v>1</v>
      </c>
      <c r="M798" s="2">
        <v>6</v>
      </c>
      <c r="N798" s="9" t="s">
        <v>1451</v>
      </c>
      <c r="O798" s="8">
        <v>495000</v>
      </c>
      <c r="P798" s="1">
        <f>(3092+3564)/12</f>
        <v>554.66666666666663</v>
      </c>
      <c r="R798" s="3">
        <v>2289</v>
      </c>
      <c r="S798" s="12">
        <f t="shared" si="36"/>
        <v>59.141666666666673</v>
      </c>
      <c r="T798" s="3">
        <f t="shared" si="37"/>
        <v>2902.8083333333334</v>
      </c>
      <c r="U798" s="8">
        <f t="shared" si="38"/>
        <v>990842.49999999988</v>
      </c>
    </row>
    <row r="799" spans="1:21" ht="27.6" x14ac:dyDescent="0.3">
      <c r="A799" s="13">
        <v>45552</v>
      </c>
      <c r="B799" s="10" t="s">
        <v>1452</v>
      </c>
      <c r="C799" s="2" t="s">
        <v>4</v>
      </c>
      <c r="D799" s="2" t="s">
        <v>1338</v>
      </c>
      <c r="E799" s="2" t="s">
        <v>375</v>
      </c>
      <c r="F799" s="2">
        <v>1992</v>
      </c>
      <c r="G799" s="1">
        <v>1074</v>
      </c>
      <c r="H799" s="1">
        <v>1074</v>
      </c>
      <c r="J799" s="2">
        <v>1</v>
      </c>
      <c r="K799" s="2">
        <v>2</v>
      </c>
      <c r="L799" s="2">
        <v>1</v>
      </c>
      <c r="M799" s="2">
        <v>5</v>
      </c>
      <c r="N799" s="9" t="s">
        <v>1453</v>
      </c>
      <c r="O799" s="8">
        <v>495000</v>
      </c>
      <c r="P799" s="1">
        <f>(2667+3840)/12</f>
        <v>542.25</v>
      </c>
      <c r="R799" s="3">
        <v>2289</v>
      </c>
      <c r="S799" s="12">
        <f t="shared" si="36"/>
        <v>75.650000000000006</v>
      </c>
      <c r="T799" s="3">
        <f t="shared" si="37"/>
        <v>2906.9</v>
      </c>
      <c r="U799" s="8">
        <f t="shared" si="38"/>
        <v>992070.00000000012</v>
      </c>
    </row>
    <row r="800" spans="1:21" ht="27.6" x14ac:dyDescent="0.3">
      <c r="A800" s="13">
        <v>45552</v>
      </c>
      <c r="B800" s="10" t="s">
        <v>1454</v>
      </c>
      <c r="C800" s="2" t="s">
        <v>4</v>
      </c>
      <c r="D800" s="2" t="s">
        <v>1338</v>
      </c>
      <c r="E800" s="2" t="s">
        <v>375</v>
      </c>
      <c r="F800" s="2">
        <v>2022</v>
      </c>
      <c r="G800" s="1">
        <v>703</v>
      </c>
      <c r="H800" s="1">
        <v>703</v>
      </c>
      <c r="J800" s="2">
        <v>1</v>
      </c>
      <c r="K800" s="2">
        <v>1</v>
      </c>
      <c r="L800" s="2">
        <v>1</v>
      </c>
      <c r="M800" s="2">
        <v>5</v>
      </c>
      <c r="N800" s="9" t="s">
        <v>1455</v>
      </c>
      <c r="O800" s="8">
        <v>499000</v>
      </c>
      <c r="P800" s="1">
        <f>(3370+3996)/12</f>
        <v>613.83333333333337</v>
      </c>
      <c r="R800" s="3">
        <v>2313</v>
      </c>
      <c r="S800" s="12">
        <f t="shared" si="36"/>
        <v>54.008333333333333</v>
      </c>
      <c r="T800" s="3">
        <f t="shared" si="37"/>
        <v>2980.8416666666667</v>
      </c>
      <c r="U800" s="8">
        <f t="shared" si="38"/>
        <v>1014252.5</v>
      </c>
    </row>
    <row r="801" spans="1:21" ht="41.4" x14ac:dyDescent="0.3">
      <c r="A801" s="13">
        <v>45552</v>
      </c>
      <c r="B801" s="10" t="s">
        <v>1456</v>
      </c>
      <c r="C801" s="2" t="s">
        <v>4</v>
      </c>
      <c r="D801" s="2" t="s">
        <v>1338</v>
      </c>
      <c r="E801" s="2" t="s">
        <v>375</v>
      </c>
      <c r="F801" s="2">
        <v>2011</v>
      </c>
      <c r="G801" s="1">
        <v>1009</v>
      </c>
      <c r="H801" s="1">
        <v>1009</v>
      </c>
      <c r="J801" s="2">
        <v>1</v>
      </c>
      <c r="K801" s="2">
        <v>2</v>
      </c>
      <c r="L801" s="2">
        <v>1</v>
      </c>
      <c r="M801" s="2">
        <v>5</v>
      </c>
      <c r="N801" s="9" t="s">
        <v>1457</v>
      </c>
      <c r="O801" s="8">
        <v>499900</v>
      </c>
      <c r="P801" s="1">
        <f>(3456+3852)/12</f>
        <v>609</v>
      </c>
      <c r="R801" s="3">
        <v>2319</v>
      </c>
      <c r="S801" s="12">
        <f t="shared" si="36"/>
        <v>71.858333333333348</v>
      </c>
      <c r="T801" s="3">
        <f t="shared" si="37"/>
        <v>2999.8583333333336</v>
      </c>
      <c r="U801" s="8">
        <f t="shared" si="38"/>
        <v>1019957.5000000001</v>
      </c>
    </row>
    <row r="802" spans="1:21" ht="27.6" x14ac:dyDescent="0.3">
      <c r="A802" s="13">
        <v>45552</v>
      </c>
      <c r="B802" s="10" t="s">
        <v>1458</v>
      </c>
      <c r="C802" s="2" t="s">
        <v>4</v>
      </c>
      <c r="D802" s="2" t="s">
        <v>1338</v>
      </c>
      <c r="E802" s="2" t="s">
        <v>375</v>
      </c>
      <c r="F802" s="2">
        <v>1982</v>
      </c>
      <c r="G802" s="1">
        <v>1383</v>
      </c>
      <c r="H802" s="1">
        <v>1383</v>
      </c>
      <c r="J802" s="2">
        <v>1</v>
      </c>
      <c r="K802" s="2">
        <v>3</v>
      </c>
      <c r="L802" s="2">
        <v>2</v>
      </c>
      <c r="M802" s="2">
        <v>9</v>
      </c>
      <c r="N802" s="9" t="s">
        <v>1459</v>
      </c>
      <c r="O802" s="8">
        <v>509000</v>
      </c>
      <c r="P802" s="1">
        <f>(2984+5549)/12</f>
        <v>711.08333333333337</v>
      </c>
      <c r="R802" s="3">
        <v>2374</v>
      </c>
      <c r="S802" s="12">
        <f t="shared" si="36"/>
        <v>93.675000000000011</v>
      </c>
      <c r="T802" s="3">
        <f t="shared" si="37"/>
        <v>3178.7583333333337</v>
      </c>
      <c r="U802" s="8">
        <f t="shared" si="38"/>
        <v>1073627.5</v>
      </c>
    </row>
    <row r="803" spans="1:21" ht="41.4" x14ac:dyDescent="0.3">
      <c r="A803" s="13">
        <v>45552</v>
      </c>
      <c r="B803" s="10" t="s">
        <v>1460</v>
      </c>
      <c r="C803" s="2" t="s">
        <v>4</v>
      </c>
      <c r="D803" s="2" t="s">
        <v>1338</v>
      </c>
      <c r="E803" s="2" t="s">
        <v>375</v>
      </c>
      <c r="F803" s="2">
        <v>1989</v>
      </c>
      <c r="G803" s="1">
        <v>1244</v>
      </c>
      <c r="H803" s="1">
        <v>1244</v>
      </c>
      <c r="J803" s="2">
        <v>1</v>
      </c>
      <c r="K803" s="2">
        <v>3</v>
      </c>
      <c r="L803" s="2">
        <v>2</v>
      </c>
      <c r="M803" s="2">
        <v>9</v>
      </c>
      <c r="N803" s="9" t="s">
        <v>1461</v>
      </c>
      <c r="O803" s="8">
        <v>520000</v>
      </c>
      <c r="P803" s="1">
        <f>(2622+3300)/12</f>
        <v>493.5</v>
      </c>
      <c r="R803" s="3">
        <v>2442</v>
      </c>
      <c r="S803" s="12">
        <f t="shared" si="36"/>
        <v>85.566666666666677</v>
      </c>
      <c r="T803" s="3">
        <f t="shared" si="37"/>
        <v>3021.0666666666666</v>
      </c>
      <c r="U803" s="8">
        <f t="shared" si="38"/>
        <v>1026320.0000000001</v>
      </c>
    </row>
    <row r="804" spans="1:21" ht="41.4" x14ac:dyDescent="0.3">
      <c r="A804" s="13">
        <v>45552</v>
      </c>
      <c r="B804" s="10" t="s">
        <v>1462</v>
      </c>
      <c r="C804" s="2" t="s">
        <v>4</v>
      </c>
      <c r="D804" s="2" t="s">
        <v>1338</v>
      </c>
      <c r="E804" s="2" t="s">
        <v>375</v>
      </c>
      <c r="F804" s="2">
        <v>2011</v>
      </c>
      <c r="G804" s="1">
        <v>1003</v>
      </c>
      <c r="H804" s="1">
        <v>1003</v>
      </c>
      <c r="J804" s="2">
        <v>1</v>
      </c>
      <c r="K804" s="2">
        <v>2</v>
      </c>
      <c r="L804" s="2">
        <v>1</v>
      </c>
      <c r="M804" s="2">
        <v>5</v>
      </c>
      <c r="N804" s="9" t="s">
        <v>1463</v>
      </c>
      <c r="O804" s="8">
        <v>528800</v>
      </c>
      <c r="P804" s="1">
        <f>(3270+2544)/12</f>
        <v>484.5</v>
      </c>
      <c r="R804" s="3">
        <v>2495</v>
      </c>
      <c r="S804" s="12">
        <f t="shared" si="36"/>
        <v>71.508333333333326</v>
      </c>
      <c r="T804" s="3">
        <f t="shared" si="37"/>
        <v>3051.0083333333332</v>
      </c>
      <c r="U804" s="8">
        <f t="shared" si="38"/>
        <v>1035302.5</v>
      </c>
    </row>
    <row r="805" spans="1:21" ht="27.6" x14ac:dyDescent="0.3">
      <c r="A805" s="13">
        <v>45552</v>
      </c>
      <c r="B805" s="10" t="s">
        <v>1464</v>
      </c>
      <c r="C805" s="2" t="s">
        <v>4</v>
      </c>
      <c r="D805" s="2" t="s">
        <v>1338</v>
      </c>
      <c r="E805" s="2" t="s">
        <v>375</v>
      </c>
      <c r="F805" s="2">
        <v>2003</v>
      </c>
      <c r="G805" s="1">
        <v>1313</v>
      </c>
      <c r="H805" s="1">
        <v>1313</v>
      </c>
      <c r="J805" s="2">
        <v>1</v>
      </c>
      <c r="K805" s="2">
        <v>2</v>
      </c>
      <c r="L805" s="2">
        <v>2</v>
      </c>
      <c r="M805" s="2">
        <v>7</v>
      </c>
      <c r="N805" s="9" t="s">
        <v>1465</v>
      </c>
      <c r="O805" s="8">
        <v>529000</v>
      </c>
      <c r="P805" s="1">
        <f>(3124+2268)/12</f>
        <v>449.33333333333331</v>
      </c>
      <c r="R805" s="3">
        <v>2497</v>
      </c>
      <c r="S805" s="12">
        <f t="shared" si="36"/>
        <v>89.591666666666683</v>
      </c>
      <c r="T805" s="3">
        <f t="shared" si="37"/>
        <v>3035.9250000000002</v>
      </c>
      <c r="U805" s="8">
        <f t="shared" si="38"/>
        <v>1030777.5000000001</v>
      </c>
    </row>
    <row r="806" spans="1:21" ht="27.6" x14ac:dyDescent="0.3">
      <c r="A806" s="13">
        <v>45552</v>
      </c>
      <c r="B806" s="10" t="s">
        <v>1466</v>
      </c>
      <c r="C806" s="2" t="s">
        <v>4</v>
      </c>
      <c r="D806" s="2" t="s">
        <v>1338</v>
      </c>
      <c r="E806" s="2" t="s">
        <v>375</v>
      </c>
      <c r="F806" s="2">
        <v>1987</v>
      </c>
      <c r="G806" s="1">
        <v>1281</v>
      </c>
      <c r="H806" s="1">
        <v>1281</v>
      </c>
      <c r="J806" s="2">
        <v>1</v>
      </c>
      <c r="K806" s="2">
        <v>2</v>
      </c>
      <c r="L806" s="2">
        <v>1</v>
      </c>
      <c r="M806" s="2">
        <v>8</v>
      </c>
      <c r="N806" s="9" t="s">
        <v>1467</v>
      </c>
      <c r="O806" s="8">
        <v>538000</v>
      </c>
      <c r="P806" s="1">
        <f>(2870+5904)/12</f>
        <v>731.16666666666663</v>
      </c>
      <c r="R806" s="3">
        <v>2551</v>
      </c>
      <c r="S806" s="12">
        <f t="shared" si="36"/>
        <v>87.725000000000009</v>
      </c>
      <c r="T806" s="3">
        <f t="shared" si="37"/>
        <v>3369.8916666666664</v>
      </c>
      <c r="U806" s="8">
        <f t="shared" si="38"/>
        <v>1130967.5</v>
      </c>
    </row>
    <row r="807" spans="1:21" ht="27.6" x14ac:dyDescent="0.3">
      <c r="A807" s="13">
        <v>45552</v>
      </c>
      <c r="B807" s="10" t="s">
        <v>1468</v>
      </c>
      <c r="C807" s="2" t="s">
        <v>4</v>
      </c>
      <c r="D807" s="2" t="s">
        <v>1338</v>
      </c>
      <c r="E807" s="2" t="s">
        <v>1734</v>
      </c>
      <c r="F807" s="2">
        <v>1922</v>
      </c>
      <c r="G807" s="1">
        <f>(10*12+10*12+5*8+8*12+7*12+11*12+10*10+9*10+5*7+12*16+7*7)*1.3</f>
        <v>1375.4</v>
      </c>
      <c r="H807" s="1">
        <v>3920</v>
      </c>
      <c r="J807" s="2">
        <v>2</v>
      </c>
      <c r="K807" s="2">
        <v>3</v>
      </c>
      <c r="L807" s="2">
        <v>1</v>
      </c>
      <c r="M807" s="2">
        <v>11</v>
      </c>
      <c r="N807" s="9" t="s">
        <v>1469</v>
      </c>
      <c r="O807" s="8">
        <v>539000</v>
      </c>
      <c r="P807" s="1">
        <f>3650/12</f>
        <v>304.16666666666669</v>
      </c>
      <c r="R807" s="3">
        <v>2558</v>
      </c>
      <c r="S807" s="12">
        <f t="shared" si="36"/>
        <v>93.231666666666669</v>
      </c>
      <c r="T807" s="3">
        <f t="shared" si="37"/>
        <v>2955.3983333333331</v>
      </c>
      <c r="U807" s="8">
        <f t="shared" si="38"/>
        <v>1006619.5</v>
      </c>
    </row>
    <row r="808" spans="1:21" ht="41.4" x14ac:dyDescent="0.3">
      <c r="A808" s="13">
        <v>45552</v>
      </c>
      <c r="B808" s="10" t="s">
        <v>1470</v>
      </c>
      <c r="C808" s="2" t="s">
        <v>4</v>
      </c>
      <c r="D808" s="2" t="s">
        <v>1338</v>
      </c>
      <c r="E808" s="2" t="s">
        <v>375</v>
      </c>
      <c r="F808" s="2">
        <v>2023</v>
      </c>
      <c r="G808" s="1">
        <v>811</v>
      </c>
      <c r="H808" s="1">
        <v>811</v>
      </c>
      <c r="J808" s="2">
        <v>1</v>
      </c>
      <c r="K808" s="2">
        <v>2</v>
      </c>
      <c r="L808" s="2">
        <v>1</v>
      </c>
      <c r="M808" s="2">
        <v>6</v>
      </c>
      <c r="N808" s="9" t="s">
        <v>1471</v>
      </c>
      <c r="O808" s="8">
        <v>542900</v>
      </c>
      <c r="P808" s="2">
        <v>700</v>
      </c>
      <c r="Q808" s="1" t="s">
        <v>25</v>
      </c>
      <c r="R808" s="3">
        <v>2581</v>
      </c>
      <c r="S808" s="12">
        <f t="shared" si="36"/>
        <v>60.308333333333337</v>
      </c>
      <c r="T808" s="3">
        <f t="shared" si="37"/>
        <v>3341.3083333333334</v>
      </c>
      <c r="U808" s="8">
        <f t="shared" si="38"/>
        <v>1122392.5</v>
      </c>
    </row>
    <row r="809" spans="1:21" ht="55.2" x14ac:dyDescent="0.3">
      <c r="A809" s="13">
        <v>45552</v>
      </c>
      <c r="B809" s="10" t="s">
        <v>1472</v>
      </c>
      <c r="C809" s="2" t="s">
        <v>4</v>
      </c>
      <c r="D809" s="2" t="s">
        <v>1338</v>
      </c>
      <c r="E809" s="2" t="s">
        <v>375</v>
      </c>
      <c r="F809" s="2">
        <v>2023</v>
      </c>
      <c r="G809" s="1">
        <v>929</v>
      </c>
      <c r="H809" s="1">
        <v>929</v>
      </c>
      <c r="J809" s="2">
        <v>1</v>
      </c>
      <c r="K809" s="2">
        <v>2</v>
      </c>
      <c r="L809" s="2">
        <v>1</v>
      </c>
      <c r="M809" s="2">
        <v>5</v>
      </c>
      <c r="N809" s="9" t="s">
        <v>1473</v>
      </c>
      <c r="O809" s="8">
        <v>549000</v>
      </c>
      <c r="P809" s="2">
        <v>700</v>
      </c>
      <c r="Q809" s="1" t="s">
        <v>25</v>
      </c>
      <c r="R809" s="3">
        <v>2619</v>
      </c>
      <c r="S809" s="12">
        <f t="shared" si="36"/>
        <v>67.191666666666663</v>
      </c>
      <c r="T809" s="3">
        <f t="shared" si="37"/>
        <v>3386.1916666666666</v>
      </c>
      <c r="U809" s="8">
        <f t="shared" si="38"/>
        <v>1135857.5</v>
      </c>
    </row>
    <row r="810" spans="1:21" ht="27.6" x14ac:dyDescent="0.3">
      <c r="A810" s="13">
        <v>45552</v>
      </c>
      <c r="B810" s="10" t="s">
        <v>1474</v>
      </c>
      <c r="C810" s="2" t="s">
        <v>4</v>
      </c>
      <c r="D810" s="2" t="s">
        <v>1338</v>
      </c>
      <c r="E810" s="2" t="s">
        <v>1734</v>
      </c>
      <c r="F810" s="2">
        <v>1942</v>
      </c>
      <c r="G810" s="1">
        <f>(10*11.9+8.9*9.8+8*9.9+15.7*11.6+15*10+5*5)*1.3</f>
        <v>835.30200000000002</v>
      </c>
      <c r="H810" s="1">
        <v>3961</v>
      </c>
      <c r="J810" s="2">
        <v>2</v>
      </c>
      <c r="K810" s="2">
        <v>3</v>
      </c>
      <c r="L810" s="2">
        <v>1</v>
      </c>
      <c r="M810" s="2">
        <v>5</v>
      </c>
      <c r="N810" s="9" t="s">
        <v>1475</v>
      </c>
      <c r="O810" s="8">
        <v>549000</v>
      </c>
      <c r="P810" s="1">
        <f>2910/12</f>
        <v>242.5</v>
      </c>
      <c r="R810" s="3">
        <v>2619</v>
      </c>
      <c r="S810" s="12">
        <f t="shared" si="36"/>
        <v>61.725950000000012</v>
      </c>
      <c r="T810" s="3">
        <f t="shared" si="37"/>
        <v>2923.22595</v>
      </c>
      <c r="U810" s="8">
        <f t="shared" si="38"/>
        <v>996967.78500000003</v>
      </c>
    </row>
    <row r="811" spans="1:21" ht="41.4" x14ac:dyDescent="0.3">
      <c r="A811" s="13">
        <v>45552</v>
      </c>
      <c r="B811" s="10" t="s">
        <v>1476</v>
      </c>
      <c r="C811" s="2" t="s">
        <v>4</v>
      </c>
      <c r="D811" s="2" t="s">
        <v>1338</v>
      </c>
      <c r="E811" s="2" t="s">
        <v>1734</v>
      </c>
      <c r="F811" s="2">
        <v>1956</v>
      </c>
      <c r="G811" s="1">
        <f>(4.17*1.12+4.45+3.81+3.43*5.66+4.45+3.81+3.53*3.63+3.38*3.2+3.81*3.4+3.25*1.52+11.28*3.4+3.81*3.4+3.25*1.52+8.23*3.74)*1.3*3.28^2</f>
        <v>2365.7785074559997</v>
      </c>
      <c r="H811" s="1">
        <v>4260</v>
      </c>
      <c r="J811" s="2">
        <v>2</v>
      </c>
      <c r="K811" s="2">
        <v>4</v>
      </c>
      <c r="L811" s="2">
        <v>2</v>
      </c>
      <c r="M811" s="2">
        <v>12</v>
      </c>
      <c r="N811" s="9" t="s">
        <v>1477</v>
      </c>
      <c r="O811" s="8">
        <v>552000</v>
      </c>
      <c r="P811" s="1">
        <f>3602/12</f>
        <v>300.16666666666669</v>
      </c>
      <c r="R811" s="3">
        <v>2637</v>
      </c>
      <c r="S811" s="12">
        <f t="shared" si="36"/>
        <v>151.00374626826667</v>
      </c>
      <c r="T811" s="3">
        <f t="shared" si="37"/>
        <v>3088.1704129349332</v>
      </c>
      <c r="U811" s="8">
        <f t="shared" si="38"/>
        <v>1046451.12388048</v>
      </c>
    </row>
    <row r="812" spans="1:21" ht="27.6" x14ac:dyDescent="0.3">
      <c r="A812" s="13">
        <v>45552</v>
      </c>
      <c r="B812" s="10" t="s">
        <v>1478</v>
      </c>
      <c r="C812" s="2" t="s">
        <v>4</v>
      </c>
      <c r="D812" s="2" t="s">
        <v>1338</v>
      </c>
      <c r="E812" s="2" t="s">
        <v>1734</v>
      </c>
      <c r="F812" s="2">
        <v>1942</v>
      </c>
      <c r="G812" s="1">
        <f>(6.86*3.53+3.58*2.24+2.79*2.92+1.5*2.2+3.58*2.57+3.89*2.34+4.27*3.56+4.27*2.44+5.26*3.2+5.26*3.28+1.8*2+3.66*2.13)*3.28^2*1.3</f>
        <v>1861.3245547519998</v>
      </c>
      <c r="H812" s="1">
        <v>1350</v>
      </c>
      <c r="J812" s="2">
        <v>2</v>
      </c>
      <c r="K812" s="2">
        <v>4</v>
      </c>
      <c r="L812" s="2">
        <v>2</v>
      </c>
      <c r="M812" s="2">
        <v>12</v>
      </c>
      <c r="N812" s="9" t="s">
        <v>1479</v>
      </c>
      <c r="O812" s="8">
        <v>558000</v>
      </c>
      <c r="P812" s="1">
        <f>3461/12</f>
        <v>288.41666666666669</v>
      </c>
      <c r="R812" s="3">
        <v>2674</v>
      </c>
      <c r="S812" s="12">
        <f t="shared" si="36"/>
        <v>121.57726569386665</v>
      </c>
      <c r="T812" s="3">
        <f t="shared" si="37"/>
        <v>3083.9939323605331</v>
      </c>
      <c r="U812" s="8">
        <f t="shared" si="38"/>
        <v>1045198.17970816</v>
      </c>
    </row>
    <row r="813" spans="1:21" ht="27.6" x14ac:dyDescent="0.3">
      <c r="A813" s="13">
        <v>45552</v>
      </c>
      <c r="B813" s="10" t="s">
        <v>1480</v>
      </c>
      <c r="C813" s="2" t="s">
        <v>4</v>
      </c>
      <c r="D813" s="2" t="s">
        <v>1338</v>
      </c>
      <c r="E813" s="2" t="s">
        <v>375</v>
      </c>
      <c r="F813" s="2">
        <v>2017</v>
      </c>
      <c r="G813" s="1">
        <v>799</v>
      </c>
      <c r="H813" s="1">
        <v>799</v>
      </c>
      <c r="J813" s="2">
        <v>1</v>
      </c>
      <c r="K813" s="2">
        <v>2</v>
      </c>
      <c r="L813" s="2">
        <v>2</v>
      </c>
      <c r="M813" s="2">
        <v>9</v>
      </c>
      <c r="N813" s="9" t="s">
        <v>1481</v>
      </c>
      <c r="O813" s="8">
        <v>559000</v>
      </c>
      <c r="P813" s="1">
        <f>(3598+4020)/12</f>
        <v>634.83333333333337</v>
      </c>
      <c r="R813" s="3">
        <v>2680</v>
      </c>
      <c r="S813" s="12">
        <f t="shared" si="36"/>
        <v>59.608333333333341</v>
      </c>
      <c r="T813" s="3">
        <f t="shared" si="37"/>
        <v>3374.4416666666666</v>
      </c>
      <c r="U813" s="8">
        <f t="shared" si="38"/>
        <v>1132332.5</v>
      </c>
    </row>
    <row r="814" spans="1:21" ht="55.2" x14ac:dyDescent="0.3">
      <c r="A814" s="13">
        <v>45552</v>
      </c>
      <c r="B814" s="10" t="s">
        <v>1482</v>
      </c>
      <c r="C814" s="2" t="s">
        <v>4</v>
      </c>
      <c r="D814" s="2" t="s">
        <v>1338</v>
      </c>
      <c r="E814" s="2" t="s">
        <v>375</v>
      </c>
      <c r="F814" s="2">
        <v>2013</v>
      </c>
      <c r="G814" s="1">
        <v>1012</v>
      </c>
      <c r="H814" s="1">
        <v>1012</v>
      </c>
      <c r="J814" s="2">
        <v>1</v>
      </c>
      <c r="K814" s="2">
        <v>2</v>
      </c>
      <c r="L814" s="2">
        <v>1</v>
      </c>
      <c r="M814" s="2">
        <v>5</v>
      </c>
      <c r="N814" s="9" t="s">
        <v>1483</v>
      </c>
      <c r="O814" s="8">
        <v>567000</v>
      </c>
      <c r="P814" s="1">
        <f>(3699+2564)/12</f>
        <v>521.91666666666663</v>
      </c>
      <c r="R814" s="3">
        <v>2728</v>
      </c>
      <c r="S814" s="12">
        <f t="shared" si="36"/>
        <v>72.033333333333331</v>
      </c>
      <c r="T814" s="3">
        <f t="shared" si="37"/>
        <v>3321.95</v>
      </c>
      <c r="U814" s="8">
        <f t="shared" si="38"/>
        <v>1116585</v>
      </c>
    </row>
    <row r="815" spans="1:21" ht="41.4" x14ac:dyDescent="0.3">
      <c r="A815" s="13">
        <v>45552</v>
      </c>
      <c r="B815" s="10" t="s">
        <v>1484</v>
      </c>
      <c r="C815" s="2" t="s">
        <v>4</v>
      </c>
      <c r="D815" s="2" t="s">
        <v>1338</v>
      </c>
      <c r="E815" s="2" t="s">
        <v>375</v>
      </c>
      <c r="F815" s="2">
        <v>2022</v>
      </c>
      <c r="G815" s="1">
        <v>931</v>
      </c>
      <c r="H815" s="1">
        <v>931</v>
      </c>
      <c r="J815" s="2">
        <v>1</v>
      </c>
      <c r="K815" s="2">
        <v>2</v>
      </c>
      <c r="L815" s="2">
        <v>1</v>
      </c>
      <c r="M815" s="2">
        <v>5</v>
      </c>
      <c r="N815" s="9" t="s">
        <v>1485</v>
      </c>
      <c r="O815" s="8">
        <v>569000</v>
      </c>
      <c r="P815" s="1">
        <f>(3251+4524)/12</f>
        <v>647.91666666666663</v>
      </c>
      <c r="R815" s="3">
        <v>2741</v>
      </c>
      <c r="S815" s="12">
        <f t="shared" si="36"/>
        <v>67.308333333333337</v>
      </c>
      <c r="T815" s="3">
        <f t="shared" si="37"/>
        <v>3456.2249999999999</v>
      </c>
      <c r="U815" s="8">
        <f t="shared" si="38"/>
        <v>1156867.5</v>
      </c>
    </row>
    <row r="816" spans="1:21" ht="27.6" x14ac:dyDescent="0.3">
      <c r="A816" s="13">
        <v>45552</v>
      </c>
      <c r="B816" s="10" t="s">
        <v>1486</v>
      </c>
      <c r="C816" s="2" t="s">
        <v>4</v>
      </c>
      <c r="D816" s="2" t="s">
        <v>1338</v>
      </c>
      <c r="E816" s="2" t="s">
        <v>1734</v>
      </c>
      <c r="F816" s="2">
        <v>1942</v>
      </c>
      <c r="G816" s="1">
        <f>(15.9*15.8+11.8*9.4+9.4*13.6+5.9*7.6+11.9*8.4+13.8*7.8+14.8*11.8+15.1*7.6+6*9.6+26*22)*1.3</f>
        <v>2159.846</v>
      </c>
      <c r="H816" s="1">
        <v>3841</v>
      </c>
      <c r="J816" s="2">
        <v>1</v>
      </c>
      <c r="K816" s="2">
        <v>4</v>
      </c>
      <c r="L816" s="2">
        <v>1</v>
      </c>
      <c r="M816" s="2">
        <v>9</v>
      </c>
      <c r="N816" s="9" t="s">
        <v>1487</v>
      </c>
      <c r="O816" s="8">
        <v>569000</v>
      </c>
      <c r="P816" s="1">
        <f>3140/12</f>
        <v>261.66666666666669</v>
      </c>
      <c r="R816" s="3">
        <v>2741</v>
      </c>
      <c r="S816" s="12">
        <f t="shared" si="36"/>
        <v>138.99101666666667</v>
      </c>
      <c r="T816" s="3">
        <f t="shared" si="37"/>
        <v>3141.6576833333334</v>
      </c>
      <c r="U816" s="8">
        <f t="shared" si="38"/>
        <v>1062497.3050000002</v>
      </c>
    </row>
    <row r="817" spans="1:21" ht="41.4" x14ac:dyDescent="0.3">
      <c r="A817" s="13">
        <v>45552</v>
      </c>
      <c r="B817" s="10" t="s">
        <v>1488</v>
      </c>
      <c r="C817" s="2" t="s">
        <v>4</v>
      </c>
      <c r="D817" s="2" t="s">
        <v>1338</v>
      </c>
      <c r="E817" s="2" t="s">
        <v>375</v>
      </c>
      <c r="F817" s="2">
        <v>2003</v>
      </c>
      <c r="G817" s="1">
        <v>988</v>
      </c>
      <c r="H817" s="1">
        <v>988</v>
      </c>
      <c r="J817" s="2">
        <v>1</v>
      </c>
      <c r="K817" s="2">
        <v>2</v>
      </c>
      <c r="L817" s="2">
        <v>1</v>
      </c>
      <c r="M817" s="2">
        <v>7</v>
      </c>
      <c r="N817" s="9" t="s">
        <v>1489</v>
      </c>
      <c r="O817" s="8">
        <v>575000</v>
      </c>
      <c r="P817" s="1">
        <f>(2761+3948)/12</f>
        <v>559.08333333333337</v>
      </c>
      <c r="R817" s="3">
        <v>2777</v>
      </c>
      <c r="S817" s="12">
        <f t="shared" si="36"/>
        <v>70.633333333333326</v>
      </c>
      <c r="T817" s="3">
        <f t="shared" si="37"/>
        <v>3406.7166666666667</v>
      </c>
      <c r="U817" s="8">
        <f t="shared" si="38"/>
        <v>1142015</v>
      </c>
    </row>
    <row r="818" spans="1:21" ht="27.6" x14ac:dyDescent="0.3">
      <c r="A818" s="13">
        <v>45552</v>
      </c>
      <c r="B818" s="10" t="s">
        <v>1490</v>
      </c>
      <c r="C818" s="2" t="s">
        <v>4</v>
      </c>
      <c r="D818" s="2" t="s">
        <v>1338</v>
      </c>
      <c r="E818" s="2" t="s">
        <v>1734</v>
      </c>
      <c r="F818" s="2">
        <v>1943</v>
      </c>
      <c r="G818" s="1">
        <f>(15.8*12+16*5+12*9+5.9*5.5+11.8*8.5+13.7*7.7+14.9*11.8+15*7+5*4.7)*1.3</f>
        <v>1196.2080000000001</v>
      </c>
      <c r="H818" s="1">
        <v>3667</v>
      </c>
      <c r="J818" s="2">
        <v>2</v>
      </c>
      <c r="K818" s="2">
        <v>4</v>
      </c>
      <c r="L818" s="2">
        <v>2</v>
      </c>
      <c r="M818" s="2">
        <v>9</v>
      </c>
      <c r="N818" s="9" t="s">
        <v>1491</v>
      </c>
      <c r="O818" s="8">
        <v>579000</v>
      </c>
      <c r="P818" s="1">
        <f>3732/12</f>
        <v>311</v>
      </c>
      <c r="R818" s="3">
        <v>2802</v>
      </c>
      <c r="S818" s="12">
        <f t="shared" si="36"/>
        <v>82.778800000000018</v>
      </c>
      <c r="T818" s="3">
        <f t="shared" si="37"/>
        <v>3195.7788</v>
      </c>
      <c r="U818" s="8">
        <f t="shared" si="38"/>
        <v>1078733.6400000001</v>
      </c>
    </row>
    <row r="819" spans="1:21" ht="41.4" x14ac:dyDescent="0.3">
      <c r="A819" s="13">
        <v>45552</v>
      </c>
      <c r="B819" s="10" t="s">
        <v>1492</v>
      </c>
      <c r="C819" s="2" t="s">
        <v>4</v>
      </c>
      <c r="D819" s="2" t="s">
        <v>1338</v>
      </c>
      <c r="E819" s="2" t="s">
        <v>375</v>
      </c>
      <c r="F819" s="2">
        <v>2023</v>
      </c>
      <c r="G819" s="1">
        <v>965</v>
      </c>
      <c r="H819" s="1">
        <v>965</v>
      </c>
      <c r="J819" s="2">
        <v>1</v>
      </c>
      <c r="K819" s="2">
        <v>2</v>
      </c>
      <c r="L819" s="2">
        <v>1</v>
      </c>
      <c r="M819" s="2">
        <v>6</v>
      </c>
      <c r="N819" s="9" t="s">
        <v>1493</v>
      </c>
      <c r="O819" s="8">
        <v>593900</v>
      </c>
      <c r="P819" s="2">
        <v>600</v>
      </c>
      <c r="Q819" s="1" t="s">
        <v>25</v>
      </c>
      <c r="R819" s="3">
        <v>2893</v>
      </c>
      <c r="S819" s="12">
        <f t="shared" si="36"/>
        <v>69.291666666666686</v>
      </c>
      <c r="T819" s="3">
        <f t="shared" si="37"/>
        <v>3562.2916666666665</v>
      </c>
      <c r="U819" s="8">
        <f t="shared" si="38"/>
        <v>1188687.5</v>
      </c>
    </row>
    <row r="820" spans="1:21" ht="27.6" x14ac:dyDescent="0.3">
      <c r="A820" s="13">
        <v>45552</v>
      </c>
      <c r="B820" s="10" t="s">
        <v>1494</v>
      </c>
      <c r="C820" s="2" t="s">
        <v>4</v>
      </c>
      <c r="D820" s="2" t="s">
        <v>1338</v>
      </c>
      <c r="E820" s="2" t="s">
        <v>1734</v>
      </c>
      <c r="F820" s="2">
        <v>1982</v>
      </c>
      <c r="G820" s="1">
        <v>1524</v>
      </c>
      <c r="H820" s="1">
        <v>2128</v>
      </c>
      <c r="J820" s="2">
        <v>1</v>
      </c>
      <c r="K820" s="2">
        <v>2</v>
      </c>
      <c r="L820" s="2">
        <v>1</v>
      </c>
      <c r="M820" s="2">
        <v>10</v>
      </c>
      <c r="N820" s="9" t="s">
        <v>1495</v>
      </c>
      <c r="O820" s="8">
        <v>595000</v>
      </c>
      <c r="P820" s="1">
        <f>4487/12</f>
        <v>373.91666666666669</v>
      </c>
      <c r="R820" s="3">
        <v>2899.36</v>
      </c>
      <c r="S820" s="12">
        <f t="shared" si="36"/>
        <v>101.90000000000002</v>
      </c>
      <c r="T820" s="3">
        <f t="shared" si="37"/>
        <v>3375.1766666666667</v>
      </c>
      <c r="U820" s="8">
        <f t="shared" si="38"/>
        <v>1132553</v>
      </c>
    </row>
    <row r="821" spans="1:21" ht="27.6" x14ac:dyDescent="0.3">
      <c r="A821" s="13">
        <v>45552</v>
      </c>
      <c r="B821" s="10" t="s">
        <v>1496</v>
      </c>
      <c r="C821" s="2" t="s">
        <v>4</v>
      </c>
      <c r="D821" s="2" t="s">
        <v>1338</v>
      </c>
      <c r="E821" s="2" t="s">
        <v>1734</v>
      </c>
      <c r="F821" s="2">
        <v>1948</v>
      </c>
      <c r="G821" s="1">
        <f>(9.5*8.5+13.5*12.2+15.8*11.8+13.9*7.9+13.8*8.4+9.9*5.1+7.9*4.9+14.9*11.7+14.9*7.7+16.2*7.9+11.8*11.5+26*14.7+9.6*6)*1.3</f>
        <v>2261.1680000000001</v>
      </c>
      <c r="H821" s="1">
        <v>3843</v>
      </c>
      <c r="J821" s="2">
        <v>2</v>
      </c>
      <c r="K821" s="2">
        <v>5</v>
      </c>
      <c r="L821" s="2">
        <v>2</v>
      </c>
      <c r="M821" s="2">
        <v>13</v>
      </c>
      <c r="N821" s="9" t="s">
        <v>1497</v>
      </c>
      <c r="O821" s="8">
        <v>599000</v>
      </c>
      <c r="P821" s="1">
        <f>3868/12</f>
        <v>322.33333333333331</v>
      </c>
      <c r="R821" s="3">
        <v>2924</v>
      </c>
      <c r="S821" s="12">
        <f t="shared" si="36"/>
        <v>144.90146666666666</v>
      </c>
      <c r="T821" s="3">
        <f t="shared" si="37"/>
        <v>3391.2348000000002</v>
      </c>
      <c r="U821" s="8">
        <f t="shared" si="38"/>
        <v>1137370.44</v>
      </c>
    </row>
    <row r="822" spans="1:21" ht="27.6" x14ac:dyDescent="0.3">
      <c r="A822" s="13">
        <v>45552</v>
      </c>
      <c r="B822" s="10" t="s">
        <v>1498</v>
      </c>
      <c r="C822" s="2" t="s">
        <v>4</v>
      </c>
      <c r="D822" s="2" t="s">
        <v>1338</v>
      </c>
      <c r="E822" s="2" t="s">
        <v>375</v>
      </c>
      <c r="F822" s="2">
        <v>2004</v>
      </c>
      <c r="G822" s="1">
        <v>1133</v>
      </c>
      <c r="H822" s="1">
        <v>1133</v>
      </c>
      <c r="J822" s="2">
        <v>1</v>
      </c>
      <c r="K822" s="2">
        <v>2</v>
      </c>
      <c r="L822" s="2">
        <v>1</v>
      </c>
      <c r="M822" s="2">
        <v>7</v>
      </c>
      <c r="N822" s="9" t="s">
        <v>1499</v>
      </c>
      <c r="O822" s="8">
        <v>599000</v>
      </c>
      <c r="P822" s="1">
        <f>(3471+6960)/12</f>
        <v>869.25</v>
      </c>
      <c r="R822" s="3">
        <v>2924</v>
      </c>
      <c r="S822" s="12">
        <f t="shared" si="36"/>
        <v>79.091666666666669</v>
      </c>
      <c r="T822" s="3">
        <f t="shared" si="37"/>
        <v>3872.3416666666667</v>
      </c>
      <c r="U822" s="8">
        <f t="shared" si="38"/>
        <v>1281702.5</v>
      </c>
    </row>
    <row r="823" spans="1:21" ht="27.6" x14ac:dyDescent="0.3">
      <c r="A823" s="13">
        <v>45552</v>
      </c>
      <c r="B823" s="10" t="s">
        <v>1500</v>
      </c>
      <c r="C823" s="2" t="s">
        <v>4</v>
      </c>
      <c r="D823" s="2" t="s">
        <v>1338</v>
      </c>
      <c r="E823" s="2" t="s">
        <v>375</v>
      </c>
      <c r="F823" s="2">
        <v>2003</v>
      </c>
      <c r="G823" s="1">
        <v>1145</v>
      </c>
      <c r="H823" s="1">
        <v>1145</v>
      </c>
      <c r="J823" s="2">
        <v>1</v>
      </c>
      <c r="K823" s="2">
        <v>2</v>
      </c>
      <c r="L823" s="2">
        <v>2</v>
      </c>
      <c r="M823" s="2">
        <v>8</v>
      </c>
      <c r="N823" s="9" t="s">
        <v>1501</v>
      </c>
      <c r="O823" s="8">
        <v>599000</v>
      </c>
      <c r="P823" s="1">
        <f>(3819+2880)/12</f>
        <v>558.25</v>
      </c>
      <c r="R823" s="3">
        <v>2924</v>
      </c>
      <c r="S823" s="12">
        <f t="shared" si="36"/>
        <v>79.791666666666671</v>
      </c>
      <c r="T823" s="3">
        <f t="shared" si="37"/>
        <v>3562.0416666666665</v>
      </c>
      <c r="U823" s="8">
        <f t="shared" si="38"/>
        <v>1188612.5</v>
      </c>
    </row>
    <row r="824" spans="1:21" ht="41.4" x14ac:dyDescent="0.3">
      <c r="A824" s="13">
        <v>45552</v>
      </c>
      <c r="B824" s="10" t="s">
        <v>1502</v>
      </c>
      <c r="C824" s="2" t="s">
        <v>4</v>
      </c>
      <c r="D824" s="2" t="s">
        <v>1338</v>
      </c>
      <c r="E824" s="2" t="s">
        <v>375</v>
      </c>
      <c r="F824" s="2">
        <v>2001</v>
      </c>
      <c r="G824" s="1">
        <v>1459</v>
      </c>
      <c r="H824" s="1">
        <v>1459</v>
      </c>
      <c r="J824" s="2">
        <v>1</v>
      </c>
      <c r="K824" s="2">
        <v>3</v>
      </c>
      <c r="L824" s="2">
        <v>2</v>
      </c>
      <c r="M824" s="2">
        <v>8</v>
      </c>
      <c r="N824" s="9" t="s">
        <v>1503</v>
      </c>
      <c r="O824" s="8">
        <v>609000</v>
      </c>
      <c r="P824" s="1">
        <f>(3295+2424)/12</f>
        <v>476.58333333333331</v>
      </c>
      <c r="R824" s="3">
        <v>2985</v>
      </c>
      <c r="S824" s="12">
        <f t="shared" si="36"/>
        <v>98.108333333333334</v>
      </c>
      <c r="T824" s="3">
        <f t="shared" si="37"/>
        <v>3559.6916666666666</v>
      </c>
      <c r="U824" s="8">
        <f t="shared" si="38"/>
        <v>1187907.5</v>
      </c>
    </row>
    <row r="825" spans="1:21" ht="41.4" x14ac:dyDescent="0.3">
      <c r="A825" s="13">
        <v>45552</v>
      </c>
      <c r="B825" s="10" t="s">
        <v>1504</v>
      </c>
      <c r="C825" s="2" t="s">
        <v>4</v>
      </c>
      <c r="D825" s="2" t="s">
        <v>1338</v>
      </c>
      <c r="E825" s="2" t="s">
        <v>375</v>
      </c>
      <c r="F825" s="2">
        <v>2023</v>
      </c>
      <c r="G825" s="1">
        <v>1006</v>
      </c>
      <c r="H825" s="1">
        <v>1006</v>
      </c>
      <c r="J825" s="2">
        <v>1</v>
      </c>
      <c r="K825" s="2">
        <v>2</v>
      </c>
      <c r="L825" s="2">
        <v>1</v>
      </c>
      <c r="M825" s="2">
        <v>6</v>
      </c>
      <c r="N825" s="9" t="s">
        <v>1505</v>
      </c>
      <c r="O825" s="8">
        <v>615900</v>
      </c>
      <c r="P825" s="2">
        <v>700</v>
      </c>
      <c r="Q825" s="1" t="s">
        <v>25</v>
      </c>
      <c r="R825" s="3">
        <v>3027</v>
      </c>
      <c r="S825" s="12">
        <f t="shared" si="36"/>
        <v>71.683333333333337</v>
      </c>
      <c r="T825" s="3">
        <f t="shared" si="37"/>
        <v>3798.6833333333334</v>
      </c>
      <c r="U825" s="8">
        <f t="shared" si="38"/>
        <v>1259605</v>
      </c>
    </row>
    <row r="826" spans="1:21" ht="41.4" x14ac:dyDescent="0.3">
      <c r="A826" s="13">
        <v>45552</v>
      </c>
      <c r="B826" s="10" t="s">
        <v>1506</v>
      </c>
      <c r="C826" s="2" t="s">
        <v>4</v>
      </c>
      <c r="D826" s="2" t="s">
        <v>1338</v>
      </c>
      <c r="E826" s="2" t="s">
        <v>375</v>
      </c>
      <c r="F826" s="2">
        <v>2022</v>
      </c>
      <c r="G826" s="1">
        <v>930</v>
      </c>
      <c r="H826" s="1">
        <v>930</v>
      </c>
      <c r="J826" s="2">
        <v>1</v>
      </c>
      <c r="K826" s="2">
        <v>2</v>
      </c>
      <c r="L826" s="2">
        <v>1</v>
      </c>
      <c r="M826" s="2">
        <v>7</v>
      </c>
      <c r="N826" s="9" t="s">
        <v>1507</v>
      </c>
      <c r="O826" s="8">
        <v>618888</v>
      </c>
      <c r="P826" s="1">
        <f>(4357+4620)/12</f>
        <v>748.08333333333337</v>
      </c>
      <c r="R826" s="3">
        <v>3045</v>
      </c>
      <c r="S826" s="12">
        <f t="shared" si="36"/>
        <v>67.25</v>
      </c>
      <c r="T826" s="3">
        <f t="shared" si="37"/>
        <v>3860.3333333333335</v>
      </c>
      <c r="U826" s="8">
        <f t="shared" si="38"/>
        <v>1278100</v>
      </c>
    </row>
    <row r="827" spans="1:21" ht="41.4" x14ac:dyDescent="0.3">
      <c r="A827" s="13">
        <v>45552</v>
      </c>
      <c r="B827" s="10" t="s">
        <v>1508</v>
      </c>
      <c r="C827" s="2" t="s">
        <v>4</v>
      </c>
      <c r="D827" s="2" t="s">
        <v>1338</v>
      </c>
      <c r="E827" s="2" t="s">
        <v>375</v>
      </c>
      <c r="F827" s="2">
        <v>2014</v>
      </c>
      <c r="G827" s="1">
        <v>1092</v>
      </c>
      <c r="H827" s="1">
        <v>1092</v>
      </c>
      <c r="J827" s="2">
        <v>1</v>
      </c>
      <c r="K827" s="2">
        <v>2</v>
      </c>
      <c r="L827" s="2">
        <v>1</v>
      </c>
      <c r="M827" s="2">
        <v>4</v>
      </c>
      <c r="N827" s="9" t="s">
        <v>1509</v>
      </c>
      <c r="O827" s="8">
        <v>620000</v>
      </c>
      <c r="P827" s="1">
        <f>(3613+6672)/12</f>
        <v>857.08333333333337</v>
      </c>
      <c r="R827" s="3">
        <v>3052</v>
      </c>
      <c r="S827" s="12">
        <f t="shared" si="36"/>
        <v>76.700000000000017</v>
      </c>
      <c r="T827" s="3">
        <f t="shared" si="37"/>
        <v>3985.7833333333333</v>
      </c>
      <c r="U827" s="8">
        <f t="shared" si="38"/>
        <v>1315735</v>
      </c>
    </row>
    <row r="828" spans="1:21" ht="41.4" x14ac:dyDescent="0.3">
      <c r="A828" s="13">
        <v>45552</v>
      </c>
      <c r="B828" s="10" t="s">
        <v>1510</v>
      </c>
      <c r="C828" s="2" t="s">
        <v>4</v>
      </c>
      <c r="D828" s="2" t="s">
        <v>1338</v>
      </c>
      <c r="E828" s="2" t="s">
        <v>375</v>
      </c>
      <c r="F828" s="2">
        <v>2003</v>
      </c>
      <c r="G828" s="1">
        <v>1580</v>
      </c>
      <c r="H828" s="1">
        <v>1580</v>
      </c>
      <c r="J828" s="2">
        <v>1</v>
      </c>
      <c r="K828" s="2">
        <v>3</v>
      </c>
      <c r="L828" s="2">
        <v>2</v>
      </c>
      <c r="M828" s="2">
        <v>12</v>
      </c>
      <c r="N828" s="9" t="s">
        <v>1511</v>
      </c>
      <c r="O828" s="8">
        <v>629000</v>
      </c>
      <c r="P828" s="1">
        <f>(4042+5604)/12</f>
        <v>803.83333333333337</v>
      </c>
      <c r="R828" s="3">
        <v>3107</v>
      </c>
      <c r="S828" s="12">
        <f t="shared" si="36"/>
        <v>105.16666666666667</v>
      </c>
      <c r="T828" s="3">
        <f t="shared" si="37"/>
        <v>4016</v>
      </c>
      <c r="U828" s="8">
        <f t="shared" si="38"/>
        <v>1324800</v>
      </c>
    </row>
    <row r="829" spans="1:21" ht="27.6" x14ac:dyDescent="0.3">
      <c r="A829" s="13">
        <v>45552</v>
      </c>
      <c r="B829" s="10" t="s">
        <v>1512</v>
      </c>
      <c r="C829" s="2" t="s">
        <v>4</v>
      </c>
      <c r="D829" s="2" t="s">
        <v>1338</v>
      </c>
      <c r="E829" s="2" t="s">
        <v>375</v>
      </c>
      <c r="F829" s="2">
        <v>2023</v>
      </c>
      <c r="G829" s="1">
        <v>1032</v>
      </c>
      <c r="H829" s="1">
        <v>1032</v>
      </c>
      <c r="J829" s="2">
        <v>1</v>
      </c>
      <c r="K829" s="2">
        <v>3</v>
      </c>
      <c r="L829" s="2">
        <v>2</v>
      </c>
      <c r="M829" s="2">
        <v>7</v>
      </c>
      <c r="N829" s="9" t="s">
        <v>1513</v>
      </c>
      <c r="O829" s="8">
        <v>629000</v>
      </c>
      <c r="P829" s="2">
        <v>800</v>
      </c>
      <c r="Q829" s="1" t="s">
        <v>25</v>
      </c>
      <c r="R829" s="3">
        <v>3107</v>
      </c>
      <c r="S829" s="12">
        <f t="shared" si="36"/>
        <v>73.200000000000017</v>
      </c>
      <c r="T829" s="3">
        <f t="shared" si="37"/>
        <v>3980.2</v>
      </c>
      <c r="U829" s="8">
        <f t="shared" si="38"/>
        <v>1314059.9999999998</v>
      </c>
    </row>
    <row r="830" spans="1:21" ht="41.4" x14ac:dyDescent="0.3">
      <c r="A830" s="13">
        <v>45552</v>
      </c>
      <c r="B830" s="10" t="s">
        <v>1514</v>
      </c>
      <c r="C830" s="2" t="s">
        <v>4</v>
      </c>
      <c r="D830" s="2" t="s">
        <v>1338</v>
      </c>
      <c r="E830" s="2" t="s">
        <v>1734</v>
      </c>
      <c r="F830" s="2">
        <v>1975</v>
      </c>
      <c r="G830" s="1">
        <v>1320</v>
      </c>
      <c r="H830" s="1">
        <v>1320</v>
      </c>
      <c r="J830" s="2">
        <v>1</v>
      </c>
      <c r="K830" s="2">
        <v>3</v>
      </c>
      <c r="L830" s="2">
        <v>2</v>
      </c>
      <c r="M830" s="2">
        <v>7</v>
      </c>
      <c r="N830" s="9" t="s">
        <v>1515</v>
      </c>
      <c r="O830" s="8">
        <v>635000</v>
      </c>
      <c r="P830" s="1">
        <f>3701/12</f>
        <v>308.41666666666669</v>
      </c>
      <c r="R830" s="3">
        <v>3144</v>
      </c>
      <c r="S830" s="12">
        <f t="shared" si="36"/>
        <v>90.000000000000014</v>
      </c>
      <c r="T830" s="3">
        <f t="shared" si="37"/>
        <v>3542.4166666666665</v>
      </c>
      <c r="U830" s="8">
        <f t="shared" si="38"/>
        <v>1182725</v>
      </c>
    </row>
    <row r="831" spans="1:21" ht="27.6" x14ac:dyDescent="0.3">
      <c r="A831" s="13">
        <v>45552</v>
      </c>
      <c r="B831" s="10" t="s">
        <v>1516</v>
      </c>
      <c r="C831" s="2" t="s">
        <v>4</v>
      </c>
      <c r="D831" s="2" t="s">
        <v>1338</v>
      </c>
      <c r="E831" s="2" t="s">
        <v>375</v>
      </c>
      <c r="F831" s="2">
        <v>2009</v>
      </c>
      <c r="G831" s="1">
        <v>1039</v>
      </c>
      <c r="H831" s="1">
        <v>1039</v>
      </c>
      <c r="J831" s="2">
        <v>1</v>
      </c>
      <c r="K831" s="2">
        <v>2</v>
      </c>
      <c r="L831" s="2">
        <v>2</v>
      </c>
      <c r="M831" s="2">
        <v>5</v>
      </c>
      <c r="N831" s="9" t="s">
        <v>1517</v>
      </c>
      <c r="O831" s="8">
        <v>639000</v>
      </c>
      <c r="P831" s="1">
        <f>(3805+5340)/12</f>
        <v>762.08333333333337</v>
      </c>
      <c r="R831" s="3">
        <v>3168</v>
      </c>
      <c r="S831" s="12">
        <f t="shared" si="36"/>
        <v>73.608333333333348</v>
      </c>
      <c r="T831" s="3">
        <f t="shared" si="37"/>
        <v>4003.6916666666666</v>
      </c>
      <c r="U831" s="8">
        <f t="shared" si="38"/>
        <v>1321107.5</v>
      </c>
    </row>
    <row r="832" spans="1:21" ht="27.6" x14ac:dyDescent="0.3">
      <c r="A832" s="13">
        <v>45552</v>
      </c>
      <c r="B832" s="10" t="s">
        <v>1518</v>
      </c>
      <c r="C832" s="2" t="s">
        <v>4</v>
      </c>
      <c r="D832" s="2" t="s">
        <v>1338</v>
      </c>
      <c r="E832" s="2" t="s">
        <v>1734</v>
      </c>
      <c r="F832" s="2">
        <v>1974</v>
      </c>
      <c r="G832" s="1">
        <f>(14*10.9+13.1*7.9+10.2*8.1+5*4.6+12.9*10.9+10.6*8.7+10*8.9+9.4*8+8.8*7.5+14*10.9)*1.3</f>
        <v>1270.5420000000001</v>
      </c>
      <c r="H832" s="1">
        <v>4798</v>
      </c>
      <c r="J832" s="2">
        <v>3</v>
      </c>
      <c r="K832" s="2">
        <v>4</v>
      </c>
      <c r="L832" s="2">
        <v>2</v>
      </c>
      <c r="M832" s="2">
        <v>10</v>
      </c>
      <c r="N832" s="9" t="s">
        <v>1519</v>
      </c>
      <c r="O832" s="8">
        <v>648000</v>
      </c>
      <c r="P832" s="1">
        <f>4878/12</f>
        <v>406.5</v>
      </c>
      <c r="R832" s="3">
        <v>3223</v>
      </c>
      <c r="S832" s="12">
        <f t="shared" si="36"/>
        <v>87.114950000000022</v>
      </c>
      <c r="T832" s="3">
        <f t="shared" si="37"/>
        <v>3716.6149500000001</v>
      </c>
      <c r="U832" s="8">
        <f t="shared" si="38"/>
        <v>1234984.4850000001</v>
      </c>
    </row>
    <row r="833" spans="1:21" ht="41.4" x14ac:dyDescent="0.3">
      <c r="A833" s="13">
        <v>45552</v>
      </c>
      <c r="B833" s="10" t="s">
        <v>1520</v>
      </c>
      <c r="C833" s="2" t="s">
        <v>4</v>
      </c>
      <c r="D833" s="2" t="s">
        <v>1338</v>
      </c>
      <c r="E833" s="2" t="s">
        <v>1734</v>
      </c>
      <c r="F833" s="2">
        <v>1948</v>
      </c>
      <c r="G833" s="1">
        <f>(4.4*6.5+11.5*12+7.9*5+11.4*12.6+11.4*11.4+18.9*9.9+9.2*11.9+14.2*9.7+19.9*23.9+6*12+4.4*8.5)*1.3</f>
        <v>1948.7520000000004</v>
      </c>
      <c r="H833" s="1">
        <v>4275</v>
      </c>
      <c r="J833" s="2">
        <v>2</v>
      </c>
      <c r="K833" s="2">
        <v>3</v>
      </c>
      <c r="L833" s="2">
        <v>1</v>
      </c>
      <c r="M833" s="2">
        <v>11</v>
      </c>
      <c r="N833" s="9" t="s">
        <v>1521</v>
      </c>
      <c r="O833" s="8">
        <v>648000</v>
      </c>
      <c r="P833" s="1">
        <f>4115/12</f>
        <v>342.91666666666669</v>
      </c>
      <c r="R833" s="3">
        <v>3223</v>
      </c>
      <c r="S833" s="12">
        <f t="shared" si="36"/>
        <v>126.67720000000003</v>
      </c>
      <c r="T833" s="3">
        <f t="shared" si="37"/>
        <v>3692.5938666666666</v>
      </c>
      <c r="U833" s="8">
        <f t="shared" si="38"/>
        <v>1227778.1599999999</v>
      </c>
    </row>
    <row r="834" spans="1:21" ht="41.4" x14ac:dyDescent="0.3">
      <c r="A834" s="13">
        <v>45552</v>
      </c>
      <c r="B834" s="10" t="s">
        <v>1522</v>
      </c>
      <c r="C834" s="2" t="s">
        <v>4</v>
      </c>
      <c r="D834" s="2" t="s">
        <v>1338</v>
      </c>
      <c r="E834" s="2" t="s">
        <v>1734</v>
      </c>
      <c r="F834" s="2">
        <v>1949</v>
      </c>
      <c r="G834" s="1">
        <f>(4.2*3.5+3.8*3.1+3.6*2.5+2.4*1.4)*2*1.3*3.28^2</f>
        <v>1086.4262655999999</v>
      </c>
      <c r="H834" s="1">
        <v>2883</v>
      </c>
      <c r="I834" s="1" t="s">
        <v>25</v>
      </c>
      <c r="J834" s="2">
        <v>2</v>
      </c>
      <c r="K834" s="2">
        <v>4</v>
      </c>
      <c r="L834" s="2">
        <v>2</v>
      </c>
      <c r="M834" s="2">
        <v>8</v>
      </c>
      <c r="N834" s="9" t="s">
        <v>1523</v>
      </c>
      <c r="O834" s="8">
        <v>649000</v>
      </c>
      <c r="P834" s="1">
        <f>3529/12</f>
        <v>294.08333333333331</v>
      </c>
      <c r="R834" s="3">
        <v>3228.97</v>
      </c>
      <c r="S834" s="12">
        <f t="shared" ref="S834:S861" si="39">13+(G834*10*0.07)/12</f>
        <v>76.374865493333346</v>
      </c>
      <c r="T834" s="3">
        <f t="shared" ref="T834:T861" si="40">P834+R834+S834</f>
        <v>3599.4281988266666</v>
      </c>
      <c r="U834" s="8">
        <f t="shared" ref="U834:U861" si="41">120000+T834*12*25</f>
        <v>1199828.4596480001</v>
      </c>
    </row>
    <row r="835" spans="1:21" ht="27.6" x14ac:dyDescent="0.3">
      <c r="A835" s="13">
        <v>45552</v>
      </c>
      <c r="B835" s="10" t="s">
        <v>1524</v>
      </c>
      <c r="C835" s="2" t="s">
        <v>4</v>
      </c>
      <c r="D835" s="2" t="s">
        <v>1338</v>
      </c>
      <c r="E835" s="2" t="s">
        <v>1734</v>
      </c>
      <c r="F835" s="2">
        <v>1975</v>
      </c>
      <c r="G835" s="1">
        <v>1800</v>
      </c>
      <c r="H835" s="1">
        <v>1800</v>
      </c>
      <c r="J835" s="2">
        <v>3</v>
      </c>
      <c r="K835" s="2">
        <v>2</v>
      </c>
      <c r="L835" s="2">
        <v>2</v>
      </c>
      <c r="M835" s="2">
        <v>10</v>
      </c>
      <c r="N835" s="9" t="s">
        <v>1525</v>
      </c>
      <c r="O835" s="8">
        <v>655000</v>
      </c>
      <c r="P835" s="1">
        <f>3620/12</f>
        <v>301.66666666666669</v>
      </c>
      <c r="R835" s="3">
        <v>3266</v>
      </c>
      <c r="S835" s="12">
        <f t="shared" si="39"/>
        <v>118.00000000000001</v>
      </c>
      <c r="T835" s="3">
        <f t="shared" si="40"/>
        <v>3685.6666666666665</v>
      </c>
      <c r="U835" s="8">
        <f t="shared" si="41"/>
        <v>1225700</v>
      </c>
    </row>
    <row r="836" spans="1:21" ht="27.6" x14ac:dyDescent="0.3">
      <c r="A836" s="13">
        <v>45552</v>
      </c>
      <c r="B836" s="10" t="s">
        <v>1526</v>
      </c>
      <c r="C836" s="2" t="s">
        <v>4</v>
      </c>
      <c r="D836" s="2" t="s">
        <v>1338</v>
      </c>
      <c r="E836" s="2" t="s">
        <v>1734</v>
      </c>
      <c r="F836" s="2">
        <v>1941</v>
      </c>
      <c r="G836" s="1">
        <f>(24*10.6+12*6.6+16*6.6+3.6*12+11.5*10.2+10.4*10.2+9.9*10.2+10.1*10.9+3.6*5+6*8+4*6+6*6+3.6*4+10*7+24*32)*1.3</f>
        <v>2463.8250000000003</v>
      </c>
      <c r="H836" s="1">
        <v>3290</v>
      </c>
      <c r="J836" s="2">
        <v>2</v>
      </c>
      <c r="K836" s="2">
        <v>4</v>
      </c>
      <c r="L836" s="2">
        <v>2</v>
      </c>
      <c r="M836" s="2">
        <v>9</v>
      </c>
      <c r="N836" s="9" t="s">
        <v>1527</v>
      </c>
      <c r="O836" s="8">
        <v>659000</v>
      </c>
      <c r="P836" s="1">
        <f>4298/12</f>
        <v>358.16666666666669</v>
      </c>
      <c r="R836" s="3">
        <v>3290</v>
      </c>
      <c r="S836" s="12">
        <f t="shared" si="39"/>
        <v>156.72312500000004</v>
      </c>
      <c r="T836" s="3">
        <f t="shared" si="40"/>
        <v>3804.8897916666665</v>
      </c>
      <c r="U836" s="8">
        <f t="shared" si="41"/>
        <v>1261466.9375</v>
      </c>
    </row>
    <row r="837" spans="1:21" ht="41.4" x14ac:dyDescent="0.3">
      <c r="A837" s="13">
        <v>45552</v>
      </c>
      <c r="B837" s="10" t="s">
        <v>1528</v>
      </c>
      <c r="C837" s="2" t="s">
        <v>4</v>
      </c>
      <c r="D837" s="2" t="s">
        <v>1338</v>
      </c>
      <c r="E837" s="2" t="s">
        <v>375</v>
      </c>
      <c r="F837" s="2">
        <v>1987</v>
      </c>
      <c r="G837" s="1">
        <v>1686</v>
      </c>
      <c r="H837" s="1">
        <v>1686</v>
      </c>
      <c r="J837" s="2">
        <v>1</v>
      </c>
      <c r="K837" s="2">
        <v>3</v>
      </c>
      <c r="L837" s="2">
        <v>2</v>
      </c>
      <c r="M837" s="2">
        <v>11</v>
      </c>
      <c r="N837" s="9" t="s">
        <v>1529</v>
      </c>
      <c r="O837" s="8">
        <v>675000</v>
      </c>
      <c r="P837" s="1">
        <f>(4576+3630)/12</f>
        <v>683.83333333333337</v>
      </c>
      <c r="R837" s="3">
        <v>3388</v>
      </c>
      <c r="S837" s="12">
        <f t="shared" si="39"/>
        <v>111.35000000000001</v>
      </c>
      <c r="T837" s="3">
        <f t="shared" si="40"/>
        <v>4183.1833333333334</v>
      </c>
      <c r="U837" s="8">
        <f t="shared" si="41"/>
        <v>1374955</v>
      </c>
    </row>
    <row r="838" spans="1:21" ht="41.4" x14ac:dyDescent="0.3">
      <c r="A838" s="13">
        <v>45552</v>
      </c>
      <c r="B838" s="10" t="s">
        <v>1530</v>
      </c>
      <c r="C838" s="2" t="s">
        <v>4</v>
      </c>
      <c r="D838" s="2" t="s">
        <v>1338</v>
      </c>
      <c r="E838" s="2" t="s">
        <v>1734</v>
      </c>
      <c r="F838" s="2">
        <v>1987</v>
      </c>
      <c r="G838" s="1">
        <f>(14.9*11.1+20.6*15.6+14.4*11.2+11.5*14.7+12.2*10.6+10*7.3+3*14.5+6.8*5.5+15.4*16.9+10.8*13.4+5.3*7.6+7.2*6.2+5*5.1)*1.3</f>
        <v>2100.4100000000003</v>
      </c>
      <c r="H838" s="1">
        <f>(14.9*11.1+20.6*15.6+14.4*11.2+11.5*14.7+12.2*10.6+10*7.3+3*14.5+6.8*5.5+15.4*16.9+10.8*13.4+5.3*7.6+7.2*6.2+5*5.1)*1.3</f>
        <v>2100.4100000000003</v>
      </c>
      <c r="J838" s="2">
        <v>3</v>
      </c>
      <c r="K838" s="2">
        <v>3</v>
      </c>
      <c r="L838" s="2">
        <v>3</v>
      </c>
      <c r="M838" s="2">
        <v>11</v>
      </c>
      <c r="N838" s="9" t="s">
        <v>1531</v>
      </c>
      <c r="O838" s="8">
        <v>679000</v>
      </c>
      <c r="P838" s="1">
        <f>3677/12</f>
        <v>306.41666666666669</v>
      </c>
      <c r="R838" s="3">
        <v>3412</v>
      </c>
      <c r="S838" s="12">
        <f t="shared" si="39"/>
        <v>135.52391666666671</v>
      </c>
      <c r="T838" s="3">
        <f t="shared" si="40"/>
        <v>3853.9405833333331</v>
      </c>
      <c r="U838" s="8">
        <f t="shared" si="41"/>
        <v>1276182.1749999998</v>
      </c>
    </row>
    <row r="839" spans="1:21" ht="41.4" x14ac:dyDescent="0.3">
      <c r="A839" s="13">
        <v>45552</v>
      </c>
      <c r="B839" s="10" t="s">
        <v>1532</v>
      </c>
      <c r="C839" s="2" t="s">
        <v>4</v>
      </c>
      <c r="D839" s="2" t="s">
        <v>1338</v>
      </c>
      <c r="E839" s="2" t="s">
        <v>375</v>
      </c>
      <c r="F839" s="2">
        <v>2011</v>
      </c>
      <c r="G839" s="1">
        <v>1151</v>
      </c>
      <c r="H839" s="1">
        <v>1151</v>
      </c>
      <c r="J839" s="2">
        <v>2</v>
      </c>
      <c r="K839" s="2">
        <v>3</v>
      </c>
      <c r="L839" s="2">
        <v>2</v>
      </c>
      <c r="M839" s="2">
        <v>6</v>
      </c>
      <c r="N839" s="9" t="s">
        <v>1533</v>
      </c>
      <c r="O839" s="8">
        <v>679000</v>
      </c>
      <c r="P839" s="1">
        <f>(3950+3264)/12</f>
        <v>601.16666666666663</v>
      </c>
      <c r="R839" s="3">
        <v>3412</v>
      </c>
      <c r="S839" s="12">
        <f t="shared" si="39"/>
        <v>80.141666666666666</v>
      </c>
      <c r="T839" s="3">
        <f t="shared" si="40"/>
        <v>4093.3083333333334</v>
      </c>
      <c r="U839" s="8">
        <f t="shared" si="41"/>
        <v>1347992.5</v>
      </c>
    </row>
    <row r="840" spans="1:21" ht="27.6" x14ac:dyDescent="0.3">
      <c r="A840" s="13">
        <v>45552</v>
      </c>
      <c r="B840" s="10" t="s">
        <v>1534</v>
      </c>
      <c r="C840" s="2" t="s">
        <v>4</v>
      </c>
      <c r="D840" s="2" t="s">
        <v>1338</v>
      </c>
      <c r="E840" s="2" t="s">
        <v>1734</v>
      </c>
      <c r="F840" s="2">
        <v>1950</v>
      </c>
      <c r="G840" s="1">
        <f>(15.9*11.3+10.7*12.9+11.2*10+11.6*14.6+10.6*6+10.8*13.9+11.4*11.5+6.9*8.2+20.8*10.1+10*23.9)*1.3</f>
        <v>1884.4020000000003</v>
      </c>
      <c r="H840" s="1">
        <v>4230</v>
      </c>
      <c r="J840" s="2">
        <v>2</v>
      </c>
      <c r="K840" s="2">
        <v>3</v>
      </c>
      <c r="L840" s="2">
        <v>1</v>
      </c>
      <c r="M840" s="2">
        <v>10</v>
      </c>
      <c r="N840" s="9" t="s">
        <v>1535</v>
      </c>
      <c r="O840" s="8">
        <v>689000</v>
      </c>
      <c r="P840" s="1">
        <f>4863/12</f>
        <v>405.25</v>
      </c>
      <c r="R840" s="3">
        <v>3473</v>
      </c>
      <c r="S840" s="12">
        <f t="shared" si="39"/>
        <v>122.92345000000005</v>
      </c>
      <c r="T840" s="3">
        <f t="shared" si="40"/>
        <v>4001.1734500000002</v>
      </c>
      <c r="U840" s="8">
        <f t="shared" si="41"/>
        <v>1320352.0350000001</v>
      </c>
    </row>
    <row r="841" spans="1:21" ht="41.4" x14ac:dyDescent="0.3">
      <c r="A841" s="13">
        <v>45552</v>
      </c>
      <c r="B841" s="10" t="s">
        <v>1536</v>
      </c>
      <c r="C841" s="2" t="s">
        <v>4</v>
      </c>
      <c r="D841" s="2" t="s">
        <v>1338</v>
      </c>
      <c r="E841" s="2" t="s">
        <v>375</v>
      </c>
      <c r="F841" s="2">
        <v>2019</v>
      </c>
      <c r="G841" s="1">
        <v>1139</v>
      </c>
      <c r="H841" s="1">
        <v>1139</v>
      </c>
      <c r="J841" s="2">
        <v>1</v>
      </c>
      <c r="K841" s="2">
        <v>3</v>
      </c>
      <c r="L841" s="2">
        <v>2</v>
      </c>
      <c r="M841" s="2">
        <v>11</v>
      </c>
      <c r="N841" s="9" t="s">
        <v>1537</v>
      </c>
      <c r="O841" s="8">
        <v>689000</v>
      </c>
      <c r="P841" s="1">
        <f>(4413+8064)/12</f>
        <v>1039.75</v>
      </c>
      <c r="R841" s="3">
        <v>3473</v>
      </c>
      <c r="S841" s="12">
        <f t="shared" si="39"/>
        <v>79.441666666666677</v>
      </c>
      <c r="T841" s="3">
        <f t="shared" si="40"/>
        <v>4592.1916666666666</v>
      </c>
      <c r="U841" s="8">
        <f t="shared" si="41"/>
        <v>1497657.5</v>
      </c>
    </row>
    <row r="842" spans="1:21" ht="27.6" x14ac:dyDescent="0.3">
      <c r="A842" s="13">
        <v>45552</v>
      </c>
      <c r="B842" s="10" t="s">
        <v>1538</v>
      </c>
      <c r="C842" s="2" t="s">
        <v>4</v>
      </c>
      <c r="D842" s="2" t="s">
        <v>1338</v>
      </c>
      <c r="E842" s="2" t="s">
        <v>1734</v>
      </c>
      <c r="F842" s="2">
        <v>1986</v>
      </c>
      <c r="G842" s="1">
        <f>(4*3.8+16.6*16.9+13.5*10+17.3*9.3+7*3.5+17*14+11.4*10+14.7*11.9+16*9+16.5*15+7.8*7.5)*1.3</f>
        <v>2070.9780000000001</v>
      </c>
      <c r="H842" s="1">
        <v>1726</v>
      </c>
      <c r="J842" s="2">
        <v>3</v>
      </c>
      <c r="K842" s="2">
        <v>3</v>
      </c>
      <c r="L842" s="2">
        <v>3</v>
      </c>
      <c r="M842" s="2">
        <v>11</v>
      </c>
      <c r="N842" s="9" t="s">
        <v>1539</v>
      </c>
      <c r="O842" s="8">
        <v>698000</v>
      </c>
      <c r="P842" s="1">
        <f>(4268+3564)/12</f>
        <v>652.66666666666663</v>
      </c>
      <c r="R842" s="3">
        <v>3528</v>
      </c>
      <c r="S842" s="12">
        <f t="shared" si="39"/>
        <v>133.80705</v>
      </c>
      <c r="T842" s="3">
        <f t="shared" si="40"/>
        <v>4314.4737166666673</v>
      </c>
      <c r="U842" s="8">
        <f t="shared" si="41"/>
        <v>1414342.1150000002</v>
      </c>
    </row>
    <row r="843" spans="1:21" ht="27.6" x14ac:dyDescent="0.3">
      <c r="A843" s="13">
        <v>45552</v>
      </c>
      <c r="B843" s="10" t="s">
        <v>1540</v>
      </c>
      <c r="C843" s="2" t="s">
        <v>4</v>
      </c>
      <c r="D843" s="2" t="s">
        <v>1338</v>
      </c>
      <c r="E843" s="2" t="s">
        <v>1734</v>
      </c>
      <c r="F843" s="2">
        <v>1900</v>
      </c>
      <c r="G843" s="1">
        <v>1330</v>
      </c>
      <c r="H843" s="1">
        <v>5810</v>
      </c>
      <c r="J843" s="2">
        <v>2</v>
      </c>
      <c r="K843" s="2">
        <v>5</v>
      </c>
      <c r="L843" s="2">
        <v>3</v>
      </c>
      <c r="M843" s="2">
        <v>9</v>
      </c>
      <c r="N843" s="9" t="s">
        <v>1541</v>
      </c>
      <c r="O843" s="8">
        <v>699000</v>
      </c>
      <c r="P843" s="1">
        <f>4224/12</f>
        <v>352</v>
      </c>
      <c r="R843" s="3">
        <v>3534</v>
      </c>
      <c r="S843" s="12">
        <f t="shared" si="39"/>
        <v>90.583333333333343</v>
      </c>
      <c r="T843" s="3">
        <f t="shared" si="40"/>
        <v>3976.5833333333335</v>
      </c>
      <c r="U843" s="8">
        <f t="shared" si="41"/>
        <v>1312975</v>
      </c>
    </row>
    <row r="844" spans="1:21" ht="27.6" x14ac:dyDescent="0.3">
      <c r="A844" s="13">
        <v>45552</v>
      </c>
      <c r="B844" s="10" t="s">
        <v>1542</v>
      </c>
      <c r="C844" s="2" t="s">
        <v>4</v>
      </c>
      <c r="D844" s="2" t="s">
        <v>1338</v>
      </c>
      <c r="E844" s="2" t="s">
        <v>1734</v>
      </c>
      <c r="F844" s="2">
        <v>1953</v>
      </c>
      <c r="G844" s="1">
        <f>(11.7*10.2+9.8*9.3+11.6*8+10.2*10+6.6*4.9+14*11.8+12*10.1+11*10.6+19.6*15.3+5*4+19*9.5)*1.3</f>
        <v>1743.3</v>
      </c>
      <c r="H844" s="1">
        <v>4899</v>
      </c>
      <c r="J844" s="2">
        <v>3</v>
      </c>
      <c r="K844" s="2">
        <v>3</v>
      </c>
      <c r="L844" s="2">
        <v>2</v>
      </c>
      <c r="M844" s="2">
        <v>11</v>
      </c>
      <c r="N844" s="9" t="s">
        <v>1543</v>
      </c>
      <c r="O844" s="8">
        <v>699000</v>
      </c>
      <c r="P844" s="1">
        <f>(4636+4470)/12</f>
        <v>758.83333333333337</v>
      </c>
      <c r="R844" s="3">
        <v>3534</v>
      </c>
      <c r="S844" s="12">
        <f t="shared" si="39"/>
        <v>114.69250000000001</v>
      </c>
      <c r="T844" s="3">
        <f t="shared" si="40"/>
        <v>4407.5258333333331</v>
      </c>
      <c r="U844" s="8">
        <f t="shared" si="41"/>
        <v>1442257.75</v>
      </c>
    </row>
    <row r="845" spans="1:21" ht="41.4" x14ac:dyDescent="0.3">
      <c r="A845" s="13">
        <v>45552</v>
      </c>
      <c r="B845" s="10" t="s">
        <v>1544</v>
      </c>
      <c r="C845" s="2" t="s">
        <v>4</v>
      </c>
      <c r="D845" s="2" t="s">
        <v>1338</v>
      </c>
      <c r="E845" s="2" t="s">
        <v>1734</v>
      </c>
      <c r="F845" s="2">
        <v>1954</v>
      </c>
      <c r="G845" s="1">
        <f>(20.3*14.3+14.5*11.2+14.3*11.2+9.5*9.6+5*5+23*14+23*14)*1.3</f>
        <v>1784.9650000000004</v>
      </c>
      <c r="H845" s="1">
        <v>5267</v>
      </c>
      <c r="J845" s="2">
        <v>2</v>
      </c>
      <c r="K845" s="2">
        <v>2</v>
      </c>
      <c r="L845" s="2">
        <v>1</v>
      </c>
      <c r="M845" s="2">
        <v>7</v>
      </c>
      <c r="N845" s="9" t="s">
        <v>1545</v>
      </c>
      <c r="O845" s="8">
        <v>699000</v>
      </c>
      <c r="P845" s="1">
        <f>4347/12</f>
        <v>362.25</v>
      </c>
      <c r="R845" s="3">
        <v>3534</v>
      </c>
      <c r="S845" s="12">
        <f t="shared" si="39"/>
        <v>117.12295833333337</v>
      </c>
      <c r="T845" s="3">
        <f t="shared" si="40"/>
        <v>4013.3729583333334</v>
      </c>
      <c r="U845" s="8">
        <f t="shared" si="41"/>
        <v>1324011.8875</v>
      </c>
    </row>
    <row r="846" spans="1:21" ht="27.6" x14ac:dyDescent="0.3">
      <c r="A846" s="13">
        <v>45552</v>
      </c>
      <c r="B846" s="10" t="s">
        <v>1546</v>
      </c>
      <c r="C846" s="2" t="s">
        <v>4</v>
      </c>
      <c r="D846" s="2" t="s">
        <v>1338</v>
      </c>
      <c r="E846" s="2" t="s">
        <v>1734</v>
      </c>
      <c r="F846" s="2">
        <v>1930</v>
      </c>
      <c r="G846" s="1">
        <f>(9.8*9.6+9.8*9.6+9.7*9.5+9.7*9.5+9.9*13.2+9.9*13.2+9.9*12.2+9.9*12.2+11*10.9+11*10.9+6.8*5.1+6.8*5.1)*1.3</f>
        <v>1539.902</v>
      </c>
      <c r="H846" s="1">
        <v>1725</v>
      </c>
      <c r="J846" s="2">
        <v>3</v>
      </c>
      <c r="K846" s="2">
        <v>2</v>
      </c>
      <c r="L846" s="2">
        <v>1</v>
      </c>
      <c r="M846" s="2">
        <v>10</v>
      </c>
      <c r="N846" s="9" t="s">
        <v>1547</v>
      </c>
      <c r="O846" s="8">
        <v>699000</v>
      </c>
      <c r="P846" s="1">
        <f>3560/12</f>
        <v>296.66666666666669</v>
      </c>
      <c r="R846" s="3">
        <v>3534.17</v>
      </c>
      <c r="S846" s="12">
        <f t="shared" si="39"/>
        <v>102.82761666666669</v>
      </c>
      <c r="T846" s="3">
        <f t="shared" si="40"/>
        <v>3933.6642833333331</v>
      </c>
      <c r="U846" s="8">
        <f t="shared" si="41"/>
        <v>1300099.2849999999</v>
      </c>
    </row>
    <row r="847" spans="1:21" ht="27.6" x14ac:dyDescent="0.3">
      <c r="A847" s="13">
        <v>45552</v>
      </c>
      <c r="B847" s="10" t="s">
        <v>1548</v>
      </c>
      <c r="C847" s="2" t="s">
        <v>4</v>
      </c>
      <c r="D847" s="2" t="s">
        <v>1338</v>
      </c>
      <c r="E847" s="2" t="s">
        <v>1734</v>
      </c>
      <c r="F847" s="2">
        <v>1950</v>
      </c>
      <c r="G847" s="1">
        <f>(13.7*12.1+14.5*11.4+11.9*10+14.9*8.4+11.4*8.5+12.5*10.6+14.5*11.4+13.1*12.8+5.9*4.4+11.3*10.2+7.8*7.6+14.9*13.5)*1.3</f>
        <v>2001.0380000000005</v>
      </c>
      <c r="H847" s="1">
        <v>4241</v>
      </c>
      <c r="J847" s="2">
        <v>3</v>
      </c>
      <c r="K847" s="2">
        <v>3</v>
      </c>
      <c r="L847" s="2">
        <v>2</v>
      </c>
      <c r="M847" s="2">
        <v>10</v>
      </c>
      <c r="N847" s="9" t="s">
        <v>1549</v>
      </c>
      <c r="O847" s="8">
        <v>700000</v>
      </c>
      <c r="P847" s="1">
        <f>3802/12</f>
        <v>316.83333333333331</v>
      </c>
      <c r="R847" s="3">
        <v>3540</v>
      </c>
      <c r="S847" s="12">
        <f t="shared" si="39"/>
        <v>129.72721666666672</v>
      </c>
      <c r="T847" s="3">
        <f t="shared" si="40"/>
        <v>3986.5605500000001</v>
      </c>
      <c r="U847" s="8">
        <f t="shared" si="41"/>
        <v>1315968.165</v>
      </c>
    </row>
    <row r="848" spans="1:21" ht="27.6" x14ac:dyDescent="0.3">
      <c r="A848" s="13">
        <v>45552</v>
      </c>
      <c r="B848" s="10" t="s">
        <v>1550</v>
      </c>
      <c r="C848" s="2" t="s">
        <v>4</v>
      </c>
      <c r="D848" s="2" t="s">
        <v>1338</v>
      </c>
      <c r="E848" s="2" t="s">
        <v>1734</v>
      </c>
      <c r="F848" s="2">
        <v>1966</v>
      </c>
      <c r="G848" s="1">
        <f>(4.4*5.2+17.5*10.8+10.9*12.1+14.5*10+11.4*8+7.4*4.3+6.3*7.2+9.9*8.2+13.1*10.2)*1.3</f>
        <v>1133.5350000000001</v>
      </c>
      <c r="H848" s="1">
        <v>4032</v>
      </c>
      <c r="J848" s="2">
        <v>3</v>
      </c>
      <c r="K848" s="2">
        <v>4</v>
      </c>
      <c r="L848" s="2">
        <v>3</v>
      </c>
      <c r="M848" s="2">
        <v>9</v>
      </c>
      <c r="N848" s="9" t="s">
        <v>1551</v>
      </c>
      <c r="O848" s="8">
        <v>719000</v>
      </c>
      <c r="P848" s="1">
        <f>5413/12</f>
        <v>451.08333333333331</v>
      </c>
      <c r="R848" s="3">
        <v>3656</v>
      </c>
      <c r="S848" s="12">
        <f t="shared" si="39"/>
        <v>79.122875000000008</v>
      </c>
      <c r="T848" s="3">
        <f t="shared" si="40"/>
        <v>4186.2062083333331</v>
      </c>
      <c r="U848" s="8">
        <f t="shared" si="41"/>
        <v>1375861.8624999998</v>
      </c>
    </row>
    <row r="849" spans="1:21" ht="27.6" x14ac:dyDescent="0.3">
      <c r="A849" s="13">
        <v>45552</v>
      </c>
      <c r="B849" s="10" t="s">
        <v>1552</v>
      </c>
      <c r="C849" s="2" t="s">
        <v>4</v>
      </c>
      <c r="D849" s="2" t="s">
        <v>1338</v>
      </c>
      <c r="E849" s="2" t="s">
        <v>1734</v>
      </c>
      <c r="F849" s="2">
        <v>1954</v>
      </c>
      <c r="G849" s="1">
        <f>(12.2*11.5+11.2*11.5+12.8*10.9+12.8*10.2+11.1*10+10.4*8.2+11.9*4.9+15.9*13.5+13.1*9.6+10.2*9.5+12*8+12*8+10*9)*1.3</f>
        <v>1967.0040000000004</v>
      </c>
      <c r="H849" s="1">
        <v>5670</v>
      </c>
      <c r="J849" s="2">
        <v>3</v>
      </c>
      <c r="K849" s="2">
        <v>5</v>
      </c>
      <c r="L849" s="2">
        <v>2</v>
      </c>
      <c r="M849" s="2">
        <v>13</v>
      </c>
      <c r="N849" s="9" t="s">
        <v>1553</v>
      </c>
      <c r="O849" s="8">
        <v>719000</v>
      </c>
      <c r="P849" s="1">
        <f>4873/12</f>
        <v>406.08333333333331</v>
      </c>
      <c r="R849" s="3">
        <v>3656</v>
      </c>
      <c r="S849" s="12">
        <f t="shared" si="39"/>
        <v>127.74190000000004</v>
      </c>
      <c r="T849" s="3">
        <f t="shared" si="40"/>
        <v>4189.8252333333339</v>
      </c>
      <c r="U849" s="8">
        <f t="shared" si="41"/>
        <v>1376947.5700000003</v>
      </c>
    </row>
    <row r="850" spans="1:21" ht="41.4" x14ac:dyDescent="0.3">
      <c r="A850" s="13">
        <v>45552</v>
      </c>
      <c r="B850" s="10" t="s">
        <v>1554</v>
      </c>
      <c r="C850" s="2" t="s">
        <v>4</v>
      </c>
      <c r="D850" s="2" t="s">
        <v>1338</v>
      </c>
      <c r="E850" s="2" t="s">
        <v>1734</v>
      </c>
      <c r="F850" s="2">
        <v>1954</v>
      </c>
      <c r="G850" s="1">
        <f>(13.2*10.3+10.2*9.4+12.9*9+17.5*11.6+7.6*9.7+6.2*3.6+10.1*9.6+7.7*6.7+7.9*5.9+25.9*11.9+26.9*12.3+16.4*13.2)*1.3</f>
        <v>2207.0100000000002</v>
      </c>
      <c r="H850" s="1">
        <v>5409</v>
      </c>
      <c r="J850" s="2">
        <v>2</v>
      </c>
      <c r="K850" s="2">
        <v>4</v>
      </c>
      <c r="L850" s="2">
        <v>2</v>
      </c>
      <c r="M850" s="2">
        <v>9</v>
      </c>
      <c r="N850" s="9" t="s">
        <v>1555</v>
      </c>
      <c r="O850" s="8">
        <v>728889</v>
      </c>
      <c r="P850" s="1">
        <f>4848/12</f>
        <v>404</v>
      </c>
      <c r="R850" s="3">
        <v>3717</v>
      </c>
      <c r="S850" s="12">
        <f t="shared" si="39"/>
        <v>141.74225000000004</v>
      </c>
      <c r="T850" s="3">
        <f t="shared" si="40"/>
        <v>4262.7422500000002</v>
      </c>
      <c r="U850" s="8">
        <f t="shared" si="41"/>
        <v>1398822.6750000003</v>
      </c>
    </row>
    <row r="851" spans="1:21" ht="27.6" x14ac:dyDescent="0.3">
      <c r="A851" s="13">
        <v>45552</v>
      </c>
      <c r="B851" s="10" t="s">
        <v>1556</v>
      </c>
      <c r="C851" s="2" t="s">
        <v>4</v>
      </c>
      <c r="D851" s="2" t="s">
        <v>1338</v>
      </c>
      <c r="E851" s="2" t="s">
        <v>1734</v>
      </c>
      <c r="F851" s="2">
        <v>1955</v>
      </c>
      <c r="G851" s="1">
        <f>(13.8*11.2+11.4*13.4+8.6*9+11.4*11.2+8.8*13.2+17.1*10.6+10.8*10.6+28*15)*1.3</f>
        <v>1747.59</v>
      </c>
      <c r="H851" s="1">
        <v>6320</v>
      </c>
      <c r="J851" s="2">
        <v>3</v>
      </c>
      <c r="K851" s="2">
        <v>3</v>
      </c>
      <c r="L851" s="2">
        <v>1</v>
      </c>
      <c r="M851" s="2">
        <v>9</v>
      </c>
      <c r="N851" s="9" t="s">
        <v>1557</v>
      </c>
      <c r="O851" s="8">
        <v>748000</v>
      </c>
      <c r="P851" s="1">
        <f>4397/12</f>
        <v>366.41666666666669</v>
      </c>
      <c r="R851" s="3">
        <v>3833</v>
      </c>
      <c r="S851" s="12">
        <f t="shared" si="39"/>
        <v>114.94274999999999</v>
      </c>
      <c r="T851" s="3">
        <f t="shared" si="40"/>
        <v>4314.3594166666671</v>
      </c>
      <c r="U851" s="8">
        <f t="shared" si="41"/>
        <v>1414307.8250000002</v>
      </c>
    </row>
    <row r="852" spans="1:21" ht="41.4" x14ac:dyDescent="0.3">
      <c r="A852" s="13">
        <v>45552</v>
      </c>
      <c r="B852" s="10" t="s">
        <v>1558</v>
      </c>
      <c r="C852" s="2" t="s">
        <v>4</v>
      </c>
      <c r="D852" s="2" t="s">
        <v>1338</v>
      </c>
      <c r="E852" s="2" t="s">
        <v>1734</v>
      </c>
      <c r="F852" s="2">
        <v>1994</v>
      </c>
      <c r="G852" s="1">
        <f>(6.2*5.9+10.6*10.4+12.5*11.7+16.8*14.9+5*4.9+16.8*12.9+10*9.9+10*7.9+16.8*22.1+16.8*11.7)*1.3</f>
        <v>1989.585</v>
      </c>
      <c r="H852" s="1">
        <v>1849</v>
      </c>
      <c r="J852" s="2">
        <v>2</v>
      </c>
      <c r="K852" s="2">
        <v>3</v>
      </c>
      <c r="L852" s="2">
        <v>2</v>
      </c>
      <c r="M852" s="2">
        <v>9</v>
      </c>
      <c r="N852" s="9" t="s">
        <v>1559</v>
      </c>
      <c r="O852" s="8">
        <v>749000</v>
      </c>
      <c r="P852" s="1">
        <f>(4196+4200)/12</f>
        <v>699.66666666666663</v>
      </c>
      <c r="R852" s="3">
        <v>3839</v>
      </c>
      <c r="S852" s="12">
        <f t="shared" si="39"/>
        <v>129.05912499999999</v>
      </c>
      <c r="T852" s="3">
        <f t="shared" si="40"/>
        <v>4667.7257916666667</v>
      </c>
      <c r="U852" s="8">
        <f t="shared" si="41"/>
        <v>1520317.7374999998</v>
      </c>
    </row>
    <row r="853" spans="1:21" ht="27.6" x14ac:dyDescent="0.3">
      <c r="A853" s="13">
        <v>45552</v>
      </c>
      <c r="B853" s="10" t="s">
        <v>1560</v>
      </c>
      <c r="C853" s="2" t="s">
        <v>4</v>
      </c>
      <c r="D853" s="2" t="s">
        <v>1338</v>
      </c>
      <c r="E853" s="2" t="s">
        <v>1734</v>
      </c>
      <c r="F853" s="2">
        <v>1994</v>
      </c>
      <c r="G853" s="1">
        <f>(6.2*5.9+10.6*10.4+12.5*11.7+16.8*14.9+5*4.9+16.8*12.9+10*9.9+10*7.9+16.8*22.1)*1.3</f>
        <v>1734.0570000000002</v>
      </c>
      <c r="H853" s="1">
        <v>1849</v>
      </c>
      <c r="J853" s="2">
        <v>2</v>
      </c>
      <c r="K853" s="2">
        <v>3</v>
      </c>
      <c r="L853" s="2">
        <v>2</v>
      </c>
      <c r="M853" s="2">
        <v>9</v>
      </c>
      <c r="N853" s="9" t="s">
        <v>1561</v>
      </c>
      <c r="O853" s="8">
        <v>749000</v>
      </c>
      <c r="P853" s="1">
        <f>(4196+4200)/12</f>
        <v>699.66666666666663</v>
      </c>
      <c r="R853" s="3">
        <v>3839</v>
      </c>
      <c r="S853" s="12">
        <f t="shared" si="39"/>
        <v>114.15332500000004</v>
      </c>
      <c r="T853" s="3">
        <f t="shared" si="40"/>
        <v>4652.8199916666672</v>
      </c>
      <c r="U853" s="8">
        <f t="shared" si="41"/>
        <v>1515845.9975000001</v>
      </c>
    </row>
    <row r="854" spans="1:21" ht="55.2" x14ac:dyDescent="0.3">
      <c r="A854" s="13">
        <v>45552</v>
      </c>
      <c r="B854" s="10" t="s">
        <v>1562</v>
      </c>
      <c r="C854" s="2" t="s">
        <v>4</v>
      </c>
      <c r="D854" s="2" t="s">
        <v>1338</v>
      </c>
      <c r="E854" s="2" t="s">
        <v>1734</v>
      </c>
      <c r="F854" s="2">
        <v>2004</v>
      </c>
      <c r="G854" s="1">
        <f>(5.6*5.3+12.6*8.8+11.8*9.1+13.3*14+4.8*5.5+11.5*16.1+13.9*9.5+14.4*8.3+26.9*21.9+4*11)*1.3</f>
        <v>1989.481</v>
      </c>
      <c r="H854" s="1">
        <v>3000</v>
      </c>
      <c r="J854" s="2">
        <v>3</v>
      </c>
      <c r="K854" s="2">
        <v>3</v>
      </c>
      <c r="L854" s="2">
        <v>2</v>
      </c>
      <c r="M854" s="2">
        <v>7</v>
      </c>
      <c r="N854" s="9" t="s">
        <v>1563</v>
      </c>
      <c r="O854" s="8">
        <v>759900</v>
      </c>
      <c r="P854" s="1">
        <f>4572/12</f>
        <v>381</v>
      </c>
      <c r="R854" s="3">
        <v>3906</v>
      </c>
      <c r="S854" s="12">
        <f t="shared" si="39"/>
        <v>129.05305833333335</v>
      </c>
      <c r="T854" s="3">
        <f t="shared" si="40"/>
        <v>4416.053058333333</v>
      </c>
      <c r="U854" s="8">
        <f t="shared" si="41"/>
        <v>1444815.9175</v>
      </c>
    </row>
    <row r="855" spans="1:21" ht="41.4" x14ac:dyDescent="0.3">
      <c r="A855" s="13">
        <v>45552</v>
      </c>
      <c r="B855" s="10" t="s">
        <v>1564</v>
      </c>
      <c r="C855" s="2" t="s">
        <v>4</v>
      </c>
      <c r="D855" s="2" t="s">
        <v>1338</v>
      </c>
      <c r="E855" s="2" t="s">
        <v>1734</v>
      </c>
      <c r="F855" s="2">
        <v>1952</v>
      </c>
      <c r="G855" s="1">
        <f>(13*11+13*11+10.9*10+19.5*10+13*10+20*19+16*12+8*5)*1.3</f>
        <v>1731.6000000000001</v>
      </c>
      <c r="H855" s="1">
        <v>3994</v>
      </c>
      <c r="J855" s="2">
        <v>2</v>
      </c>
      <c r="K855" s="2">
        <v>4</v>
      </c>
      <c r="L855" s="2">
        <v>2</v>
      </c>
      <c r="M855" s="2">
        <v>8</v>
      </c>
      <c r="N855" s="9" t="s">
        <v>1565</v>
      </c>
      <c r="O855" s="8">
        <v>778000</v>
      </c>
      <c r="P855" s="1">
        <f>4130/12</f>
        <v>344.16666666666669</v>
      </c>
      <c r="R855" s="3">
        <v>4016</v>
      </c>
      <c r="S855" s="12">
        <f t="shared" si="39"/>
        <v>114.01</v>
      </c>
      <c r="T855" s="3">
        <f t="shared" si="40"/>
        <v>4474.1766666666672</v>
      </c>
      <c r="U855" s="8">
        <f t="shared" si="41"/>
        <v>1462253.0000000002</v>
      </c>
    </row>
    <row r="856" spans="1:21" ht="27.6" x14ac:dyDescent="0.3">
      <c r="A856" s="13">
        <v>45552</v>
      </c>
      <c r="B856" s="10" t="s">
        <v>1566</v>
      </c>
      <c r="C856" s="2" t="s">
        <v>4</v>
      </c>
      <c r="D856" s="2" t="s">
        <v>1338</v>
      </c>
      <c r="E856" s="2" t="s">
        <v>1734</v>
      </c>
      <c r="F856" s="2">
        <v>1948</v>
      </c>
      <c r="G856" s="1">
        <f>(6.5*4.5+13.6*13.9+10.7*11+12.4*12+4.9*9.9+13.9*12.1+6.2*3.6+10.3*7.1+10.9*10.9+10.9*12+10.9*10.9)*1.3</f>
        <v>1514.9679999999998</v>
      </c>
      <c r="H856" s="1">
        <v>4275</v>
      </c>
      <c r="J856" s="2">
        <v>2</v>
      </c>
      <c r="K856" s="2">
        <v>4</v>
      </c>
      <c r="L856" s="2">
        <v>3</v>
      </c>
      <c r="M856" s="2">
        <v>11</v>
      </c>
      <c r="N856" s="9" t="s">
        <v>1567</v>
      </c>
      <c r="O856" s="8">
        <v>789000</v>
      </c>
      <c r="P856" s="1">
        <f>3742/12</f>
        <v>311.83333333333331</v>
      </c>
      <c r="R856" s="3">
        <v>4084</v>
      </c>
      <c r="S856" s="12">
        <f t="shared" si="39"/>
        <v>101.37313333333333</v>
      </c>
      <c r="T856" s="3">
        <f t="shared" si="40"/>
        <v>4497.2064666666665</v>
      </c>
      <c r="U856" s="8">
        <f t="shared" si="41"/>
        <v>1469161.94</v>
      </c>
    </row>
    <row r="857" spans="1:21" ht="27.6" x14ac:dyDescent="0.3">
      <c r="A857" s="13">
        <v>45552</v>
      </c>
      <c r="B857" s="10" t="s">
        <v>1568</v>
      </c>
      <c r="C857" s="2" t="s">
        <v>4</v>
      </c>
      <c r="D857" s="2" t="s">
        <v>1338</v>
      </c>
      <c r="E857" s="2" t="s">
        <v>1734</v>
      </c>
      <c r="F857" s="2">
        <v>1952</v>
      </c>
      <c r="G857" s="1">
        <f>(12.2*14.2+12.2*9.6+10*10.9+8.2*7+27.9*3.4+14.9*11.3+12.2*9.9+11.5*10+7.7*6.4+41.6*32.9)*1.3</f>
        <v>3085.797</v>
      </c>
      <c r="H857" s="1">
        <v>7976</v>
      </c>
      <c r="J857" s="2">
        <v>2</v>
      </c>
      <c r="K857" s="2">
        <v>3</v>
      </c>
      <c r="L857" s="2">
        <v>1</v>
      </c>
      <c r="M857" s="2">
        <v>10</v>
      </c>
      <c r="N857" s="9" t="s">
        <v>1569</v>
      </c>
      <c r="O857" s="8">
        <v>790000</v>
      </c>
      <c r="P857" s="1">
        <f>6268/12</f>
        <v>522.33333333333337</v>
      </c>
      <c r="R857" s="3">
        <v>4090</v>
      </c>
      <c r="S857" s="12">
        <f t="shared" si="39"/>
        <v>193.00482500000001</v>
      </c>
      <c r="T857" s="3">
        <f t="shared" si="40"/>
        <v>4805.338158333333</v>
      </c>
      <c r="U857" s="8">
        <f t="shared" si="41"/>
        <v>1561601.4475</v>
      </c>
    </row>
    <row r="858" spans="1:21" ht="27.6" x14ac:dyDescent="0.3">
      <c r="A858" s="13">
        <v>45552</v>
      </c>
      <c r="B858" s="10" t="s">
        <v>1570</v>
      </c>
      <c r="C858" s="2" t="s">
        <v>4</v>
      </c>
      <c r="D858" s="2" t="s">
        <v>1338</v>
      </c>
      <c r="E858" s="2" t="s">
        <v>1734</v>
      </c>
      <c r="F858" s="2">
        <v>1954</v>
      </c>
      <c r="G858" s="1">
        <f>(9.9*6.9+12.3*10+12.3*11+12.3*14.6+14.1*14.4+10*14.1+10.3*10.9+21.9*16.4+9.9*12+9.3*12.1+2.8*6+7.2*8.9+7.7*7+8.9*6)*1.3</f>
        <v>2263.5209999999997</v>
      </c>
      <c r="H858" s="1">
        <v>4750</v>
      </c>
      <c r="J858" s="2">
        <v>2</v>
      </c>
      <c r="K858" s="2">
        <v>4</v>
      </c>
      <c r="L858" s="2">
        <v>2</v>
      </c>
      <c r="M858" s="2">
        <v>14</v>
      </c>
      <c r="N858" s="9" t="s">
        <v>1571</v>
      </c>
      <c r="O858" s="8">
        <v>798000</v>
      </c>
      <c r="P858" s="1">
        <f>4416/12</f>
        <v>368</v>
      </c>
      <c r="R858" s="3">
        <v>4138</v>
      </c>
      <c r="S858" s="12">
        <f t="shared" si="39"/>
        <v>145.038725</v>
      </c>
      <c r="T858" s="3">
        <f t="shared" si="40"/>
        <v>4651.0387250000003</v>
      </c>
      <c r="U858" s="8">
        <f t="shared" si="41"/>
        <v>1515311.6175000002</v>
      </c>
    </row>
    <row r="859" spans="1:21" ht="41.4" x14ac:dyDescent="0.3">
      <c r="A859" s="13">
        <v>45552</v>
      </c>
      <c r="B859" s="10" t="s">
        <v>1572</v>
      </c>
      <c r="C859" s="2" t="s">
        <v>4</v>
      </c>
      <c r="D859" s="2" t="s">
        <v>1338</v>
      </c>
      <c r="E859" s="2" t="s">
        <v>1734</v>
      </c>
      <c r="F859" s="2">
        <v>1946</v>
      </c>
      <c r="G859" s="1">
        <f>(20.4*24.9+3.7*4.9+11.2*8.1+14.6*9.9+11.4*9.9+11.5*6.4+3.6*4.5+8.5*10.2+7.8*11.9+9.9*13.8+10.3*7.9)*1.3</f>
        <v>1769.9760000000001</v>
      </c>
      <c r="H859" s="1">
        <v>4425</v>
      </c>
      <c r="J859" s="2">
        <v>2</v>
      </c>
      <c r="K859" s="2">
        <v>4</v>
      </c>
      <c r="L859" s="2">
        <v>2</v>
      </c>
      <c r="M859" s="2">
        <v>11</v>
      </c>
      <c r="N859" s="9" t="s">
        <v>1573</v>
      </c>
      <c r="O859" s="8">
        <v>799000</v>
      </c>
      <c r="P859" s="1">
        <f>4281/12</f>
        <v>356.75</v>
      </c>
      <c r="R859" s="3">
        <v>4145</v>
      </c>
      <c r="S859" s="12">
        <f t="shared" si="39"/>
        <v>116.24860000000002</v>
      </c>
      <c r="T859" s="3">
        <f t="shared" si="40"/>
        <v>4617.9985999999999</v>
      </c>
      <c r="U859" s="8">
        <f t="shared" si="41"/>
        <v>1505399.58</v>
      </c>
    </row>
    <row r="860" spans="1:21" ht="41.4" x14ac:dyDescent="0.3">
      <c r="A860" s="13">
        <v>45552</v>
      </c>
      <c r="B860" s="10" t="s">
        <v>1574</v>
      </c>
      <c r="C860" s="2" t="s">
        <v>4</v>
      </c>
      <c r="D860" s="2" t="s">
        <v>1338</v>
      </c>
      <c r="E860" s="2" t="s">
        <v>1734</v>
      </c>
      <c r="F860" s="2">
        <v>1961</v>
      </c>
      <c r="G860" s="1">
        <f>(25*11+14.9*11.6+11.3*14.9+10.8*8.9+11*11+24.2*3.4+4.5*4.6+24.4*10.8+10.7*9+6.9*11.9+20*7+3.9*3.9)*1.3</f>
        <v>1993.4849999999999</v>
      </c>
      <c r="H860" s="1">
        <v>4320</v>
      </c>
      <c r="J860" s="2">
        <v>3</v>
      </c>
      <c r="K860" s="2">
        <v>4</v>
      </c>
      <c r="L860" s="2">
        <v>2</v>
      </c>
      <c r="M860" s="2">
        <v>12</v>
      </c>
      <c r="N860" s="9" t="s">
        <v>1575</v>
      </c>
      <c r="O860" s="8">
        <v>799000</v>
      </c>
      <c r="P860" s="1">
        <f>4404/12</f>
        <v>367</v>
      </c>
      <c r="R860" s="3">
        <v>4145</v>
      </c>
      <c r="S860" s="12">
        <f t="shared" si="39"/>
        <v>129.28662500000002</v>
      </c>
      <c r="T860" s="3">
        <f t="shared" si="40"/>
        <v>4641.2866249999997</v>
      </c>
      <c r="U860" s="8">
        <f t="shared" si="41"/>
        <v>1512385.9874999998</v>
      </c>
    </row>
    <row r="861" spans="1:21" ht="41.4" x14ac:dyDescent="0.3">
      <c r="A861" s="13">
        <v>45552</v>
      </c>
      <c r="B861" s="10" t="s">
        <v>1576</v>
      </c>
      <c r="C861" s="2" t="s">
        <v>4</v>
      </c>
      <c r="D861" s="2" t="s">
        <v>1338</v>
      </c>
      <c r="E861" s="2" t="s">
        <v>1734</v>
      </c>
      <c r="F861" s="2">
        <v>2007</v>
      </c>
      <c r="G861" s="1">
        <f>(13*9.2+13.6*12.3+13.6*8.8+15*11.6+15*9.7+10.6*8.4+26*21)*1.3</f>
        <v>1769.4299999999998</v>
      </c>
      <c r="H861" s="1">
        <v>2180</v>
      </c>
      <c r="J861" s="2">
        <v>3</v>
      </c>
      <c r="K861" s="2">
        <v>3</v>
      </c>
      <c r="L861" s="2">
        <v>2</v>
      </c>
      <c r="M861" s="2">
        <v>7</v>
      </c>
      <c r="N861" s="9" t="s">
        <v>1577</v>
      </c>
      <c r="O861" s="8">
        <v>828000</v>
      </c>
      <c r="P861" s="1">
        <f>4968/12</f>
        <v>414</v>
      </c>
      <c r="R861" s="3">
        <v>4322</v>
      </c>
      <c r="S861" s="12">
        <f t="shared" si="39"/>
        <v>116.21675</v>
      </c>
      <c r="T861" s="3">
        <f t="shared" si="40"/>
        <v>4852.2167499999996</v>
      </c>
      <c r="U861" s="8">
        <f t="shared" si="41"/>
        <v>1575665.0249999999</v>
      </c>
    </row>
    <row r="862" spans="1:21" ht="14.4" x14ac:dyDescent="0.3"/>
    <row r="863" spans="1:21" ht="14.4" x14ac:dyDescent="0.3"/>
    <row r="864" spans="1:21" ht="14.4" x14ac:dyDescent="0.3"/>
    <row r="865" ht="14.4" x14ac:dyDescent="0.3"/>
    <row r="866" ht="14.4" x14ac:dyDescent="0.3"/>
  </sheetData>
  <autoFilter ref="A1:U861" xr:uid="{00000000-0009-0000-0000-000008000000}"/>
  <hyperlinks>
    <hyperlink ref="N2" r:id="rId1" xr:uid="{BD4B613D-6308-4817-B3DA-D83B8DEB423C}"/>
    <hyperlink ref="N3" r:id="rId2" xr:uid="{6930A846-FA0F-4220-97BF-6F3FD062F2D3}"/>
    <hyperlink ref="N4" r:id="rId3" xr:uid="{D9A6FC8C-669D-4A3A-AA85-741558202A10}"/>
    <hyperlink ref="N5" r:id="rId4" xr:uid="{1A5F3A6F-984D-4C90-95AA-80564DF2372B}"/>
    <hyperlink ref="N6" r:id="rId5" xr:uid="{DD5AF843-95F0-4863-933C-53F1F5087561}"/>
    <hyperlink ref="N7" r:id="rId6" xr:uid="{1EB84315-6D5C-4C34-92C4-F966C2855532}"/>
    <hyperlink ref="N8" r:id="rId7" xr:uid="{EF78620A-CC4A-477D-85D1-C1761FF8C465}"/>
    <hyperlink ref="N9" r:id="rId8" xr:uid="{7820A214-47FA-4A2A-B4DF-8EFAA2F01B94}"/>
    <hyperlink ref="N10" r:id="rId9" xr:uid="{20243E5D-5466-49EB-9834-9188B9DF86FD}"/>
    <hyperlink ref="N11" r:id="rId10" xr:uid="{FFBBD6E5-0779-4231-9980-93195B85DF23}"/>
    <hyperlink ref="N12" r:id="rId11" xr:uid="{5D28AA0F-E8AC-4D62-9D82-DCCC8E9A0FB2}"/>
    <hyperlink ref="N13" r:id="rId12" xr:uid="{593ACF15-BBDF-489E-9926-851BA74FE24D}"/>
    <hyperlink ref="N14" r:id="rId13" xr:uid="{08361BC6-7C37-43AF-B299-653749475BD3}"/>
    <hyperlink ref="N15" r:id="rId14" xr:uid="{429E647A-BA66-4A63-B761-A0FB69917930}"/>
    <hyperlink ref="N16" r:id="rId15" xr:uid="{14043841-DFEE-420C-A91D-4E8F52DC1AC5}"/>
    <hyperlink ref="N17" r:id="rId16" xr:uid="{70CA43A5-4491-406F-B3A8-D30FDA4010D2}"/>
    <hyperlink ref="N18" r:id="rId17" xr:uid="{AA197F54-D359-4C9D-84C9-30A9112232BB}"/>
    <hyperlink ref="N19" r:id="rId18" xr:uid="{60F23B09-A369-48D6-9035-6166BB47D46E}"/>
    <hyperlink ref="N20" r:id="rId19" xr:uid="{F6E8FEFC-725B-4036-A345-83FF7FBFC1C0}"/>
    <hyperlink ref="N21" r:id="rId20" xr:uid="{6874E97B-3425-4BC8-AF2D-DEE8E30555EF}"/>
    <hyperlink ref="N22" r:id="rId21" xr:uid="{A3D92037-FA98-45AE-932E-65A2EB47DFF0}"/>
    <hyperlink ref="N23" r:id="rId22" xr:uid="{4020323B-105B-4799-9F06-426ADFF3D877}"/>
    <hyperlink ref="N24" r:id="rId23" xr:uid="{8ACE5A11-87B0-4E17-8F8C-25D78B43BB2F}"/>
    <hyperlink ref="N25" r:id="rId24" xr:uid="{F66FF631-2D1C-48F1-875C-40AAC1729CCB}"/>
    <hyperlink ref="N26" r:id="rId25" xr:uid="{87D2FEA5-6B52-4737-9A43-1C032B68D335}"/>
    <hyperlink ref="N27" r:id="rId26" xr:uid="{7C677B5B-EB4C-48BE-AF6D-339FF909067D}"/>
    <hyperlink ref="N28" r:id="rId27" xr:uid="{84BA090B-C3C3-4F12-8132-51506CD6B6CE}"/>
    <hyperlink ref="N29" r:id="rId28" xr:uid="{B4636E98-F705-4392-93A3-FC910A08CBD6}"/>
    <hyperlink ref="N30" r:id="rId29" xr:uid="{D813A2F2-848D-4AFD-8CFB-1EF309BBB07D}"/>
    <hyperlink ref="N31" r:id="rId30" xr:uid="{40D44803-E726-4F19-A84A-79B9B49B369A}"/>
    <hyperlink ref="N32" r:id="rId31" xr:uid="{BEBE4FFA-E1ED-442B-A75B-BCE37A3CD073}"/>
    <hyperlink ref="N33" r:id="rId32" xr:uid="{063D313E-DF7E-4C98-9AE5-0D782D918CCC}"/>
    <hyperlink ref="N34" r:id="rId33" xr:uid="{F517DE96-7F1F-4763-A08F-EC242DA82BBA}"/>
    <hyperlink ref="N35" r:id="rId34" xr:uid="{03DD112E-DB08-48F9-A3BD-875D5FC373A2}"/>
    <hyperlink ref="N36" r:id="rId35" xr:uid="{4D45B747-3C6B-4C7C-B4D1-B346B174A1E2}"/>
    <hyperlink ref="N37" r:id="rId36" xr:uid="{6C9DC2A4-A426-404A-B99A-26795D7EC733}"/>
    <hyperlink ref="N38" r:id="rId37" xr:uid="{64E10CBB-16ED-4D8E-8B13-BFAC3B854B07}"/>
    <hyperlink ref="N39" r:id="rId38" xr:uid="{F2516F07-D267-40DB-AAB4-6475765AB6D3}"/>
    <hyperlink ref="N40" r:id="rId39" xr:uid="{4424BA06-E2BE-4A75-AC23-5C2D1785EF87}"/>
    <hyperlink ref="N41" r:id="rId40" xr:uid="{4EA736EF-7AB9-4065-A622-825F691FE2C3}"/>
    <hyperlink ref="N42" r:id="rId41" xr:uid="{EE053B53-783C-41E0-B3E6-AAC636110795}"/>
    <hyperlink ref="N43" r:id="rId42" xr:uid="{C39A0136-3D96-444F-9413-0F6099D84407}"/>
    <hyperlink ref="N44" r:id="rId43" xr:uid="{AFE44B63-B07B-44D5-AB2D-CC0E92DA5145}"/>
    <hyperlink ref="N45" r:id="rId44" xr:uid="{DF28F4FD-3BBB-424E-8369-F7DAE16C7CDF}"/>
    <hyperlink ref="N46" r:id="rId45" xr:uid="{FA376ABB-9C7D-46E7-BA1E-D952E99E4D89}"/>
    <hyperlink ref="N47" r:id="rId46" xr:uid="{16BF0EF7-7863-42F6-8B34-8D87B5391669}"/>
    <hyperlink ref="N48" r:id="rId47" xr:uid="{CD6B27D0-D7AB-4605-91A4-90956B8AEC4D}"/>
    <hyperlink ref="N49" r:id="rId48" xr:uid="{5F4A57F5-81C0-4B2B-B89D-00D294D63C87}"/>
    <hyperlink ref="N50" r:id="rId49" xr:uid="{2CE16671-C541-4DC3-A3B1-2612CDAA4856}"/>
    <hyperlink ref="N51" r:id="rId50" xr:uid="{DBF3455C-9FB3-4CDD-9D9F-A85F96910C47}"/>
    <hyperlink ref="N52" r:id="rId51" xr:uid="{C692C1A9-07D1-4B1E-9592-E086DB0783A5}"/>
    <hyperlink ref="N53" r:id="rId52" xr:uid="{D60FD356-8F8A-4009-8816-1008A5771AA4}"/>
    <hyperlink ref="N54" r:id="rId53" xr:uid="{C0A5E4B2-6A66-44BA-8BA4-DB0A850D68C0}"/>
    <hyperlink ref="N55" r:id="rId54" xr:uid="{EFBA12A0-7BF1-4B6D-8A29-7B76D9C9D888}"/>
    <hyperlink ref="N56" r:id="rId55" xr:uid="{A84718BC-0567-4F29-BAE7-1A747335A02D}"/>
    <hyperlink ref="N57" r:id="rId56" xr:uid="{E0AD634E-6C47-40C5-9D55-930F3FE19046}"/>
    <hyperlink ref="N58" r:id="rId57" xr:uid="{1D7BB2DA-62BB-4920-8720-82CCE38CE759}"/>
    <hyperlink ref="N59" r:id="rId58" xr:uid="{DE7F6B70-D144-495D-B30B-0A94912B0DB4}"/>
    <hyperlink ref="N60" r:id="rId59" xr:uid="{E61F9F39-398B-4452-A66D-78B09255E109}"/>
    <hyperlink ref="N61" r:id="rId60" xr:uid="{89728DD0-D921-43FF-9DDC-DB1641DC61B1}"/>
    <hyperlink ref="N62" r:id="rId61" xr:uid="{1B915A76-3138-4FF1-823A-C0B43A9B610F}"/>
    <hyperlink ref="N63" r:id="rId62" xr:uid="{5ECB44C0-8D6C-4D52-B6D8-2DCBED0AE2A2}"/>
    <hyperlink ref="N64" r:id="rId63" xr:uid="{4580AA43-073B-4CEA-B928-595288562BF1}"/>
    <hyperlink ref="N65" r:id="rId64" xr:uid="{05E18A24-E267-4D03-9385-E1B5610A0456}"/>
    <hyperlink ref="N66" r:id="rId65" xr:uid="{576E7B13-1700-4E0D-9392-E59E54E902AA}"/>
    <hyperlink ref="N67" r:id="rId66" xr:uid="{6FD9C8C2-B7E4-4D93-A9E2-C2A5CADD2B3B}"/>
    <hyperlink ref="N68" r:id="rId67" xr:uid="{61CEF8E1-DD5F-4362-9366-B72A8071F996}"/>
    <hyperlink ref="N69" r:id="rId68" xr:uid="{6DC7C3EC-0B09-4497-B499-6FF2DFFCAEA7}"/>
    <hyperlink ref="N70" r:id="rId69" xr:uid="{ACE9513E-F3EE-40DF-9070-993E250F8A6B}"/>
    <hyperlink ref="N71" r:id="rId70" xr:uid="{7723054A-AD88-4652-9E38-7CFCA485185A}"/>
    <hyperlink ref="N72" r:id="rId71" xr:uid="{FF77C6A7-D52C-4CA9-B235-5D961E438694}"/>
    <hyperlink ref="N73" r:id="rId72" xr:uid="{B96A53EA-1E91-43F8-A4FA-4C00F20031C4}"/>
    <hyperlink ref="N74" r:id="rId73" xr:uid="{30BCDBDB-61E5-4509-B05B-9D92F20A4468}"/>
    <hyperlink ref="N75" r:id="rId74" xr:uid="{BCA14CF3-90C5-44ED-9CE6-6623F6A9EF89}"/>
    <hyperlink ref="N76" r:id="rId75" xr:uid="{15555F26-0DD1-4C05-8438-727AE442F2F8}"/>
    <hyperlink ref="N77" r:id="rId76" xr:uid="{E0BE4823-60A8-4D70-A6EF-B46416F156FC}"/>
    <hyperlink ref="N78" r:id="rId77" xr:uid="{2360673B-F363-4A1D-8244-AD0224D35D4C}"/>
    <hyperlink ref="N79" r:id="rId78" xr:uid="{DC1B8477-AF8B-4FF7-AAF1-39308F0622E7}"/>
    <hyperlink ref="N80" r:id="rId79" xr:uid="{C1E23B5C-239F-4B90-90B4-64B77E4F2FBC}"/>
    <hyperlink ref="N81" r:id="rId80" xr:uid="{82A667A1-485E-4C23-B843-C9C2C88452BA}"/>
    <hyperlink ref="N82" r:id="rId81" xr:uid="{B62FF707-9BE2-49F2-8C5C-E1AE8949C418}"/>
    <hyperlink ref="N83" r:id="rId82" xr:uid="{AB821153-ECC7-4B07-A5F8-EB9F56E02D85}"/>
    <hyperlink ref="N84" r:id="rId83" xr:uid="{D7A31C99-8CA3-4593-B09B-C2932784F85D}"/>
    <hyperlink ref="N85" r:id="rId84" xr:uid="{7857EC49-256F-4D4B-9491-13C7235C82AB}"/>
    <hyperlink ref="N86" r:id="rId85" xr:uid="{E925E3AF-ECB0-4482-B8B6-CDE9C7117B3F}"/>
    <hyperlink ref="N87" r:id="rId86" xr:uid="{73F7A121-3ABA-4B9D-92DA-188538F52236}"/>
    <hyperlink ref="N88" r:id="rId87" xr:uid="{1AD54C99-9D4B-4844-8A60-06799640C5E6}"/>
    <hyperlink ref="N89" r:id="rId88" xr:uid="{2C508CCE-5B78-4372-BACD-B01996E1F12B}"/>
    <hyperlink ref="N90" r:id="rId89" xr:uid="{A0FA0ED2-9EA3-4BB8-8869-4D6FC2EFFE59}"/>
    <hyperlink ref="N91" r:id="rId90" xr:uid="{F8600378-FD28-46B9-8195-F293142186BB}"/>
    <hyperlink ref="N92" r:id="rId91" xr:uid="{57627C8F-DB87-485B-938C-CA9DC8CD505E}"/>
    <hyperlink ref="N93" r:id="rId92" xr:uid="{38C53C35-34F6-45D9-84F1-988E566D9983}"/>
    <hyperlink ref="N94" r:id="rId93" xr:uid="{6F771EA0-4AFF-4F65-98E5-B401B6124C0F}"/>
    <hyperlink ref="N95" r:id="rId94" xr:uid="{3EAAAC4F-B76A-427C-92AE-1E8E3F1CF8C8}"/>
    <hyperlink ref="N96" r:id="rId95" xr:uid="{C5377339-D8F5-40AD-BD6D-BD5973DF22F3}"/>
    <hyperlink ref="N97" r:id="rId96" xr:uid="{F9901015-3BAE-4D20-8C3E-C903174B39B0}"/>
    <hyperlink ref="N98" r:id="rId97" xr:uid="{0072219B-BEA5-4B12-A3BC-23E19FB97EBC}"/>
    <hyperlink ref="N99" r:id="rId98" xr:uid="{F64624BC-EFD8-47A7-8299-BFE707C0D1F3}"/>
    <hyperlink ref="N100" r:id="rId99" xr:uid="{51D96423-C296-4104-AAD1-D0B57209A8E5}"/>
    <hyperlink ref="N101" r:id="rId100" xr:uid="{EAAD489C-F426-4A98-936C-300177B0EBBF}"/>
    <hyperlink ref="N102" r:id="rId101" xr:uid="{886B53AD-B7A8-4046-A351-69DB0E9FB43C}"/>
    <hyperlink ref="N103" r:id="rId102" xr:uid="{5263F068-2004-4DDF-B0ED-FF59A5994B26}"/>
    <hyperlink ref="N104" r:id="rId103" xr:uid="{95747EF2-E047-4B09-B208-3D4DCC556BB7}"/>
    <hyperlink ref="N105" r:id="rId104" xr:uid="{DA595620-969C-488B-A296-CC88DEA2AA0E}"/>
    <hyperlink ref="N106" r:id="rId105" xr:uid="{7A3DEDC8-713E-4323-B89B-B6A0804D50E1}"/>
    <hyperlink ref="N107" r:id="rId106" xr:uid="{A1C5B56E-B232-4829-99DF-5523F10BEBFA}"/>
    <hyperlink ref="N109" r:id="rId107" xr:uid="{E726C44A-4BBF-4FBD-B911-7DFFC1319E99}"/>
    <hyperlink ref="N110" r:id="rId108" xr:uid="{21C314BE-A3F2-4A7A-B31D-58EF4E0552A9}"/>
    <hyperlink ref="N111" r:id="rId109" xr:uid="{FE29247A-1754-4FE8-8755-2D1E836C35D2}"/>
    <hyperlink ref="N112" r:id="rId110" xr:uid="{A1FDED7D-AF73-4478-88D5-F1B77F87551E}"/>
    <hyperlink ref="N113" r:id="rId111" xr:uid="{9C7FBD93-8E09-4556-8CFA-9AA765479C09}"/>
    <hyperlink ref="N114" r:id="rId112" xr:uid="{F28435F3-44D0-4300-BF88-B71AF22B8223}"/>
    <hyperlink ref="N115" r:id="rId113" xr:uid="{D68EC56B-EBD3-4D18-A555-614E84A60294}"/>
    <hyperlink ref="N116" r:id="rId114" xr:uid="{B844353A-F271-4249-85A9-4A70356B2D2E}"/>
    <hyperlink ref="N117" r:id="rId115" xr:uid="{4E9450CF-86F6-4CE7-9DE9-B8C94DF75548}"/>
    <hyperlink ref="N118" r:id="rId116" xr:uid="{3BC4EC1A-7E2C-4550-9A58-17795F513A1C}"/>
    <hyperlink ref="N119" r:id="rId117" xr:uid="{41F04DC0-0824-4560-B82C-EFCDDC8C459A}"/>
    <hyperlink ref="N120" r:id="rId118" xr:uid="{E20AB8FA-85AC-4B3C-956A-BDDF3D4863D1}"/>
    <hyperlink ref="N121" r:id="rId119" xr:uid="{1A1E03E5-F81F-433D-BDD4-666738871E2F}"/>
    <hyperlink ref="N122" r:id="rId120" xr:uid="{963E7379-36ED-4126-BD2C-BB9C7BA9D576}"/>
    <hyperlink ref="N123" r:id="rId121" xr:uid="{08F44421-D511-4B46-B5B6-FA7699526BFC}"/>
    <hyperlink ref="N124" r:id="rId122" xr:uid="{E292DE05-43AF-42BE-BA73-0F456ECCD635}"/>
    <hyperlink ref="N125" r:id="rId123" xr:uid="{7044B479-D9C8-44B8-B77F-0A4C528A1875}"/>
    <hyperlink ref="N126" r:id="rId124" xr:uid="{78620C78-CBC3-4429-BDEB-276E5F788808}"/>
    <hyperlink ref="N127" r:id="rId125" xr:uid="{224370EE-130D-4956-AB0B-10830C861A6B}"/>
    <hyperlink ref="N128" r:id="rId126" xr:uid="{C3A7B3AC-911D-4FD5-86D6-E6DA094C6713}"/>
    <hyperlink ref="N129" r:id="rId127" xr:uid="{348B8F89-C585-4DA0-9FCB-2CFECA3CF998}"/>
    <hyperlink ref="N130" r:id="rId128" xr:uid="{636A848C-B9AC-4CDD-9051-BCC85832F062}"/>
    <hyperlink ref="N131" r:id="rId129" xr:uid="{3E085B38-48DC-40A5-8C82-9A4312FDACC8}"/>
    <hyperlink ref="N132" r:id="rId130" xr:uid="{C2EE52E9-99E5-402A-95E9-2918FE9871FB}"/>
    <hyperlink ref="N133" r:id="rId131" xr:uid="{C4059124-1B26-41FC-A914-16EA454A829F}"/>
    <hyperlink ref="N134" r:id="rId132" xr:uid="{D91B7DC9-6B17-4F64-A510-B398AF094ACD}"/>
    <hyperlink ref="N135" r:id="rId133" xr:uid="{4652D784-74B8-44EE-8BEF-197DEE648D88}"/>
    <hyperlink ref="N136" r:id="rId134" xr:uid="{879E3624-B3B6-4D12-8D5E-F53DF683BB6C}"/>
    <hyperlink ref="N137" r:id="rId135" xr:uid="{6384CA0F-5131-449B-BC66-905018191F15}"/>
    <hyperlink ref="N138" r:id="rId136" xr:uid="{A4971ED1-8651-4A6B-9FFD-38F49734CA24}"/>
    <hyperlink ref="N139" r:id="rId137" xr:uid="{0DD1D321-4CF4-4EC8-ACD7-82AAA5D11F9F}"/>
    <hyperlink ref="N140" r:id="rId138" xr:uid="{17B4CF36-2C7B-40C3-B8B2-EFF1D5949ACD}"/>
    <hyperlink ref="N141" r:id="rId139" xr:uid="{5B8EDE07-0985-4566-BFF4-839B06C63402}"/>
    <hyperlink ref="N142" r:id="rId140" xr:uid="{4C50C8A7-B43E-47C6-B035-0734A582B3E0}"/>
    <hyperlink ref="N143" r:id="rId141" xr:uid="{6D3A9469-BBFE-4751-BD8E-9039894BCD62}"/>
    <hyperlink ref="N144" r:id="rId142" xr:uid="{D4DF98A9-D1F6-476D-BD6A-D9A611EC321A}"/>
    <hyperlink ref="N145" r:id="rId143" xr:uid="{995B46CD-2514-4FDA-883B-F65824163ECF}"/>
    <hyperlink ref="N146" r:id="rId144" xr:uid="{DFD138A9-769A-458D-B04C-DD7B2952B0A6}"/>
    <hyperlink ref="N147" r:id="rId145" xr:uid="{643E84C1-098E-426B-8B95-E5F46A81C111}"/>
    <hyperlink ref="N148" r:id="rId146" xr:uid="{281267D9-B14C-4210-B600-BE60BD55900C}"/>
    <hyperlink ref="N149" r:id="rId147" xr:uid="{D48B3372-7508-46F4-9745-BAB8CECE6916}"/>
    <hyperlink ref="N150" r:id="rId148" xr:uid="{743FEE2E-EC24-4767-87E6-59AB941FA12C}"/>
    <hyperlink ref="N151" r:id="rId149" xr:uid="{88A1D293-F6D4-4621-BC95-C7B95F24BAF1}"/>
    <hyperlink ref="N152" r:id="rId150" xr:uid="{C17A6A16-D79B-415A-8091-6B2C23C18D7A}"/>
    <hyperlink ref="N153" r:id="rId151" xr:uid="{7514DD72-921A-4E88-845F-F83B0D9732DD}"/>
    <hyperlink ref="N154" r:id="rId152" xr:uid="{60C6A760-DCEB-4CAA-8D22-D3BDE5E70306}"/>
    <hyperlink ref="N155" r:id="rId153" xr:uid="{46CAAB5C-EA73-472C-AB28-DCA9DA792EB9}"/>
    <hyperlink ref="N156" r:id="rId154" xr:uid="{C358138E-F2D9-4D74-A4E6-DEEB3F3CBBD1}"/>
    <hyperlink ref="N157" r:id="rId155" xr:uid="{A804FF90-4B25-4E73-9C07-A9E4F2AEBA78}"/>
    <hyperlink ref="N158" r:id="rId156" xr:uid="{65555387-7F3E-4400-BF60-BF893F304BFE}"/>
    <hyperlink ref="N159" r:id="rId157" xr:uid="{18AC5408-A681-4930-9948-53270279B554}"/>
    <hyperlink ref="N160" r:id="rId158" xr:uid="{D05F31D7-1F57-435E-AC91-DCDF1A5D522F}"/>
    <hyperlink ref="N161" r:id="rId159" xr:uid="{70EE8C41-213E-4A43-AED1-DDD06A75F57E}"/>
    <hyperlink ref="N162" r:id="rId160" xr:uid="{57EBDC0A-9715-4E7A-BC2B-990B21E1070E}"/>
    <hyperlink ref="N163" r:id="rId161" xr:uid="{96B351BE-6502-4E96-9255-6ECF0F3AEB98}"/>
    <hyperlink ref="N164" r:id="rId162" xr:uid="{3148272C-3E29-43E3-946D-A9BB98D64B5C}"/>
    <hyperlink ref="N165" r:id="rId163" xr:uid="{55E0DCE8-5433-4DEA-9281-41263210D842}"/>
    <hyperlink ref="N166" r:id="rId164" xr:uid="{D8F3C7C4-3A9C-4ED8-B1C9-765018609582}"/>
    <hyperlink ref="N167" r:id="rId165" xr:uid="{44D5245C-2D1B-436C-8201-B43B91F876E1}"/>
    <hyperlink ref="N168" r:id="rId166" xr:uid="{CB2F1033-1EA8-4417-8F00-7D7BDEACF70E}"/>
    <hyperlink ref="N169" r:id="rId167" xr:uid="{D05F0676-0EAA-47B1-9BAA-80A8D42A2855}"/>
    <hyperlink ref="N170" r:id="rId168" xr:uid="{59EA324B-DB91-41F2-8DF2-D32E6D3DFBB5}"/>
    <hyperlink ref="N171" r:id="rId169" xr:uid="{D178CB98-7AF9-4813-851A-CEBE57B2C2BD}"/>
    <hyperlink ref="N172" r:id="rId170" xr:uid="{6C4786FC-ADDC-4168-A272-288D9D6BA2CD}"/>
    <hyperlink ref="N173" r:id="rId171" xr:uid="{6EC75308-9209-44A9-8649-6F631506AD11}"/>
    <hyperlink ref="N174" r:id="rId172" xr:uid="{85E3006F-BA67-4E5E-8013-F9F63269FF0F}"/>
    <hyperlink ref="N175" r:id="rId173" xr:uid="{F1D1DF91-72B2-42B4-AA3B-0614F57B3844}"/>
    <hyperlink ref="N176" r:id="rId174" xr:uid="{074BF1EB-22AB-4940-BFCF-6D6C14C4B2DD}"/>
    <hyperlink ref="N177" r:id="rId175" xr:uid="{31501B40-91D9-42A8-8E1A-E58F6154143F}"/>
    <hyperlink ref="N178" r:id="rId176" xr:uid="{C37B47AE-75A6-47CE-8C44-895157B8A186}"/>
    <hyperlink ref="N179" r:id="rId177" xr:uid="{5CDA9805-A66C-4DFE-B297-160D7DA6C9A9}"/>
    <hyperlink ref="N180" r:id="rId178" xr:uid="{6352601A-756E-4A62-B675-F1549810E868}"/>
    <hyperlink ref="N181" r:id="rId179" xr:uid="{87C78A72-0D22-4AE4-A8AF-796D5F97BE54}"/>
    <hyperlink ref="N182" r:id="rId180" xr:uid="{E7B9652C-5C7F-4A9E-85BE-57BDC32B1FEF}"/>
    <hyperlink ref="N183" r:id="rId181" xr:uid="{1B279562-AF30-47EC-9AF8-0C7DEC15F44F}"/>
    <hyperlink ref="N184" r:id="rId182" xr:uid="{02FE0F9A-B661-4B1E-815D-B2D77D679ECC}"/>
    <hyperlink ref="N185" r:id="rId183" xr:uid="{89B6F164-45E2-422C-953F-6DC38010D4A3}"/>
    <hyperlink ref="N186" r:id="rId184" xr:uid="{9EA7F752-64E4-4F20-AF4E-567CBE4880C4}"/>
    <hyperlink ref="N187" r:id="rId185" xr:uid="{B082FCF1-DB05-4B9E-885F-BCFB29FC2208}"/>
    <hyperlink ref="N188" r:id="rId186" xr:uid="{B18A789A-CAD4-41EB-8AA5-FA524F5137C6}"/>
    <hyperlink ref="N189" r:id="rId187" xr:uid="{98C20889-9E1E-436C-97DE-643E1814D7BC}"/>
    <hyperlink ref="N190" r:id="rId188" xr:uid="{2502498B-CC4C-47A8-A45B-D5BCD18F3A92}"/>
    <hyperlink ref="N191" r:id="rId189" xr:uid="{1864C592-EB77-418B-B923-547F3952F193}"/>
    <hyperlink ref="N192" r:id="rId190" xr:uid="{932A4DC6-7A33-4125-AA70-F8D2766139F1}"/>
    <hyperlink ref="N193" r:id="rId191" xr:uid="{4FF18315-17A2-47C5-B96E-7F12699C5086}"/>
    <hyperlink ref="N194" r:id="rId192" xr:uid="{D905A85C-899C-408F-BF2C-7BF3DE39B3D2}"/>
    <hyperlink ref="N195" r:id="rId193" xr:uid="{A059ED91-ABB4-4389-9DB7-96AC516D9583}"/>
    <hyperlink ref="N196" r:id="rId194" xr:uid="{210668C6-594D-4D82-866B-2C865D9A6808}"/>
    <hyperlink ref="N197" r:id="rId195" xr:uid="{849CB19D-330E-47AA-9BA1-92FB7C5B8F7E}"/>
    <hyperlink ref="N198" r:id="rId196" xr:uid="{C09DB039-907C-41FE-8CE4-7886A98C1615}"/>
    <hyperlink ref="N199" r:id="rId197" xr:uid="{622DADD8-C5FC-40F5-B803-5692876E5684}"/>
    <hyperlink ref="N200" r:id="rId198" xr:uid="{16759047-1EE8-4AAA-87EE-5BC9FA3C10CC}"/>
    <hyperlink ref="N201" r:id="rId199" xr:uid="{4876F3FF-6AFA-4974-83F2-DB83C0E89296}"/>
    <hyperlink ref="N202" r:id="rId200" xr:uid="{44DC1B7A-D3DA-4B8C-A8E6-FEDFC8A798F2}"/>
    <hyperlink ref="N203" r:id="rId201" xr:uid="{1D67E9B4-670F-46F1-B361-DB52049C7AF5}"/>
    <hyperlink ref="N204" r:id="rId202" xr:uid="{1AA505DF-20BD-4FBC-A68F-9E9EB639827B}"/>
    <hyperlink ref="N205" r:id="rId203" xr:uid="{1FD511FB-F5AF-4574-B30E-06B5A4AC6531}"/>
    <hyperlink ref="N206" r:id="rId204" xr:uid="{4B8303C3-C003-4ABF-9B5B-539EBE24D31F}"/>
    <hyperlink ref="N207" r:id="rId205" xr:uid="{E49D5CA6-E8A7-4886-AF77-1C0955BDF83A}"/>
    <hyperlink ref="N208" r:id="rId206" xr:uid="{C01F9F82-2D54-4F48-A1D8-F361CB2E78D5}"/>
    <hyperlink ref="N209" r:id="rId207" xr:uid="{DE84D2A0-7181-4CA7-B429-8D8B454900F2}"/>
    <hyperlink ref="N210" r:id="rId208" xr:uid="{90F05A1E-2067-497B-9C7D-56E77F6E5914}"/>
    <hyperlink ref="N211" r:id="rId209" xr:uid="{1DEDB4C1-68A2-439A-8DE5-822D6CD21212}"/>
    <hyperlink ref="N212" r:id="rId210" xr:uid="{60CB8F19-1495-4CD7-8F05-2A92323C7BAF}"/>
    <hyperlink ref="N213" r:id="rId211" xr:uid="{2CDE95EF-408E-428B-B3CB-D55DFFA873AD}"/>
    <hyperlink ref="N214" r:id="rId212" xr:uid="{E6783D0C-75D7-4240-A9B4-6B66DE4ACE84}"/>
    <hyperlink ref="N215" r:id="rId213" xr:uid="{2513EB6E-340A-4B36-AD05-30CC9F4B8B27}"/>
    <hyperlink ref="N216" r:id="rId214" xr:uid="{882256D9-2BE1-4F9D-A9A5-31406A5AB5C2}"/>
    <hyperlink ref="N217" r:id="rId215" xr:uid="{188A491E-663A-4B39-807E-AEA0D216741B}"/>
    <hyperlink ref="N218" r:id="rId216" xr:uid="{BFFB9C08-B65B-44EC-8B60-25D151EAD5CF}"/>
    <hyperlink ref="N219" r:id="rId217" xr:uid="{08A7EE6A-3ADF-43CC-A5E1-61801C45C0CA}"/>
    <hyperlink ref="N220" r:id="rId218" xr:uid="{14F3DB71-50BF-46F7-B002-A172EDA8F723}"/>
    <hyperlink ref="N221" r:id="rId219" xr:uid="{45A79EAA-366E-4FC0-A08D-2E86B3146064}"/>
    <hyperlink ref="N222" r:id="rId220" xr:uid="{B91E14A1-539B-47CF-B993-3419D96ABB78}"/>
    <hyperlink ref="N223" r:id="rId221" xr:uid="{56B9CF8B-3F37-4FF8-8B8C-F6457A45CACC}"/>
    <hyperlink ref="N224" r:id="rId222" xr:uid="{2E75F9DA-3CAC-46B3-82CE-C9453E9D53E1}"/>
    <hyperlink ref="N225" r:id="rId223" xr:uid="{64B46D27-D229-4824-B272-2C7C84AA6854}"/>
    <hyperlink ref="N226" r:id="rId224" xr:uid="{389EDD2E-E9F1-460E-9315-333EE13152DC}"/>
    <hyperlink ref="N227" r:id="rId225" xr:uid="{47266F0C-0F64-4CBA-85D3-45587B33BCC8}"/>
    <hyperlink ref="N228" r:id="rId226" xr:uid="{F7F5B601-2E62-47AA-8C90-1E12B1BF702A}"/>
    <hyperlink ref="N229" r:id="rId227" xr:uid="{1F4E539A-DD1A-49A5-88E3-787E5D90E0D7}"/>
    <hyperlink ref="N230" r:id="rId228" xr:uid="{F386AD02-50B3-4C4A-8D03-0D5563FCE2E5}"/>
    <hyperlink ref="N231" r:id="rId229" xr:uid="{133A7C81-60AC-4217-993D-DCE110408E21}"/>
    <hyperlink ref="N232" r:id="rId230" xr:uid="{1B619C61-490B-4E25-A0C7-38C6CB4D9771}"/>
    <hyperlink ref="N233" r:id="rId231" xr:uid="{5CEC4852-9C6E-4CE2-9448-FAE615E50A95}"/>
    <hyperlink ref="N234" r:id="rId232" xr:uid="{6466B86B-A508-4CE3-8731-9A2070B9D562}"/>
    <hyperlink ref="N235" r:id="rId233" xr:uid="{DAA74B3C-B010-4A02-AE3F-81E5DF92CEDC}"/>
    <hyperlink ref="N236" r:id="rId234" xr:uid="{834396C2-2B69-4E8A-8EF8-F36271A963F6}"/>
    <hyperlink ref="N237" r:id="rId235" xr:uid="{D27B1117-C933-4717-B216-55F48B16F252}"/>
    <hyperlink ref="N238" r:id="rId236" xr:uid="{A863A682-1E27-47AF-AC13-84CCA2D46EE3}"/>
    <hyperlink ref="N239" r:id="rId237" xr:uid="{D4C6E4D0-DCD9-4D16-AE97-8B092740121F}"/>
    <hyperlink ref="N240" r:id="rId238" xr:uid="{42339969-6315-41B2-8262-4324103EDAAA}"/>
    <hyperlink ref="N242" r:id="rId239" xr:uid="{7983E5C7-8159-45B5-8B4C-C83767AD9708}"/>
    <hyperlink ref="N243" r:id="rId240" xr:uid="{6499EF40-7BEC-427D-A6B1-689236762E00}"/>
    <hyperlink ref="N244" r:id="rId241" xr:uid="{E6B7B7F3-ED73-41B3-AED4-E4D1AAAE0224}"/>
    <hyperlink ref="N245" r:id="rId242" xr:uid="{F2D7151A-3D05-48AA-B1AB-6F0BD142344E}"/>
    <hyperlink ref="N246" r:id="rId243" xr:uid="{B9A96B0D-39CD-4423-8F81-66B53F224E00}"/>
    <hyperlink ref="N247" r:id="rId244" xr:uid="{4DF09221-56B3-4D35-B83A-37C253D4280F}"/>
    <hyperlink ref="N248" r:id="rId245" xr:uid="{D5F8AA2C-7DBF-4AC1-8581-23D216C0F808}"/>
    <hyperlink ref="N249" r:id="rId246" xr:uid="{FEEF8F70-AB2D-437B-8A8D-11CDC3EB5AF7}"/>
    <hyperlink ref="N250" r:id="rId247" xr:uid="{05E98648-4773-42C9-BFB3-657E01232173}"/>
    <hyperlink ref="N251" r:id="rId248" xr:uid="{649BA19A-4458-46B4-B04F-D9597ED50694}"/>
    <hyperlink ref="N252" r:id="rId249" xr:uid="{D1BE43FB-B487-4539-A02E-6720F8923908}"/>
    <hyperlink ref="N253" r:id="rId250" xr:uid="{70B7198C-E842-4448-B826-ADAD55D6DC3F}"/>
    <hyperlink ref="N254" r:id="rId251" xr:uid="{A56F8417-707C-4054-BEC4-8AD2108517FB}"/>
    <hyperlink ref="N255" r:id="rId252" xr:uid="{1E20E5AE-B7AF-41E6-A355-9E05CB25AB14}"/>
    <hyperlink ref="N256" r:id="rId253" xr:uid="{C45EAF3E-0456-49B3-9AB3-8592DC7883F0}"/>
    <hyperlink ref="N257" r:id="rId254" xr:uid="{BAC256B9-3DDA-46DC-B8B7-166BAAA190FA}"/>
    <hyperlink ref="N258" r:id="rId255" xr:uid="{2F1E1751-56CB-4207-AB79-62F7B4AFC800}"/>
    <hyperlink ref="N259" r:id="rId256" xr:uid="{ADD72B60-4A02-4D1B-A299-1F67EFC88C69}"/>
    <hyperlink ref="N260" r:id="rId257" xr:uid="{574C6F79-A1EF-4840-897F-3026F8E33619}"/>
    <hyperlink ref="N261" r:id="rId258" xr:uid="{ACCC21EE-281C-4513-B3C5-B43922D6B2A1}"/>
    <hyperlink ref="N262" r:id="rId259" xr:uid="{FC32384A-9FAB-4E32-95CA-20E4C263DB25}"/>
    <hyperlink ref="N263" r:id="rId260" xr:uid="{F4A2215C-7B2F-4B36-AEC3-C1E454D9CCC4}"/>
    <hyperlink ref="N264" r:id="rId261" xr:uid="{27ADD300-DE4B-4E07-AE84-86F4FC1F1898}"/>
    <hyperlink ref="N265" r:id="rId262" xr:uid="{6C0A6471-1E4B-480E-B96B-930424E2C1A6}"/>
    <hyperlink ref="N266" r:id="rId263" xr:uid="{F7B8D51C-B2A7-4D8D-ACF7-0AC4C6FBD59A}"/>
    <hyperlink ref="N267" r:id="rId264" xr:uid="{D2E0241D-AA6E-4307-854D-580D94341B93}"/>
    <hyperlink ref="N268" r:id="rId265" xr:uid="{741F4DCF-887A-49D9-86EB-8350ADAFB47A}"/>
    <hyperlink ref="N269" r:id="rId266" xr:uid="{A504C41E-F661-4D68-95BD-4EB38C51E9F3}"/>
    <hyperlink ref="N270" r:id="rId267" xr:uid="{317805E6-031D-4BB3-9A85-7AEEF35201B6}"/>
    <hyperlink ref="N271" r:id="rId268" xr:uid="{A4B5A900-12A6-4DB2-8B34-223E5ACE4F41}"/>
    <hyperlink ref="N272" r:id="rId269" xr:uid="{0ABD2784-B5E4-4295-9FEB-FA48503142F1}"/>
    <hyperlink ref="N273" r:id="rId270" xr:uid="{9FC246E0-57C7-4573-84FE-95B946AAD322}"/>
    <hyperlink ref="N274" r:id="rId271" xr:uid="{501AB101-C53F-45B0-A849-72AF52D2B967}"/>
    <hyperlink ref="N275" r:id="rId272" xr:uid="{0C749D43-32B1-4C9E-8F7F-F44D6251126A}"/>
    <hyperlink ref="N276" r:id="rId273" xr:uid="{5C078EA7-1E6A-445D-BF8A-CA5E83744E06}"/>
    <hyperlink ref="N277" r:id="rId274" xr:uid="{21C8625D-45AA-4880-9E6C-42AF43B3B57C}"/>
    <hyperlink ref="N278" r:id="rId275" xr:uid="{65EC5E8C-4D21-42E4-8BE7-F0C016410FAE}"/>
    <hyperlink ref="N279" r:id="rId276" xr:uid="{2D5A91A4-803E-4F36-A868-6A8A012E19A6}"/>
    <hyperlink ref="N280" r:id="rId277" xr:uid="{B4ED27F9-26BE-495B-9635-7FBCF56CB0E6}"/>
    <hyperlink ref="N281" r:id="rId278" xr:uid="{7420ACB8-CDED-4BC4-B749-2B72C99C2E62}"/>
    <hyperlink ref="N282" r:id="rId279" xr:uid="{6D03C1D8-A31F-4AE7-A205-86136C90B700}"/>
    <hyperlink ref="N283" r:id="rId280" xr:uid="{13351D9D-FA60-44F8-8E60-D65981823E63}"/>
    <hyperlink ref="N284" r:id="rId281" xr:uid="{5817CF38-82C3-45C5-875A-42036C7872B4}"/>
    <hyperlink ref="N285" r:id="rId282" xr:uid="{8D6CA7BF-751F-4F3D-B0D6-122A62E123EB}"/>
    <hyperlink ref="N286" r:id="rId283" xr:uid="{F0D1994D-79F8-4181-842B-2526B557CEEF}"/>
    <hyperlink ref="N287" r:id="rId284" xr:uid="{4F1B3E11-9AED-496D-A5B0-2A44B9587ED9}"/>
    <hyperlink ref="N288" r:id="rId285" xr:uid="{D3E252DC-7D47-48CB-B45B-ED66C0F60195}"/>
    <hyperlink ref="N289" r:id="rId286" xr:uid="{CEEFCB20-E732-4D81-93A7-7048E4B24695}"/>
    <hyperlink ref="N290" r:id="rId287" xr:uid="{779781B6-8A9E-4F11-955D-A8DFF153C6FF}"/>
    <hyperlink ref="N291" r:id="rId288" xr:uid="{BB00DEF6-2BD4-48F6-B950-00553199FF72}"/>
    <hyperlink ref="N292" r:id="rId289" xr:uid="{2D9DF30B-5DE7-467F-9DBD-910A622705EF}"/>
    <hyperlink ref="N293" r:id="rId290" xr:uid="{24A0A861-D6ED-4CD3-B2D8-03E7697F730C}"/>
    <hyperlink ref="N294" r:id="rId291" xr:uid="{EB783F78-0153-4BC0-BB6F-F1E4FF1CA625}"/>
    <hyperlink ref="N295" r:id="rId292" xr:uid="{394BA419-06B4-4AD4-8E19-64F4A319C039}"/>
    <hyperlink ref="N296" r:id="rId293" xr:uid="{A72D1937-4314-4CEC-B45D-00A514ECE724}"/>
    <hyperlink ref="N297" r:id="rId294" xr:uid="{396EB69F-7716-4DD8-87EF-9EFFC237AB7C}"/>
    <hyperlink ref="N298" r:id="rId295" xr:uid="{AEBA3515-A059-4A5E-8835-BA42C0515208}"/>
    <hyperlink ref="N299" r:id="rId296" xr:uid="{D4CFBAC0-D92C-4C6F-A91B-E45191E0254F}"/>
    <hyperlink ref="N300" r:id="rId297" xr:uid="{B77E6924-1217-410A-B22E-9164588A4FD0}"/>
    <hyperlink ref="N301" r:id="rId298" xr:uid="{9D5DD0F8-D66D-4F11-935D-A637482A1155}"/>
    <hyperlink ref="N302" r:id="rId299" xr:uid="{951633B9-E2B4-4148-B822-966CD1176B31}"/>
    <hyperlink ref="N303" r:id="rId300" xr:uid="{384F7097-95BD-4133-81C3-CFC2435B5E8C}"/>
    <hyperlink ref="N304" r:id="rId301" xr:uid="{3E80B8A7-EB24-485B-B35C-99600F4D49FD}"/>
    <hyperlink ref="N305" r:id="rId302" xr:uid="{ADEFCA2F-9E5D-4616-B73D-188165BED368}"/>
    <hyperlink ref="N306" r:id="rId303" xr:uid="{C87CECD2-EDD7-4F51-96F0-BC06D68B9FE2}"/>
    <hyperlink ref="N307" r:id="rId304" xr:uid="{BACA5E62-6E55-40D6-9FB4-64EA6E44ABD6}"/>
    <hyperlink ref="N308" r:id="rId305" xr:uid="{C4CB18BF-5F4F-4C14-A5E9-F2D454270803}"/>
    <hyperlink ref="N309" r:id="rId306" xr:uid="{00EFD39B-2110-4477-AC68-F4CB87EF60ED}"/>
    <hyperlink ref="N310" r:id="rId307" xr:uid="{5828F906-5A3F-4ACD-874B-6F2D466389A8}"/>
    <hyperlink ref="N311" r:id="rId308" xr:uid="{DC7A66BB-ADB4-4272-89D5-301F446C5C4F}"/>
    <hyperlink ref="N312" r:id="rId309" xr:uid="{486E5729-17BA-44C1-9705-D517AE91629A}"/>
    <hyperlink ref="N313" r:id="rId310" xr:uid="{A6318694-4D2D-40E8-874C-D44C413BD7BC}"/>
    <hyperlink ref="N314" r:id="rId311" xr:uid="{1635DFA4-A328-424D-AB8E-AF0FFF9C4653}"/>
    <hyperlink ref="N315" r:id="rId312" xr:uid="{F907FEA2-BB73-4AF0-880E-9A71589DD8CE}"/>
    <hyperlink ref="N316" r:id="rId313" xr:uid="{6E1C10CD-1FFF-4E46-B76D-ED3450739E6F}"/>
    <hyperlink ref="N317" r:id="rId314" xr:uid="{D13A88EF-D32D-4039-9820-C373BE666A81}"/>
    <hyperlink ref="N318" r:id="rId315" xr:uid="{56854336-D39D-43B9-8691-905073DEB88E}"/>
    <hyperlink ref="N319" r:id="rId316" xr:uid="{374157DA-179A-4B11-82DC-506888B8156B}"/>
    <hyperlink ref="N320" r:id="rId317" xr:uid="{BBE1E3A6-43AC-4B45-A41D-244A2E5967E5}"/>
    <hyperlink ref="N321" r:id="rId318" xr:uid="{6C3891CA-2AF0-440F-9300-833A2F624F85}"/>
    <hyperlink ref="N322" r:id="rId319" xr:uid="{950B1CA4-D4E5-4AD8-B6B8-C0186386A96D}"/>
    <hyperlink ref="N323" r:id="rId320" xr:uid="{ED2D03F2-602E-4836-AF62-2235A560B649}"/>
    <hyperlink ref="N324" r:id="rId321" xr:uid="{6C402B17-567E-46B1-B3A1-8C545DFDCAD6}"/>
    <hyperlink ref="N325" r:id="rId322" xr:uid="{F1441B53-4DAF-4F50-B83A-A9555220A794}"/>
    <hyperlink ref="N326" r:id="rId323" xr:uid="{51B8228A-94B8-4783-BDA7-BE6C5643D170}"/>
    <hyperlink ref="N327" r:id="rId324" xr:uid="{944DFCE9-40F9-4031-9AF5-82C22487120C}"/>
    <hyperlink ref="N328" r:id="rId325" xr:uid="{2B2A0E4F-102D-4946-93C3-CC755207ACC3}"/>
    <hyperlink ref="N329" r:id="rId326" xr:uid="{12F6ED59-4E68-4D9E-B3D6-B58922491E6B}"/>
    <hyperlink ref="N330" r:id="rId327" xr:uid="{65C76A02-5596-43DB-984D-2F70CEDEEC8E}"/>
    <hyperlink ref="N331" r:id="rId328" xr:uid="{C16E3247-E2E4-489C-ACFF-174ADCA5AFFC}"/>
    <hyperlink ref="N332" r:id="rId329" xr:uid="{6A5B61A9-A5FA-4390-9350-0009FF4D73DB}"/>
    <hyperlink ref="N333" r:id="rId330" xr:uid="{9E939A30-FBF2-4BE3-A89C-0682765A673D}"/>
    <hyperlink ref="N334" r:id="rId331" xr:uid="{661A02E3-82C7-49EC-B538-7EC913D4005F}"/>
    <hyperlink ref="N335" r:id="rId332" xr:uid="{9F9AA0DC-0B1E-41EC-983D-8359F7D8F84D}"/>
    <hyperlink ref="N336" r:id="rId333" xr:uid="{C5A98B1D-280C-469E-82C9-4F830D8C3F26}"/>
    <hyperlink ref="N337" r:id="rId334" xr:uid="{A26DEDA6-1442-4066-A290-AE54CDBB7A31}"/>
    <hyperlink ref="N338" r:id="rId335" xr:uid="{C3B89E22-2BF4-44FF-8A0C-F79EC6D4A1FD}"/>
    <hyperlink ref="N339" r:id="rId336" xr:uid="{D7359F30-4992-4A0C-BAA2-7B01BB6599E2}"/>
    <hyperlink ref="N340" r:id="rId337" xr:uid="{1A227F2A-EB8E-41A3-83C7-996A1400EEA0}"/>
    <hyperlink ref="N341" r:id="rId338" xr:uid="{D739D2A2-C5B0-4E75-8369-3D04264D09A9}"/>
    <hyperlink ref="N342" r:id="rId339" xr:uid="{953B6B59-48D1-4BD6-9D2D-77DA1166BC8F}"/>
    <hyperlink ref="N343" r:id="rId340" xr:uid="{EBB6AF8A-732F-4E2B-A4AF-DDB6A3B7A082}"/>
    <hyperlink ref="N344" r:id="rId341" xr:uid="{5F089AED-9DB9-4D6B-8498-750DFD9FD12A}"/>
    <hyperlink ref="N345" r:id="rId342" xr:uid="{C479645E-5C76-4BF6-B24C-F1AA7C9AE851}"/>
    <hyperlink ref="N346" r:id="rId343" xr:uid="{69CED290-C472-464C-8721-8776EA1EB97E}"/>
    <hyperlink ref="N347" r:id="rId344" xr:uid="{361384A0-45E2-4D7A-B562-8C339EA42996}"/>
    <hyperlink ref="N348" r:id="rId345" xr:uid="{32608135-F55C-4E46-9B85-ED0C0599B714}"/>
    <hyperlink ref="N349" r:id="rId346" xr:uid="{FB8D0033-59F5-48FC-9309-1DEC3446EC9F}"/>
    <hyperlink ref="N350" r:id="rId347" xr:uid="{C96B875D-7D1E-4E21-B374-C9106CA065E7}"/>
    <hyperlink ref="N351" r:id="rId348" xr:uid="{AD60AFE2-E0EB-40E3-B7EB-947402BB3CC1}"/>
    <hyperlink ref="N352" r:id="rId349" xr:uid="{0E648070-C178-48C6-9B6C-D62D9FE2DC49}"/>
    <hyperlink ref="N353" r:id="rId350" xr:uid="{B91576E8-8FD0-4D93-9CCA-A743ABD96AB2}"/>
    <hyperlink ref="N354" r:id="rId351" xr:uid="{F10D176A-ADD1-4235-ACE7-6E324AAF62C4}"/>
    <hyperlink ref="N355" r:id="rId352" xr:uid="{96C33557-7240-4D88-8A8B-01AA365B75E8}"/>
    <hyperlink ref="N356" r:id="rId353" xr:uid="{8D8D8AC0-137A-438D-ABE1-7EAC617864C1}"/>
    <hyperlink ref="N357" r:id="rId354" xr:uid="{5C3F5F37-48B2-438F-AFDB-9126A496FEC4}"/>
    <hyperlink ref="N358" r:id="rId355" xr:uid="{8C3A6CD8-3D72-42A8-8905-5AEAEB609060}"/>
    <hyperlink ref="N359" r:id="rId356" xr:uid="{C907CB39-A874-4A0D-A829-330A2AECC570}"/>
    <hyperlink ref="N360" r:id="rId357" xr:uid="{6850C2C0-9B5B-4C1D-84DF-57A25434D655}"/>
    <hyperlink ref="N361" r:id="rId358" xr:uid="{0BE2FCA7-DD2D-47B4-8C86-EF58C77F1388}"/>
    <hyperlink ref="N362" r:id="rId359" xr:uid="{869C8D26-1D01-4A4B-9EC5-4D0264B2CBFF}"/>
    <hyperlink ref="N363" r:id="rId360" xr:uid="{7D701591-0162-4EB9-9973-ACFF915B40FC}"/>
    <hyperlink ref="N364" r:id="rId361" xr:uid="{73EEB5C8-5959-4F84-ACBA-BB4CCFD2A49E}"/>
    <hyperlink ref="N365" r:id="rId362" xr:uid="{2CEFF01D-88C5-440C-BF31-13CD8C22272F}"/>
    <hyperlink ref="N366" r:id="rId363" xr:uid="{B83EE598-FA92-442A-937C-0CE2106EB86E}"/>
    <hyperlink ref="N367" r:id="rId364" xr:uid="{A6A6D44C-F492-4FDD-8377-232B80F7CF0D}"/>
    <hyperlink ref="N368" r:id="rId365" xr:uid="{37D6398F-C285-4760-A1AB-1D25171E4F1B}"/>
    <hyperlink ref="N369" r:id="rId366" xr:uid="{F080C169-F276-437F-91EC-3559EBC47855}"/>
    <hyperlink ref="N370" r:id="rId367" xr:uid="{9D7CCB83-A4C5-42E1-BD6D-1A5E865BF605}"/>
    <hyperlink ref="N371" r:id="rId368" xr:uid="{F465C3A9-ED46-4CF7-8B8F-6E8A7E750539}"/>
    <hyperlink ref="N372" r:id="rId369" xr:uid="{D1F6E401-B156-4F84-B31D-17D8FEAA7B1C}"/>
    <hyperlink ref="N373" r:id="rId370" xr:uid="{8B929AFD-B71D-4749-ADD5-2A7993DB5B7A}"/>
    <hyperlink ref="N374" r:id="rId371" xr:uid="{562DE29D-8321-4EE4-BEEB-0052B5DCC33B}"/>
    <hyperlink ref="N375" r:id="rId372" xr:uid="{2A7E4E0E-80EC-48C1-AB8A-82426896C6BE}"/>
    <hyperlink ref="N376" r:id="rId373" xr:uid="{9F6C6843-220A-42AE-82FE-071C738139C8}"/>
    <hyperlink ref="N377" r:id="rId374" xr:uid="{5E5BC15E-E8F3-4372-84D2-4D4B815F49D5}"/>
    <hyperlink ref="N378" r:id="rId375" xr:uid="{636132FE-1EEB-4370-8516-C9A9EF446F11}"/>
    <hyperlink ref="N379" r:id="rId376" xr:uid="{DB37EE7C-DFA0-47DF-9E4D-30674739FC98}"/>
    <hyperlink ref="N380" r:id="rId377" xr:uid="{B82EFB51-609D-45D3-9611-E0673B364840}"/>
    <hyperlink ref="N381" r:id="rId378" xr:uid="{3BBA525C-8112-4441-8C94-B1E3A7741220}"/>
    <hyperlink ref="N382" r:id="rId379" xr:uid="{BBCADAE1-1AFC-43DC-AE70-8ED59FBC57B0}"/>
    <hyperlink ref="N383" r:id="rId380" xr:uid="{2C8B8059-BD38-4FA8-A757-28264E93CB22}"/>
    <hyperlink ref="N384" r:id="rId381" xr:uid="{BC04A052-B0DF-4490-A78C-6A77D0B01E0F}"/>
    <hyperlink ref="N385" r:id="rId382" xr:uid="{E3E3C9DD-F7FD-4FD4-917D-CAA232ED120B}"/>
    <hyperlink ref="N386" r:id="rId383" xr:uid="{1221DCA3-E758-4305-BAA1-D1ABB685B45D}"/>
    <hyperlink ref="N387" r:id="rId384" xr:uid="{4DB4CFCF-A49B-44E5-ADE1-D1AE85FC988C}"/>
    <hyperlink ref="N388" r:id="rId385" xr:uid="{EE51AC72-02AA-48CD-ADBE-E480912A1EF7}"/>
    <hyperlink ref="N389" r:id="rId386" xr:uid="{3C67D2A2-1ED7-495C-AEAF-9A1538BA36CC}"/>
    <hyperlink ref="N390" r:id="rId387" xr:uid="{CFA82CA9-4672-453D-856F-1DD8C78F7838}"/>
    <hyperlink ref="N391" r:id="rId388" xr:uid="{E04BE25F-9789-41B8-8D2F-8D5C70721C8E}"/>
    <hyperlink ref="N392" r:id="rId389" xr:uid="{B093D7EA-C092-4AC3-A5A7-A733F331F39C}"/>
    <hyperlink ref="N393" r:id="rId390" xr:uid="{4495FBCB-B0B6-40DA-A216-C7EA4BADB7B5}"/>
    <hyperlink ref="N394" r:id="rId391" xr:uid="{1DD44D20-DCD0-4F64-9E47-43AD1CA636ED}"/>
    <hyperlink ref="N395" r:id="rId392" xr:uid="{2A9D64B4-1DC6-4640-A3BB-0AA92C3849DD}"/>
    <hyperlink ref="N396" r:id="rId393" xr:uid="{EFD640F0-BDB9-4116-8500-67A257FB188E}"/>
    <hyperlink ref="N397" r:id="rId394" xr:uid="{E9346364-5F78-43EF-8008-8F9D97E567FD}"/>
    <hyperlink ref="N398" r:id="rId395" xr:uid="{E59D38BF-9D55-4BBE-ADA4-CE187807C636}"/>
    <hyperlink ref="N399" r:id="rId396" xr:uid="{9A74B6DA-0A7B-48F6-9962-8F9E45B459A7}"/>
    <hyperlink ref="N400" r:id="rId397" xr:uid="{8CB5979A-CF5B-4B60-B9AF-3C6FAD3C39E7}"/>
    <hyperlink ref="N401" r:id="rId398" xr:uid="{220F7F39-B3FC-4F18-93B9-EF99CCE28F24}"/>
    <hyperlink ref="N402" r:id="rId399" xr:uid="{A92B897A-3E41-4783-BA5A-ED0930C051C9}"/>
    <hyperlink ref="N403" r:id="rId400" xr:uid="{19F037CD-B6D1-4A26-A16E-F6314D683F21}"/>
    <hyperlink ref="N404" r:id="rId401" xr:uid="{EFEFDA6B-66FF-4B14-8D31-34DB0735EE1B}"/>
    <hyperlink ref="N405" r:id="rId402" xr:uid="{7B38AD38-8C7B-4452-B5C6-C58E237B2A56}"/>
    <hyperlink ref="N406" r:id="rId403" xr:uid="{7B379A7E-8098-41E7-94C2-3B1F3E39FB4D}"/>
    <hyperlink ref="N407" r:id="rId404" xr:uid="{99FD02AA-34A0-4736-B568-D092764AC438}"/>
    <hyperlink ref="N408" r:id="rId405" xr:uid="{3555DD68-7C11-46D2-B349-200D0425EA1C}"/>
    <hyperlink ref="N409" r:id="rId406" xr:uid="{B779527B-F925-4AF3-987C-F16100231FB2}"/>
    <hyperlink ref="N410" r:id="rId407" xr:uid="{5264C2CD-6D2C-43DF-AA63-FD9CA033D161}"/>
    <hyperlink ref="N411" r:id="rId408" xr:uid="{FF7ADA7B-F92A-4A24-B6FB-0108E5F4551B}"/>
    <hyperlink ref="N412" r:id="rId409" xr:uid="{C2C2A9B4-61A3-439B-93B2-5D45CDEB7B97}"/>
    <hyperlink ref="N413" r:id="rId410" xr:uid="{60F86259-1514-4056-9E61-80C6956E41C4}"/>
    <hyperlink ref="N414" r:id="rId411" xr:uid="{D7A0843A-8E96-4016-9A52-06D27F2C4DE5}"/>
    <hyperlink ref="N415" r:id="rId412" xr:uid="{9C67E1BD-72C9-4A42-AD42-6ABA2A284276}"/>
    <hyperlink ref="N416" r:id="rId413" xr:uid="{791D67C0-376B-46EC-8739-FC50E3F26171}"/>
    <hyperlink ref="N417" r:id="rId414" xr:uid="{A90279C9-1497-41B7-BCD3-4DC054EC475D}"/>
    <hyperlink ref="N418" r:id="rId415" xr:uid="{9AFC8DFA-E545-418A-9B65-F7731A695AD8}"/>
    <hyperlink ref="N419" r:id="rId416" xr:uid="{391E3A8F-369F-4B51-AF79-0E794823B484}"/>
    <hyperlink ref="N420" r:id="rId417" xr:uid="{4C1C5518-B6C6-4853-9CAE-A907FCBBA5F0}"/>
    <hyperlink ref="N421" r:id="rId418" xr:uid="{BF99726A-20EA-482F-A61C-2CAE11E620AB}"/>
    <hyperlink ref="N422" r:id="rId419" xr:uid="{8412DE95-9E6C-4111-B793-85234FBFB858}"/>
    <hyperlink ref="N423" r:id="rId420" xr:uid="{685EB826-C18E-4F4F-AC4B-CB75E0C1A946}"/>
    <hyperlink ref="N424" r:id="rId421" xr:uid="{949B3050-3E1F-41A2-8942-F57F009DD2E1}"/>
    <hyperlink ref="N425" r:id="rId422" xr:uid="{4A31B367-6269-4071-B979-87B0EFAA94E2}"/>
    <hyperlink ref="N426" r:id="rId423" xr:uid="{C5CB5DCA-D439-4E0D-8AF6-B911E1420EAD}"/>
    <hyperlink ref="N427" r:id="rId424" xr:uid="{4D9DBCE4-C115-4BA1-A6F3-2E8FE19409CB}"/>
    <hyperlink ref="N428" r:id="rId425" xr:uid="{718EE535-AF94-4CCA-AB0A-DD09403E2002}"/>
    <hyperlink ref="N429" r:id="rId426" xr:uid="{556624C4-B77F-4960-BCDC-7B20E9032F9F}"/>
    <hyperlink ref="N430" r:id="rId427" xr:uid="{8AAA7F51-448F-4EB0-AC16-030370D6A692}"/>
    <hyperlink ref="N431" r:id="rId428" xr:uid="{567323E2-5F4A-4FA0-8B6B-2D5A7CE0175B}"/>
    <hyperlink ref="N432" r:id="rId429" xr:uid="{2713B947-969C-47F9-98EC-FEBBA6F54F9F}"/>
    <hyperlink ref="N433" r:id="rId430" xr:uid="{F2C28ED2-C1D7-4AC2-B160-AE5C6BE92BB2}"/>
    <hyperlink ref="N434" r:id="rId431" xr:uid="{A3DE999C-AF14-4EC8-BDCA-BD8B30E22710}"/>
    <hyperlink ref="N435" r:id="rId432" xr:uid="{F3822F6C-E9A6-4C41-9D0E-BAC6A4C303E7}"/>
    <hyperlink ref="N436" r:id="rId433" xr:uid="{F562E002-7232-41BA-83DC-71BC3998BF6C}"/>
    <hyperlink ref="N437" r:id="rId434" xr:uid="{DDCC7D60-83A4-4324-884F-06BA6004A246}"/>
    <hyperlink ref="N438" r:id="rId435" xr:uid="{17569F1F-8D24-45D1-9FFD-F84CDBB67D42}"/>
    <hyperlink ref="N439" r:id="rId436" xr:uid="{D53F550A-E88D-430A-977F-4BB522792589}"/>
    <hyperlink ref="N440" r:id="rId437" xr:uid="{BC8E5324-F58F-4897-B5B5-6DD6343F6EF3}"/>
    <hyperlink ref="N441" r:id="rId438" xr:uid="{1AC889C4-3299-45D6-85B0-80AD28ACB29C}"/>
    <hyperlink ref="N442" r:id="rId439" xr:uid="{49F50906-0C15-4B21-BED4-E3FCEC740D7D}"/>
    <hyperlink ref="N443" r:id="rId440" xr:uid="{2BC90BEC-04F5-4562-AB1D-872AE1F4E67B}"/>
    <hyperlink ref="N444" r:id="rId441" xr:uid="{6B38EC85-A0E2-4110-ADA1-7916E4CA2EAA}"/>
    <hyperlink ref="N445" r:id="rId442" xr:uid="{530F3511-456E-4771-8AFF-400BD67A448F}"/>
    <hyperlink ref="N446" r:id="rId443" xr:uid="{0FC4624A-B62C-4457-984B-C1DBC99BEA04}"/>
    <hyperlink ref="N447" r:id="rId444" xr:uid="{B9AD0DB8-B2E8-497E-854A-F59E16028404}"/>
    <hyperlink ref="N448" r:id="rId445" xr:uid="{03389DD0-D7F8-4CB5-93AD-A1D8E5A94C4D}"/>
    <hyperlink ref="N449" r:id="rId446" xr:uid="{A8E54A35-40CA-4B0B-9722-1A771D70E9B8}"/>
    <hyperlink ref="N450" r:id="rId447" xr:uid="{5A7F44C8-C04B-4CAF-9F8D-1A115B3EF77C}"/>
    <hyperlink ref="N451" r:id="rId448" xr:uid="{8410310A-AFA3-48EB-A716-D075922500A4}"/>
    <hyperlink ref="N452" r:id="rId449" xr:uid="{B3075F03-EC0E-472B-9C11-5BF15FB3289F}"/>
    <hyperlink ref="N453" r:id="rId450" xr:uid="{18DEB5AC-CEAE-48A5-81B4-FFD67E2D69DF}"/>
    <hyperlink ref="N454" r:id="rId451" xr:uid="{6B3C88F6-ABEE-49F2-A73D-804AF998F02E}"/>
    <hyperlink ref="N455" r:id="rId452" xr:uid="{CBA01EEF-5C2B-4995-AD97-6FADD6EC6A61}"/>
    <hyperlink ref="N456" r:id="rId453" xr:uid="{9207A278-D351-4024-A8D3-7F35E7EE609D}"/>
    <hyperlink ref="N457" r:id="rId454" xr:uid="{6DB0C073-8581-4D59-A04C-2C9FFAAB1DF9}"/>
    <hyperlink ref="N458" r:id="rId455" xr:uid="{522F3410-C167-40DF-815F-6C36AB0A4A4E}"/>
    <hyperlink ref="N459" r:id="rId456" xr:uid="{C5BC1642-EFF7-40D7-8D73-3EE208E00938}"/>
    <hyperlink ref="N460" r:id="rId457" xr:uid="{AE21B8A0-12F5-4990-818A-59419A19F082}"/>
    <hyperlink ref="N461" r:id="rId458" xr:uid="{5A1555E0-95F0-4E48-AF7A-253D5345A0B4}"/>
    <hyperlink ref="N462" r:id="rId459" xr:uid="{9B6C1F47-2F37-4BC0-8E30-7D46ECE11714}"/>
    <hyperlink ref="N463" r:id="rId460" xr:uid="{1136FEE1-46B1-4D5C-B39A-7CEC0F3D8AB2}"/>
    <hyperlink ref="N464" r:id="rId461" xr:uid="{669915FA-3B25-4710-B23E-CB0D87B6AD86}"/>
    <hyperlink ref="N465" r:id="rId462" xr:uid="{3F10CDBC-4BA6-448C-9847-FD0C995366AB}"/>
    <hyperlink ref="N466" r:id="rId463" xr:uid="{E23ADD00-065E-4675-9AC0-A0C4A9F8EBBA}"/>
    <hyperlink ref="N467" r:id="rId464" xr:uid="{AEA5EC24-E37F-4EAE-9EB6-63ADF19C33B5}"/>
    <hyperlink ref="N468" r:id="rId465" xr:uid="{72FE5C6A-C969-4BBA-8F2E-F629A7723253}"/>
    <hyperlink ref="N469" r:id="rId466" xr:uid="{5AD3108F-D43A-4B9B-A3E9-F175F93A4AA4}"/>
    <hyperlink ref="N470" r:id="rId467" xr:uid="{41BD9768-E33B-40F1-A19D-11802417C271}"/>
    <hyperlink ref="N471" r:id="rId468" xr:uid="{851D9A69-C391-4DD7-AEBC-850E417F07F8}"/>
    <hyperlink ref="N472" r:id="rId469" xr:uid="{F677EE06-BBDF-4D87-A5ED-5CAEB4C25FF6}"/>
    <hyperlink ref="N473" r:id="rId470" xr:uid="{899C909D-6457-4608-93B9-75DD756D88B0}"/>
    <hyperlink ref="N474" r:id="rId471" xr:uid="{07CF3278-54C3-48EA-AF85-6B888C95D9BD}"/>
    <hyperlink ref="N475" r:id="rId472" xr:uid="{026E1B10-5C9F-4DE9-BCFA-FED878ACBA83}"/>
    <hyperlink ref="N476" r:id="rId473" xr:uid="{FCC07168-2200-4C9B-B938-1F7260EC1A9C}"/>
    <hyperlink ref="N477" r:id="rId474" xr:uid="{1E42F0EB-479E-484D-BC36-40D5B816F7B6}"/>
    <hyperlink ref="N478" r:id="rId475" xr:uid="{0BA0E2AB-0E54-4B0D-9240-A8FB8DD9FE11}"/>
    <hyperlink ref="N479" r:id="rId476" xr:uid="{8CC9CD3C-3A72-47B2-9454-3A6D49AEFF95}"/>
    <hyperlink ref="N480" r:id="rId477" xr:uid="{503DD2EB-12C0-44AE-B6DF-1380ABAA763A}"/>
    <hyperlink ref="N481" r:id="rId478" xr:uid="{417BCF1D-B97D-4CED-876D-6D8817B9BF11}"/>
    <hyperlink ref="N482" r:id="rId479" xr:uid="{C295BDC8-0AC1-4987-A952-2397F839CB41}"/>
    <hyperlink ref="N483" r:id="rId480" xr:uid="{7FC933A1-70C8-4E57-A7C7-8B2BFA504045}"/>
    <hyperlink ref="N484" r:id="rId481" xr:uid="{28FEF8C2-1559-4B4D-B69D-E615B55FA48D}"/>
    <hyperlink ref="N485" r:id="rId482" xr:uid="{6827A546-2025-4FB7-A8F9-2509BC474F3C}"/>
    <hyperlink ref="N486" r:id="rId483" xr:uid="{696F7EE3-ABEC-4675-95FC-09846D798CBC}"/>
    <hyperlink ref="N487" r:id="rId484" xr:uid="{EB89A6B2-41F1-4CC2-979F-247DFCE7571E}"/>
    <hyperlink ref="N488" r:id="rId485" xr:uid="{2E9AF88E-833A-4FC8-97E0-7F77067925D8}"/>
    <hyperlink ref="N489" r:id="rId486" xr:uid="{B756BFC3-417B-4A91-95CF-DCA20D156345}"/>
    <hyperlink ref="N490" r:id="rId487" xr:uid="{88214EBE-BA0D-4326-A7A7-80DCEE94A1EA}"/>
    <hyperlink ref="N491" r:id="rId488" xr:uid="{85A788D4-9DC0-4446-A3C1-C50DC54B2062}"/>
    <hyperlink ref="N492" r:id="rId489" xr:uid="{18431045-3932-49C2-927F-529D9654700D}"/>
    <hyperlink ref="N493" r:id="rId490" xr:uid="{DEEAE1ED-0FCF-4C73-AB51-BC6A46BEAA5F}"/>
    <hyperlink ref="N494" r:id="rId491" xr:uid="{41A1FA85-2333-47A0-8C32-2DD47CF43C70}"/>
    <hyperlink ref="N495" r:id="rId492" xr:uid="{30A0959E-7EF1-4B17-B239-BA5B2EDDEC73}"/>
    <hyperlink ref="N496" r:id="rId493" xr:uid="{C3F6560F-CAA9-45B2-ABE4-146DF5C5AFE8}"/>
    <hyperlink ref="N497" r:id="rId494" xr:uid="{CBA56011-4479-40CA-B262-D5D5D89C9958}"/>
    <hyperlink ref="N498" r:id="rId495" xr:uid="{8FDDAFCD-5637-4AEF-BF21-2D2ECF2FD3E5}"/>
    <hyperlink ref="N499" r:id="rId496" xr:uid="{CBE7BBF0-F8C4-4484-8EB6-5B47C1D4CC6B}"/>
    <hyperlink ref="N500" r:id="rId497" xr:uid="{FAADE76A-7ADE-40DD-8B13-B35144D39E21}"/>
    <hyperlink ref="N501" r:id="rId498" xr:uid="{BBDB39A0-605B-433B-ADDE-473C137599E2}"/>
    <hyperlink ref="N502" r:id="rId499" xr:uid="{2A04B268-3ECE-44CA-B865-930906755343}"/>
    <hyperlink ref="N503" r:id="rId500" xr:uid="{3271C74A-2E68-400C-9186-50E7EC1F1101}"/>
    <hyperlink ref="N504" r:id="rId501" xr:uid="{E2875420-F80A-4946-AFCD-8CE634EACE51}"/>
    <hyperlink ref="N505" r:id="rId502" xr:uid="{573EFCB3-4FEF-4F08-A1BF-4BACC124D316}"/>
    <hyperlink ref="N506" r:id="rId503" xr:uid="{7419B821-775A-4D52-B972-76A48D7A5B40}"/>
    <hyperlink ref="N507" r:id="rId504" xr:uid="{1DA13F5F-EE1B-4386-97B7-C38FF8DB960C}"/>
    <hyperlink ref="N508" r:id="rId505" xr:uid="{0477BBB8-8D43-4E94-8B45-52BC34B9BAE2}"/>
    <hyperlink ref="N509" r:id="rId506" xr:uid="{BC5A1EE4-8A79-477C-A92E-3BB05194EF03}"/>
    <hyperlink ref="N510" r:id="rId507" xr:uid="{C466EFBF-9726-4365-983D-FBA76A5FD0BE}"/>
    <hyperlink ref="N511" r:id="rId508" xr:uid="{38E65C94-ADFF-4767-96B8-CF1EB4A3FB70}"/>
    <hyperlink ref="N512" r:id="rId509" xr:uid="{ADB9F8EA-8784-4ADC-AE41-7847708974FE}"/>
    <hyperlink ref="N513" r:id="rId510" xr:uid="{5C7FF52F-8FA2-4CD2-9068-C33285DAC6EE}"/>
    <hyperlink ref="N514" r:id="rId511" xr:uid="{9954FCF6-0B43-4EA1-A467-2DDDADEBEED8}"/>
    <hyperlink ref="N515" r:id="rId512" xr:uid="{3BEE3618-BE49-42B4-9E30-9A62739CD9E6}"/>
    <hyperlink ref="N516" r:id="rId513" xr:uid="{D6E5A594-2B31-48E4-A7E4-B69EAE2C7308}"/>
    <hyperlink ref="N517" r:id="rId514" xr:uid="{795AC117-E0E6-4FE2-B78B-8923B09D9756}"/>
    <hyperlink ref="N518" r:id="rId515" xr:uid="{5CC53BC1-5091-4FC5-8F33-540556C36581}"/>
    <hyperlink ref="N519" r:id="rId516" xr:uid="{E5C59AB4-D010-42D3-902D-7E45AFCF9B4F}"/>
    <hyperlink ref="N520" r:id="rId517" xr:uid="{F7F2F7FC-8AE0-4160-86D8-CF11EE00ED47}"/>
    <hyperlink ref="N521" r:id="rId518" xr:uid="{13ED80C2-F933-401E-A537-01E995BD2E77}"/>
    <hyperlink ref="N522" r:id="rId519" xr:uid="{58E2D3E6-ABA2-414F-B8CF-677AF2445FAA}"/>
    <hyperlink ref="N523" r:id="rId520" xr:uid="{1E2250D4-72DD-4DE1-83D7-446F190DB5C9}"/>
    <hyperlink ref="N524" r:id="rId521" xr:uid="{6A68E4D2-1FFE-45CA-B6CA-375FBD37E98B}"/>
    <hyperlink ref="N525" r:id="rId522" xr:uid="{20AC8303-5EDF-4941-B4F0-EEB75A64936C}"/>
    <hyperlink ref="N526" r:id="rId523" xr:uid="{9DE7C9C6-248F-4552-9E60-26D361A50647}"/>
    <hyperlink ref="N527" r:id="rId524" xr:uid="{0BA582A7-BCB9-469E-A2A1-D4E9FC097A09}"/>
    <hyperlink ref="N528" r:id="rId525" xr:uid="{65E37461-53CF-4C1A-8C5B-52E4FFD418B2}"/>
    <hyperlink ref="N529" r:id="rId526" xr:uid="{603B6D18-9A72-4A71-AF10-959506AE3D26}"/>
    <hyperlink ref="N530" r:id="rId527" xr:uid="{2D475679-8732-41EB-8754-BC30F2A167B4}"/>
    <hyperlink ref="N531" r:id="rId528" xr:uid="{A2D21FAA-5508-41E9-A9C1-775959A72874}"/>
    <hyperlink ref="N532" r:id="rId529" xr:uid="{9922D776-D367-4EE9-9FB5-95AE4B8EBF99}"/>
    <hyperlink ref="N533" r:id="rId530" xr:uid="{A6117D30-2F9C-4B64-A232-F82A163A7F51}"/>
    <hyperlink ref="N534" r:id="rId531" xr:uid="{F6C65D7B-3D47-4063-9367-25C60C503C15}"/>
    <hyperlink ref="N535" r:id="rId532" xr:uid="{45E5C8D8-03CF-47ED-BBBD-BD86E9A0D1F6}"/>
    <hyperlink ref="N536" r:id="rId533" xr:uid="{7A1276B2-4DA0-48C9-B6CE-FB30E358E504}"/>
    <hyperlink ref="N537" r:id="rId534" xr:uid="{87B8B06F-6B2B-4485-BEEA-B94C4C8EE223}"/>
    <hyperlink ref="N538" r:id="rId535" xr:uid="{C9021AC2-71BA-487B-BB2A-EF28DFC549BC}"/>
    <hyperlink ref="N539" r:id="rId536" xr:uid="{85FDCE22-C1B2-445C-B13E-9B48DCB9AC97}"/>
    <hyperlink ref="N540" r:id="rId537" xr:uid="{203523B0-6AE6-4213-9801-812302C3AB51}"/>
    <hyperlink ref="N541" r:id="rId538" xr:uid="{62C43A8D-3E64-491B-8949-9C899EC3270F}"/>
    <hyperlink ref="N542" r:id="rId539" xr:uid="{1DAC8BD1-8170-4E38-B0C1-B6FC8A69D55A}"/>
    <hyperlink ref="N543" r:id="rId540" xr:uid="{E82FDB81-3CC1-4DD3-B982-C8A1C2351D8A}"/>
    <hyperlink ref="N544" r:id="rId541" xr:uid="{12FA31D6-3356-420A-B657-A0B77211B425}"/>
    <hyperlink ref="N545" r:id="rId542" xr:uid="{4C9D3FAF-114A-4EC1-B337-E75876112E93}"/>
    <hyperlink ref="N546" r:id="rId543" xr:uid="{7731DA11-5884-42F8-95B2-769FC9C8AF6C}"/>
    <hyperlink ref="N547" r:id="rId544" xr:uid="{4D0073DB-AD90-4C4D-A7F5-F75EF4BD6370}"/>
    <hyperlink ref="N548" r:id="rId545" xr:uid="{1C51CF92-390E-4655-AF58-34E124154E3C}"/>
    <hyperlink ref="N549" r:id="rId546" xr:uid="{D2E723BC-DFCD-4A0E-8D38-82D8D31672A0}"/>
    <hyperlink ref="N550" r:id="rId547" xr:uid="{FF2C90F9-4665-4CF0-95D8-8D99D7AF1679}"/>
    <hyperlink ref="N551" r:id="rId548" xr:uid="{773C2BE8-28C2-474D-B229-38B41307B0F8}"/>
    <hyperlink ref="N552" r:id="rId549" xr:uid="{E0631707-7F7F-473C-AEFC-D41D9297C470}"/>
    <hyperlink ref="N553" r:id="rId550" xr:uid="{7B9817A8-BAC2-4968-9F3D-141FD671A287}"/>
    <hyperlink ref="N554" r:id="rId551" xr:uid="{1E7A15F3-98DC-49E7-88F8-F0509CFAEEA1}"/>
    <hyperlink ref="N555" r:id="rId552" xr:uid="{4E93904C-E091-45F0-A66E-70E6CE26445E}"/>
    <hyperlink ref="N556" r:id="rId553" xr:uid="{D6E34D75-35A0-4C34-AC32-01F3D3A658C3}"/>
    <hyperlink ref="N557" r:id="rId554" xr:uid="{1F87B029-7B20-4474-B94B-8F42B74CE911}"/>
    <hyperlink ref="N558" r:id="rId555" xr:uid="{C68117BE-E8EB-48BC-89DA-679A60D10969}"/>
    <hyperlink ref="N559" r:id="rId556" xr:uid="{281D843B-2E6F-4A03-9F1B-B961153DE79E}"/>
    <hyperlink ref="N560" r:id="rId557" xr:uid="{75E50A8D-F855-4E5A-83E7-5F5B9A30B9FC}"/>
    <hyperlink ref="N561" r:id="rId558" xr:uid="{A49E18C9-63CF-488B-B883-D7BD8B565C47}"/>
    <hyperlink ref="N562" r:id="rId559" xr:uid="{579A0CEC-6EF9-48EC-97E0-E5000040C939}"/>
    <hyperlink ref="N241" r:id="rId560" xr:uid="{FAC91C0D-D7D8-4822-A5D9-11656C8C3A69}"/>
    <hyperlink ref="N563" r:id="rId561" xr:uid="{51B2DECD-70F6-4DBE-A23B-921F23856733}"/>
    <hyperlink ref="N564" r:id="rId562" xr:uid="{EFB49DF6-6B1A-48CF-B48E-9B7172321CCC}"/>
    <hyperlink ref="N565" r:id="rId563" xr:uid="{A4EC8180-8F9E-4299-A350-82CCEAD9D714}"/>
    <hyperlink ref="N566" r:id="rId564" xr:uid="{42144DDF-88C6-4A40-9C4B-09264493B18D}"/>
    <hyperlink ref="N567" r:id="rId565" xr:uid="{7288397D-F2B6-4903-80CD-49615B0CD932}"/>
    <hyperlink ref="N568" r:id="rId566" xr:uid="{5E9ED113-3E65-4635-AB78-85409DA91797}"/>
    <hyperlink ref="N569" r:id="rId567" xr:uid="{5227300A-FD26-4814-B3F4-DB31E87AA60D}"/>
    <hyperlink ref="N570" r:id="rId568" xr:uid="{79F357FF-21E7-4B68-A551-B132649AC323}"/>
    <hyperlink ref="N571" r:id="rId569" xr:uid="{8B880695-573C-4594-8C2A-D0EA0B049E71}"/>
    <hyperlink ref="N572" r:id="rId570" xr:uid="{423246A2-CDF8-47D4-80D9-0953CF3547B7}"/>
    <hyperlink ref="N573" r:id="rId571" xr:uid="{28652866-7C1F-452B-8E2B-3C765BF35F0B}"/>
    <hyperlink ref="N574" r:id="rId572" xr:uid="{6741D166-9BF3-4B63-9C2E-E5664363EC5D}"/>
    <hyperlink ref="N575" r:id="rId573" xr:uid="{722E87E1-B06C-43DF-89F1-127EE3505B44}"/>
    <hyperlink ref="N576" r:id="rId574" xr:uid="{10B84F72-37F8-4E8C-B022-C8157724309C}"/>
    <hyperlink ref="N577" r:id="rId575" xr:uid="{81C7A00A-4BCB-46F0-B9F9-FE034362EF74}"/>
    <hyperlink ref="N578" r:id="rId576" xr:uid="{96050D5D-E86E-449F-8948-18B698B38EFE}"/>
    <hyperlink ref="N579" r:id="rId577" xr:uid="{CBD5225C-8247-4309-9540-681E3855FFB6}"/>
    <hyperlink ref="N580" r:id="rId578" xr:uid="{62AF18B0-8D13-49CF-B8DD-94B11FD65FD3}"/>
    <hyperlink ref="N581" r:id="rId579" xr:uid="{80CBED0A-4ADB-4E2F-BA4F-1C84CD65F14C}"/>
    <hyperlink ref="N582" r:id="rId580" xr:uid="{CD173B66-62C9-46A3-863F-A088F8F41F05}"/>
    <hyperlink ref="N583" r:id="rId581" xr:uid="{25EDB34B-C1D9-400C-BB4D-C5A2F2A72E74}"/>
    <hyperlink ref="N584" r:id="rId582" xr:uid="{CDB98073-B47A-461E-9845-E7D8697097C3}"/>
    <hyperlink ref="N585" r:id="rId583" xr:uid="{8E2179EA-CA05-44BB-A8F7-83626E3087D7}"/>
    <hyperlink ref="N586" r:id="rId584" xr:uid="{BC32766D-8232-4D91-9E3C-551DB0C1EA00}"/>
    <hyperlink ref="N587" r:id="rId585" xr:uid="{BCA0235A-5AFB-4FFB-98BF-258D72D8BA1B}"/>
    <hyperlink ref="N588" r:id="rId586" xr:uid="{DE90902D-F8DF-4F1E-ABEB-C113A69D17D2}"/>
    <hyperlink ref="N589" r:id="rId587" xr:uid="{79286AFF-E091-48A0-A10C-32657FD6A4E7}"/>
    <hyperlink ref="N590" r:id="rId588" xr:uid="{95858AE4-ECB4-4A6C-A0D0-B17E1B2E5A53}"/>
    <hyperlink ref="N591" r:id="rId589" xr:uid="{FB5C7861-734D-42F0-ABF4-11705A939D5B}"/>
    <hyperlink ref="N592" r:id="rId590" xr:uid="{C321D3AB-D445-4668-BAD9-5CA69CFE1601}"/>
    <hyperlink ref="N593" r:id="rId591" xr:uid="{FB1A332A-A4C8-4B2D-AEF4-006F3B000147}"/>
    <hyperlink ref="N594" r:id="rId592" xr:uid="{A16E0961-AF1B-4883-A86D-CD898A81582C}"/>
    <hyperlink ref="N595" r:id="rId593" xr:uid="{D48B466F-D5D0-43E2-B302-5AD2D5F1F0D1}"/>
    <hyperlink ref="N596" r:id="rId594" xr:uid="{74BC404A-55AC-4BD5-A9E0-7D65624E5F47}"/>
    <hyperlink ref="N597" r:id="rId595" xr:uid="{B5239DAC-9901-4D72-92E7-2E93B6ABC852}"/>
    <hyperlink ref="N598" r:id="rId596" xr:uid="{EC7E3D0D-AD3F-4C81-BBDB-8CE8EF1ACC90}"/>
    <hyperlink ref="N599" r:id="rId597" xr:uid="{728CDFBC-CB6E-4725-BC37-8BDCCC6CDF78}"/>
    <hyperlink ref="N600" r:id="rId598" xr:uid="{CC99C328-D9B2-452F-927E-03C797C0332B}"/>
    <hyperlink ref="N601" r:id="rId599" xr:uid="{6451AA74-7010-4EDA-9667-1D5806BE003E}"/>
    <hyperlink ref="N602" r:id="rId600" xr:uid="{D8D9A191-C3A8-4D42-B815-ACD8882E7C1A}"/>
    <hyperlink ref="N603" r:id="rId601" xr:uid="{58398852-53DA-46D2-9C73-5AA68EBE39E8}"/>
    <hyperlink ref="N604" r:id="rId602" xr:uid="{1944A1FD-B156-4043-B742-3394A4F1C4C2}"/>
    <hyperlink ref="N605" r:id="rId603" xr:uid="{1DBF1E0B-0722-405F-80F2-AA662569565C}"/>
    <hyperlink ref="N606" r:id="rId604" xr:uid="{EFF58123-2A30-452F-8AE2-7D4B04806437}"/>
    <hyperlink ref="N607" r:id="rId605" xr:uid="{C0DBA72B-1782-4F90-984F-7255FDE9504D}"/>
    <hyperlink ref="N608" r:id="rId606" xr:uid="{0FE0D8D4-60D5-447B-A131-6B0E0FEA5806}"/>
    <hyperlink ref="N609" r:id="rId607" xr:uid="{CA66393F-E8E9-46CC-AF2B-842762ECF002}"/>
    <hyperlink ref="N610" r:id="rId608" xr:uid="{66E46856-AAA0-4601-84AF-38A56F52FBF5}"/>
    <hyperlink ref="N611" r:id="rId609" xr:uid="{2F380DE0-3D04-4594-BD00-05BADDA4C041}"/>
    <hyperlink ref="N612" r:id="rId610" xr:uid="{63F3ADB9-D9B7-46FD-881E-56CE0D13B21E}"/>
    <hyperlink ref="N613" r:id="rId611" xr:uid="{82F758AA-B7A3-4673-8FC3-89BC61C59A40}"/>
    <hyperlink ref="N614" r:id="rId612" xr:uid="{477F6491-4314-460E-8603-DE67327A305B}"/>
    <hyperlink ref="N615" r:id="rId613" xr:uid="{AB3A02A6-1751-4B62-98E0-27CA3E9A8ABB}"/>
    <hyperlink ref="N616" r:id="rId614" xr:uid="{8B2D8955-511A-43B2-A96C-996B7E913DA2}"/>
    <hyperlink ref="N617" r:id="rId615" xr:uid="{5CB877CD-7D59-4043-8145-7E42B95FBA3B}"/>
    <hyperlink ref="N618" r:id="rId616" xr:uid="{6AD7816C-E46C-45B8-8B11-818D3B737E98}"/>
    <hyperlink ref="N619" r:id="rId617" xr:uid="{A023B9D2-FDC4-4BD7-B0D2-0CD0D61D0136}"/>
    <hyperlink ref="N620" r:id="rId618" xr:uid="{446A124E-4D6B-48F2-AD14-7A9183F541EA}"/>
    <hyperlink ref="N621" r:id="rId619" xr:uid="{1F53EE1A-B51C-4F34-84DC-05D1CA0BAB4E}"/>
    <hyperlink ref="N622" r:id="rId620" xr:uid="{54B8CB4F-45F5-43C1-B212-95040B3C8B6A}"/>
    <hyperlink ref="N623" r:id="rId621" xr:uid="{DD0C700D-9916-4084-AE4B-A918D287E6F0}"/>
    <hyperlink ref="N624" r:id="rId622" xr:uid="{22530ED1-87A5-4DDA-ADE8-443F56E6C2D3}"/>
    <hyperlink ref="N625" r:id="rId623" xr:uid="{3BD96D59-548E-452F-AC35-C28995711634}"/>
    <hyperlink ref="N626" r:id="rId624" xr:uid="{6D86C22C-6F8B-4BE6-B094-6D3138105B86}"/>
    <hyperlink ref="N627" r:id="rId625" xr:uid="{356BAACE-A1F4-4DB6-BB20-61D547943F0D}"/>
    <hyperlink ref="N628" r:id="rId626" xr:uid="{77259C94-197F-4FA6-8DF3-F5A80D710AB6}"/>
    <hyperlink ref="N629" r:id="rId627" xr:uid="{4603C442-F6D4-46A6-B13B-DB08D93062E5}"/>
    <hyperlink ref="N630" r:id="rId628" xr:uid="{66CA24FA-A04D-4AB2-BCE4-466E6E39D428}"/>
    <hyperlink ref="N631" r:id="rId629" xr:uid="{9F1A9FAB-26FC-4BE4-80E8-E9A532344641}"/>
    <hyperlink ref="N632" r:id="rId630" xr:uid="{6C4FDDA5-80CE-4F6E-9360-97A88778340E}"/>
    <hyperlink ref="N633" r:id="rId631" xr:uid="{7F8E485C-AC80-46D8-97E6-9FBBE4EDDFA0}"/>
    <hyperlink ref="N634" r:id="rId632" xr:uid="{B8C2A33D-48D9-4ADB-B913-BD1ABA893FD9}"/>
    <hyperlink ref="N635" r:id="rId633" xr:uid="{41F2A088-B646-40C6-8326-626097F770FC}"/>
    <hyperlink ref="N636" r:id="rId634" xr:uid="{ED494640-A936-4131-9BC3-85C12CF41A07}"/>
    <hyperlink ref="N637" r:id="rId635" xr:uid="{CFACEF78-F483-4CA6-B271-85A1132FFF94}"/>
    <hyperlink ref="N638" r:id="rId636" xr:uid="{EB218ECB-A85F-4300-A05C-43D0A569C622}"/>
    <hyperlink ref="N639" r:id="rId637" xr:uid="{A62FC692-3D5E-4483-A962-D5463E67E55A}"/>
    <hyperlink ref="N640" r:id="rId638" xr:uid="{940FCFFE-5AE7-49DC-A73E-CB05FB70BEB9}"/>
    <hyperlink ref="N641" r:id="rId639" xr:uid="{932BAD61-3629-413C-810E-61E75B0CE37C}"/>
    <hyperlink ref="N642" r:id="rId640" xr:uid="{EF40C9E7-916D-467B-8466-839E2C84A78F}"/>
    <hyperlink ref="N643" r:id="rId641" xr:uid="{63456033-088E-4F74-A5AA-54F0125D4D5D}"/>
    <hyperlink ref="N644" r:id="rId642" xr:uid="{2483BC0F-17ED-4DD4-A8B1-22A418950E44}"/>
    <hyperlink ref="N645" r:id="rId643" xr:uid="{D4C0A3A7-0DFC-4220-8C3C-3B7F793C6295}"/>
    <hyperlink ref="N646" r:id="rId644" xr:uid="{DEFE70F5-EE13-45B1-A227-98DE8FDCE255}"/>
    <hyperlink ref="N647" r:id="rId645" xr:uid="{868B7954-6661-4A11-87DF-3019A232B02A}"/>
    <hyperlink ref="N648" r:id="rId646" xr:uid="{721BAF92-B3E2-4A0C-8098-D7C08D3760C9}"/>
    <hyperlink ref="N649" r:id="rId647" xr:uid="{70BC03CF-F402-45DE-A057-870C5CE8472D}"/>
    <hyperlink ref="N650" r:id="rId648" xr:uid="{C8D89919-8B22-4167-B9C9-7CD9C9669127}"/>
    <hyperlink ref="N651" r:id="rId649" xr:uid="{758A15AC-8A03-463B-AD34-8F60CB8E91E7}"/>
    <hyperlink ref="N652" r:id="rId650" xr:uid="{C14E65E6-E045-48E9-ACB6-F2ED17F52FBE}"/>
    <hyperlink ref="N653" r:id="rId651" xr:uid="{F6DC8123-62FA-414F-B897-BC54372345D9}"/>
    <hyperlink ref="N654" r:id="rId652" xr:uid="{BFE336FF-D1C6-4FFD-ABBD-A51011BF9A3F}"/>
    <hyperlink ref="N655" r:id="rId653" xr:uid="{4EA454DC-C27D-4725-A6F1-92A8D1A60D9C}"/>
    <hyperlink ref="N656" r:id="rId654" xr:uid="{8827A0BC-F9AC-42B6-8D4F-5E07A8A10CFD}"/>
    <hyperlink ref="N657" r:id="rId655" xr:uid="{5BC87539-A9D8-4B80-8EE1-25188C5E7C3A}"/>
    <hyperlink ref="N658" r:id="rId656" xr:uid="{4B1BC6FB-828A-4206-BEF3-15D5F8936AA5}"/>
    <hyperlink ref="N659" r:id="rId657" xr:uid="{85A4FEC1-4C06-41DE-A42F-12EAC45C8DE0}"/>
    <hyperlink ref="N660" r:id="rId658" xr:uid="{3AE58EDB-380E-4699-B114-BDF3358C88E8}"/>
    <hyperlink ref="N661" r:id="rId659" xr:uid="{58B5FB46-56BD-4F81-857A-040D7FA76A9E}"/>
    <hyperlink ref="N662" r:id="rId660" xr:uid="{EC9663B6-896D-4E8D-A1C5-CB47CA6517BC}"/>
    <hyperlink ref="N663" r:id="rId661" xr:uid="{F3DD7D56-556F-405A-AE49-2D681AFD113E}"/>
    <hyperlink ref="N664" r:id="rId662" xr:uid="{2025071B-BCEB-4BC4-9A73-30CF2BB736CC}"/>
    <hyperlink ref="N665" r:id="rId663" xr:uid="{35D7A454-1939-4A2F-824D-BB938368E2B4}"/>
    <hyperlink ref="N666" r:id="rId664" xr:uid="{FA0A02AD-6783-4225-98CA-B8243757335C}"/>
    <hyperlink ref="N667" r:id="rId665" xr:uid="{877C837C-902B-4139-8F7B-60AA7233D982}"/>
    <hyperlink ref="N668" r:id="rId666" xr:uid="{7CA9F47C-363F-4F16-BC96-C410ABED0170}"/>
    <hyperlink ref="N669" r:id="rId667" xr:uid="{37051172-31A4-4116-A8AB-04BFF9051445}"/>
    <hyperlink ref="N670" r:id="rId668" xr:uid="{AC2E0FAD-77CE-4DBE-B3FD-D3A722899660}"/>
    <hyperlink ref="N671" r:id="rId669" xr:uid="{80A54745-3540-4F90-BDF5-ACBBC1BD9041}"/>
    <hyperlink ref="N672" r:id="rId670" xr:uid="{4771DB22-7C0E-4F2F-B10B-8A4903303C12}"/>
    <hyperlink ref="N673" r:id="rId671" xr:uid="{19B46673-D17E-467F-91FB-AF4DC3531D15}"/>
    <hyperlink ref="N674" r:id="rId672" xr:uid="{50B7B535-578A-4342-B056-97B82551CBDE}"/>
    <hyperlink ref="N675" r:id="rId673" location="description" xr:uid="{448E3C45-3956-4E38-8643-B65667AFA065}"/>
    <hyperlink ref="N676" r:id="rId674" location="description" xr:uid="{30944E4F-6041-4CC4-9205-16D96D358772}"/>
    <hyperlink ref="N677" r:id="rId675" location="description" xr:uid="{1037F6E2-DC72-4633-AD33-6DAF36F5493D}"/>
    <hyperlink ref="N678" r:id="rId676" location="description" xr:uid="{D34B3011-DC88-43B8-811E-32088469CEAB}"/>
    <hyperlink ref="N679" r:id="rId677" location="description" xr:uid="{899B2AAD-8E4B-4858-9149-6F8C4E8AFF51}"/>
    <hyperlink ref="N680" r:id="rId678" location="description" xr:uid="{929EDF88-F383-4E80-A837-9F77257EF4F6}"/>
    <hyperlink ref="N681" r:id="rId679" location="description" xr:uid="{137D9950-0F11-4270-8DDB-6F3D47E333F0}"/>
    <hyperlink ref="N682" r:id="rId680" xr:uid="{F75E2890-865C-464C-B056-8719C64F6A38}"/>
    <hyperlink ref="N683" r:id="rId681" xr:uid="{AED48978-DDAF-47D4-92EF-9A6D1D7D07C7}"/>
    <hyperlink ref="N684" r:id="rId682" xr:uid="{E57AE878-C847-4C78-AA39-D0AB0F05C96C}"/>
    <hyperlink ref="N685" r:id="rId683" xr:uid="{A53D4A31-EDA8-4123-83CC-97414DF6F950}"/>
    <hyperlink ref="N686" r:id="rId684" xr:uid="{7B22680F-3E48-4797-829E-D561B0FF6354}"/>
    <hyperlink ref="N687" r:id="rId685" xr:uid="{827C7855-DB28-4432-8592-78568CBF5319}"/>
    <hyperlink ref="N688" r:id="rId686" xr:uid="{2B46A8F5-BEC0-4A5E-BF6E-FD13D76F6F50}"/>
    <hyperlink ref="N689" r:id="rId687" xr:uid="{BD19CCCF-2BF5-490E-9219-63AD7FE773B3}"/>
    <hyperlink ref="N690" r:id="rId688" xr:uid="{248A99C8-BD1A-4933-AD1C-225538B109E6}"/>
    <hyperlink ref="N691" r:id="rId689" xr:uid="{1FC8D17B-1BFF-4E9B-8A9F-E0794DB6B225}"/>
    <hyperlink ref="N692" r:id="rId690" xr:uid="{B90D0990-28A9-422B-B0EF-E86C63AE0996}"/>
    <hyperlink ref="N693" r:id="rId691" xr:uid="{39B31701-1516-44EA-9704-B76DFF20FDD4}"/>
    <hyperlink ref="N694" r:id="rId692" xr:uid="{806D44A8-5E91-4667-BDE1-7DB09A9831C5}"/>
    <hyperlink ref="N695" r:id="rId693" xr:uid="{C79074C9-C269-4A0D-AC75-A0511710192D}"/>
    <hyperlink ref="N696" r:id="rId694" xr:uid="{54DE6793-6EFC-414B-99DD-EC190C708260}"/>
    <hyperlink ref="N697" r:id="rId695" xr:uid="{0E4E8AD2-2F6A-45A4-9331-8F795B82FA6F}"/>
    <hyperlink ref="N698" r:id="rId696" xr:uid="{CB331BCA-D12E-446F-9F4A-DFA2A0FBB484}"/>
    <hyperlink ref="N699" r:id="rId697" xr:uid="{400DA416-C466-4673-9208-C7454B13DB8E}"/>
    <hyperlink ref="N700" r:id="rId698" xr:uid="{C9F2890C-A875-42E5-AB0C-B2C304A549CB}"/>
    <hyperlink ref="N701" r:id="rId699" xr:uid="{B5861962-07F3-4674-A70D-96A3C2B93221}"/>
    <hyperlink ref="N702" r:id="rId700" xr:uid="{3348E7D7-DB69-49B0-B3B6-148717B6D1C6}"/>
    <hyperlink ref="N703" r:id="rId701" xr:uid="{B45E4AB6-60EE-4352-90AA-B167EBDA5762}"/>
    <hyperlink ref="N704" r:id="rId702" xr:uid="{BA8264FB-8BEA-4E62-BE3B-97677C402A6D}"/>
    <hyperlink ref="N705" r:id="rId703" xr:uid="{4F935184-21D8-455F-8D63-4FBDFE4AD91C}"/>
    <hyperlink ref="N706" r:id="rId704" xr:uid="{33463DA0-471A-4ABB-B5A9-2C11A5264A1D}"/>
    <hyperlink ref="N707" r:id="rId705" xr:uid="{B4E3AF8A-F892-4D85-A8E9-633C3546562E}"/>
    <hyperlink ref="N708" r:id="rId706" xr:uid="{9C6F6AFD-B01C-4616-9932-831DA0BBB33E}"/>
    <hyperlink ref="N709" r:id="rId707" xr:uid="{E72DE61B-0CD4-4740-AB5A-4A874FF8E15D}"/>
    <hyperlink ref="N710" r:id="rId708" xr:uid="{BA50B239-295A-40D3-B844-089DEE67CB19}"/>
    <hyperlink ref="N711" r:id="rId709" xr:uid="{005B35F9-7F26-4327-BDB0-DF89AC827D8B}"/>
    <hyperlink ref="N712" r:id="rId710" xr:uid="{EA2F3B48-5EC3-4BF8-98D2-9A1423210C09}"/>
    <hyperlink ref="N713" r:id="rId711" xr:uid="{973B5534-8DAD-448D-93D7-EAA693221424}"/>
    <hyperlink ref="N714" r:id="rId712" xr:uid="{26F2B838-8CE4-498F-8587-8536939B5FDD}"/>
    <hyperlink ref="N715" r:id="rId713" display="https://www.centris.ca/fr/maison~a-vendre~laval-laval-des-rapides/9056796?view=Summary&amp;uc=51" xr:uid="{09D5CF78-3492-4446-BE23-B58FC0D6D073}"/>
    <hyperlink ref="N716" r:id="rId714" xr:uid="{5684A288-EC4A-442F-A3A6-D34CEB56F581}"/>
    <hyperlink ref="N717" r:id="rId715" xr:uid="{DEC89C58-E778-4CA3-9046-9104137BF5DE}"/>
    <hyperlink ref="N718" r:id="rId716" xr:uid="{2702AEA1-8AB9-4312-9282-CB2B9A81EF7D}"/>
    <hyperlink ref="N719" r:id="rId717" xr:uid="{63368DCA-9D0C-4623-ACDD-DBE70546EB56}"/>
    <hyperlink ref="N720" r:id="rId718" xr:uid="{1FCB67B3-A531-4C04-BE9D-58243DF7CD0A}"/>
    <hyperlink ref="N721" r:id="rId719" xr:uid="{CFEB4FC5-564F-4368-96A0-EAC68BB71F7B}"/>
    <hyperlink ref="N722" r:id="rId720" xr:uid="{D6C36D37-57D3-48B3-8425-E1481482350B}"/>
    <hyperlink ref="N723" r:id="rId721" xr:uid="{FA072BFE-4DB7-4842-9DD4-7423A79BB180}"/>
    <hyperlink ref="N724" r:id="rId722" xr:uid="{65141337-4B01-4214-ADF8-2BCF84F48126}"/>
    <hyperlink ref="N725" r:id="rId723" xr:uid="{91A48CA5-7EBD-4C08-88CD-D7F1D46EC33E}"/>
    <hyperlink ref="N726" r:id="rId724" xr:uid="{3D7A32C7-440A-4B9F-AEA9-949A32167E8C}"/>
    <hyperlink ref="N727" r:id="rId725" xr:uid="{C95DAD29-BE50-4B8B-8ED6-BFB7BEA4DE08}"/>
    <hyperlink ref="N728" r:id="rId726" xr:uid="{B23140DF-C384-46E7-9AA0-55E3EBDD4ADB}"/>
    <hyperlink ref="N729" r:id="rId727" xr:uid="{4E1D3EFD-27DD-49D2-8245-41B0480F95D2}"/>
    <hyperlink ref="N730" r:id="rId728" xr:uid="{C5B7C310-A8DE-49D7-B83D-D709CF0CEBD5}"/>
    <hyperlink ref="N731" r:id="rId729" xr:uid="{6E180462-EAF6-4428-9F7F-8FDFF4782BF5}"/>
    <hyperlink ref="N732" r:id="rId730" xr:uid="{62EFA237-AF0F-46DA-ADF9-D696A5B70EE7}"/>
    <hyperlink ref="N733" r:id="rId731" xr:uid="{C07F8D3D-931A-4B87-AADB-E884327194E6}"/>
    <hyperlink ref="N734" r:id="rId732" xr:uid="{D769181F-94DD-473C-9570-9BEC3C03E9AA}"/>
    <hyperlink ref="N735" r:id="rId733" xr:uid="{437066CE-0859-471C-9EE4-F1DFD980BAC8}"/>
    <hyperlink ref="N736" r:id="rId734" xr:uid="{1F89F639-0066-49C2-81CC-9F234279470C}"/>
    <hyperlink ref="N737" r:id="rId735" xr:uid="{2589FB5E-ACEC-4C97-90E3-8F9AC77B1F77}"/>
    <hyperlink ref="N738" r:id="rId736" xr:uid="{6DC63889-C12B-47D3-ADE1-EDDA62CBF747}"/>
    <hyperlink ref="N739" r:id="rId737" xr:uid="{E04473C7-D3E3-47CE-8901-E93D0E4ABDDE}"/>
    <hyperlink ref="N740" r:id="rId738" xr:uid="{B38FB59D-B874-487E-B6BC-FFD899B488FD}"/>
    <hyperlink ref="N741" r:id="rId739" xr:uid="{D1A7DCDC-22C6-4F32-935A-68501B1624D9}"/>
    <hyperlink ref="N742" r:id="rId740" xr:uid="{DEF2BBDC-A3DE-429A-8361-C412DE4E2337}"/>
    <hyperlink ref="N743" r:id="rId741" xr:uid="{26C16FDC-EE45-4040-AE7E-71AA3028AAD7}"/>
    <hyperlink ref="N744" r:id="rId742" xr:uid="{7DFF3F21-A6D8-4951-8D7D-512AFF068939}"/>
    <hyperlink ref="N745" r:id="rId743" xr:uid="{A5963EC2-3237-44EC-A4EB-6B7A30A15D42}"/>
    <hyperlink ref="N746" r:id="rId744" xr:uid="{2795BC65-4CA9-4A59-8253-E7D467DFC558}"/>
    <hyperlink ref="N747" r:id="rId745" xr:uid="{8F8C4791-D2D7-4911-ADF0-8B307334D3F0}"/>
    <hyperlink ref="N748" r:id="rId746" xr:uid="{8B03B6E1-F049-4904-A440-F708AC8E51ED}"/>
    <hyperlink ref="N749" r:id="rId747" xr:uid="{14CC4CC2-0589-48A5-98DB-12D6D6BDB5DE}"/>
    <hyperlink ref="N750" r:id="rId748" xr:uid="{E6071ABD-316A-4F2B-BC7F-627C74C56046}"/>
    <hyperlink ref="N751" r:id="rId749" xr:uid="{156DE14F-6ED9-4238-A6B7-93CF36D190A6}"/>
    <hyperlink ref="N752" r:id="rId750" xr:uid="{02402457-9986-429D-98CF-2FA04A5591E7}"/>
    <hyperlink ref="N753" r:id="rId751" xr:uid="{EAC40B95-4FBD-450C-81B3-88D3CA275FB1}"/>
    <hyperlink ref="N754" r:id="rId752" xr:uid="{3F76E7E5-F47F-462A-A3A0-AEAC68D7DC65}"/>
    <hyperlink ref="N755" r:id="rId753" xr:uid="{2143F448-4AFB-40A3-90EA-EC07B15A2D74}"/>
    <hyperlink ref="N756" r:id="rId754" xr:uid="{4590C694-71C9-4C43-85B3-AB33C7B44F08}"/>
    <hyperlink ref="N757" r:id="rId755" xr:uid="{993E4DEF-F365-4553-9BF8-7B9E95DA981D}"/>
    <hyperlink ref="N758" r:id="rId756" xr:uid="{7AA340BB-4744-4824-AD38-50482A25CEA2}"/>
    <hyperlink ref="N759" r:id="rId757" xr:uid="{E937C473-0EA0-42A9-9235-F56852D764FB}"/>
    <hyperlink ref="N760" r:id="rId758" xr:uid="{DDB0553E-0BFE-466C-BACA-D299541F2E60}"/>
    <hyperlink ref="N761" r:id="rId759" xr:uid="{173D2C99-F272-4F2A-8984-7ADAB1211168}"/>
    <hyperlink ref="N762" r:id="rId760" xr:uid="{3497705A-770F-484F-8F72-B297848F405E}"/>
    <hyperlink ref="N763" r:id="rId761" xr:uid="{2C2028FF-176C-4EA7-85B0-47CD9AB4C855}"/>
    <hyperlink ref="N764" r:id="rId762" xr:uid="{4529CB4B-0EF4-4E85-8890-D31507CEC4FB}"/>
    <hyperlink ref="N765" r:id="rId763" xr:uid="{9DF8190B-ED7C-4DD9-A45D-BF55C34D4CC2}"/>
    <hyperlink ref="N766" r:id="rId764" xr:uid="{2EB20512-C17B-4EEA-AC59-6C7CE6CCA85B}"/>
    <hyperlink ref="N767" r:id="rId765" xr:uid="{DA862AE5-C47C-4C2D-82D6-44075D373528}"/>
    <hyperlink ref="N768" r:id="rId766" xr:uid="{430A13E8-4B31-4B5C-AB33-B326F6602E56}"/>
    <hyperlink ref="N769" r:id="rId767" xr:uid="{11673BE8-8B62-4988-98E3-4495F71EDBD7}"/>
    <hyperlink ref="N770" r:id="rId768" xr:uid="{9A2C2756-FD22-4736-A784-47A9E4D23076}"/>
    <hyperlink ref="N771" r:id="rId769" xr:uid="{09FD7FBD-E76D-4EED-A6DE-9351D88B504B}"/>
    <hyperlink ref="N772" r:id="rId770" xr:uid="{004D46F1-E1FA-4749-8A45-AD26D74010ED}"/>
    <hyperlink ref="N773" r:id="rId771" xr:uid="{A794A7B2-06D4-4DF0-940A-BB2751987869}"/>
    <hyperlink ref="N774" r:id="rId772" xr:uid="{41468DE6-9AA4-4FF8-82A4-7EE6DA0C8DF3}"/>
    <hyperlink ref="N775" r:id="rId773" xr:uid="{32CE8789-5091-4F68-BA35-40A54DCE38DA}"/>
    <hyperlink ref="N776" r:id="rId774" xr:uid="{7BAF3217-BC35-4FA4-8CB8-0421F00337C0}"/>
    <hyperlink ref="N777" r:id="rId775" xr:uid="{538C73A4-305A-411C-AEF7-5B0879A2E6F6}"/>
    <hyperlink ref="N778" r:id="rId776" xr:uid="{14F87858-72B0-46AC-B9F7-E8D9DDE4DF71}"/>
    <hyperlink ref="N779" r:id="rId777" xr:uid="{C21F4ACE-A112-4092-912F-3FC28BDA6185}"/>
    <hyperlink ref="N780" r:id="rId778" xr:uid="{64419443-6B3A-40F7-86FC-1357D943FD62}"/>
    <hyperlink ref="N781" r:id="rId779" xr:uid="{46DE834A-2BD4-4302-94CE-52AFEA9ADAEC}"/>
    <hyperlink ref="N782" r:id="rId780" xr:uid="{342C2859-0EA5-4B8A-8C61-0D69C8FD3F97}"/>
    <hyperlink ref="N783" r:id="rId781" xr:uid="{2D1E5506-7349-49B8-B28C-439B30F02F4F}"/>
    <hyperlink ref="N784" r:id="rId782" xr:uid="{C22CC1A1-D31B-43A7-B165-E3D1B4AB9D39}"/>
    <hyperlink ref="N785" r:id="rId783" xr:uid="{7553022D-AE12-4116-99F0-526AAEB12A5A}"/>
    <hyperlink ref="N786" r:id="rId784" xr:uid="{0AC05B64-CCE8-4303-BD61-5DF1D282B08E}"/>
    <hyperlink ref="N787" r:id="rId785" xr:uid="{94F38EF1-01D6-4621-B201-6564C41FE441}"/>
    <hyperlink ref="N788" r:id="rId786" xr:uid="{295AC538-DEED-4E91-8FBF-060BAB43DDDD}"/>
    <hyperlink ref="N789" r:id="rId787" xr:uid="{93016422-5E42-4E69-B272-322C64514C55}"/>
    <hyperlink ref="N790" r:id="rId788" xr:uid="{534251AC-97AB-4FE2-A73D-1C8D48180FD6}"/>
    <hyperlink ref="N791" r:id="rId789" xr:uid="{F90C3BBA-08D3-4001-9AA4-30618E2B116D}"/>
    <hyperlink ref="N792" r:id="rId790" xr:uid="{DE8C0772-E2D6-49F7-8A6E-C97B6DD1E2F5}"/>
    <hyperlink ref="N793" r:id="rId791" xr:uid="{8BBFFB49-1B31-4ED1-A68C-87CF446160EF}"/>
    <hyperlink ref="N794" r:id="rId792" xr:uid="{10B74989-55B1-43DD-B017-D6D20C5CB66A}"/>
    <hyperlink ref="N795" r:id="rId793" xr:uid="{9EFBDA97-0DEF-4891-818D-2B5939D5F474}"/>
    <hyperlink ref="N796" r:id="rId794" xr:uid="{66165B95-BFD8-47C6-B109-F5502C2274C3}"/>
    <hyperlink ref="N797" r:id="rId795" xr:uid="{70623718-2532-42A7-B856-70C629924B6F}"/>
    <hyperlink ref="N798" r:id="rId796" xr:uid="{26587F4A-F11A-4741-86DF-2EA676DE782C}"/>
    <hyperlink ref="N799" r:id="rId797" xr:uid="{AC2C37C5-4121-4687-8808-F1590E0CCD1B}"/>
    <hyperlink ref="N800" r:id="rId798" xr:uid="{6B062FEC-3B48-4A1A-8ED4-B6407041FEF0}"/>
    <hyperlink ref="N801" r:id="rId799" xr:uid="{8F5C1091-9D7C-4309-B53B-39B116C05CEC}"/>
    <hyperlink ref="N802" r:id="rId800" xr:uid="{C95950B1-427C-4DF3-9A1B-CF1C044FA2D2}"/>
    <hyperlink ref="N803" r:id="rId801" xr:uid="{88AC2D5D-C22B-4F9A-B317-E009B491E123}"/>
    <hyperlink ref="N804" r:id="rId802" xr:uid="{730B0DAF-62F8-47AC-936E-4CDAAB5A5F12}"/>
    <hyperlink ref="N805" r:id="rId803" xr:uid="{AECFEFA3-1922-4E18-A084-24D515CB27E9}"/>
    <hyperlink ref="N806" r:id="rId804" xr:uid="{8BD02A23-DCC6-4C58-8B66-1D858C1B9F35}"/>
    <hyperlink ref="N807" r:id="rId805" xr:uid="{4F83CC15-6AE7-4F17-8BB6-5A088BC09783}"/>
    <hyperlink ref="N808" r:id="rId806" xr:uid="{0DC73870-F68A-45EE-B831-B088080E2CD4}"/>
    <hyperlink ref="N809" r:id="rId807" xr:uid="{CAAE88CD-0EBD-4DFB-B6CF-BDD75B164691}"/>
    <hyperlink ref="N810" r:id="rId808" xr:uid="{F043715F-7A1A-46C2-A41B-71286B301865}"/>
    <hyperlink ref="N811" r:id="rId809" xr:uid="{8AF5BE05-56DE-4260-AB6C-10FE98D02C97}"/>
    <hyperlink ref="N812" r:id="rId810" xr:uid="{879B7B27-9C2E-4DBA-9F71-0FAE792253F9}"/>
    <hyperlink ref="N813" r:id="rId811" xr:uid="{825EB2E4-EE4D-418C-BC05-A648D15D68F0}"/>
    <hyperlink ref="N814" r:id="rId812" xr:uid="{042DBC68-1239-4190-9B6F-FE34ED805F1E}"/>
    <hyperlink ref="N815" r:id="rId813" xr:uid="{C9D33450-3EEF-4D19-A927-682881F646A5}"/>
    <hyperlink ref="N816" r:id="rId814" xr:uid="{1D267E23-D915-40AE-B1A0-2FD29C6BAFF6}"/>
    <hyperlink ref="N817" r:id="rId815" xr:uid="{02053446-880F-47D6-A731-E07FF4C83276}"/>
    <hyperlink ref="N818" r:id="rId816" xr:uid="{03DD6E78-24E7-4FC1-B76D-128EDAF9766C}"/>
    <hyperlink ref="N819" r:id="rId817" xr:uid="{48D59217-A745-43E3-B751-1A4E73A11FE2}"/>
    <hyperlink ref="N820" r:id="rId818" xr:uid="{00EE7E22-02DE-4C16-9246-570B735D679F}"/>
    <hyperlink ref="N821" r:id="rId819" xr:uid="{D611845B-DCE5-44A5-85BC-7FF18B889396}"/>
    <hyperlink ref="N822" r:id="rId820" xr:uid="{F7924688-16D8-47DE-8D71-9ADAFF64B2B9}"/>
    <hyperlink ref="N823" r:id="rId821" xr:uid="{B16F297A-86A9-430B-B856-E0E5CF364447}"/>
    <hyperlink ref="N824" r:id="rId822" xr:uid="{3A346B0D-F85D-474A-B398-5B35FEDDEE28}"/>
    <hyperlink ref="N825" r:id="rId823" xr:uid="{E4FDE240-30B4-4CAB-8710-90FD678F1CBE}"/>
    <hyperlink ref="N826" r:id="rId824" xr:uid="{F8DB8136-E3A2-4933-80F9-C8A93A18F20C}"/>
    <hyperlink ref="N827" r:id="rId825" xr:uid="{74534830-CDD6-4850-9F66-D6359E812739}"/>
    <hyperlink ref="N828" r:id="rId826" xr:uid="{72504182-5ACD-4EEB-BD51-BFDBDA8E5F68}"/>
    <hyperlink ref="N829" r:id="rId827" xr:uid="{20A7EE40-B8E2-4007-813E-4A9E2021B185}"/>
    <hyperlink ref="N830" r:id="rId828" xr:uid="{C469563F-8637-401A-BB8C-587F92EE187E}"/>
    <hyperlink ref="N831" r:id="rId829" xr:uid="{E9F74317-1958-424C-ABFF-4D20425E925B}"/>
    <hyperlink ref="N832" r:id="rId830" xr:uid="{65313514-23E6-448C-915B-E32376A65AF3}"/>
    <hyperlink ref="N833" r:id="rId831" xr:uid="{E11E1517-08B5-4A4C-8185-137614DBF544}"/>
    <hyperlink ref="N834" r:id="rId832" xr:uid="{EC270752-6AE9-4F2A-BFEF-4BBEE2AB2C24}"/>
    <hyperlink ref="N835" r:id="rId833" xr:uid="{8FD23389-D8CA-4039-8BD2-DE975C08BA47}"/>
    <hyperlink ref="N836" r:id="rId834" xr:uid="{B64143B1-074E-411E-ADB9-CD02E402BC2C}"/>
    <hyperlink ref="N837" r:id="rId835" xr:uid="{A63F10FE-8683-4F2A-947E-F467B46EA662}"/>
    <hyperlink ref="N838" r:id="rId836" xr:uid="{3CAB833E-F591-43A3-AC89-BF2B46BF92E5}"/>
    <hyperlink ref="N839" r:id="rId837" xr:uid="{4AA7C7CE-A71F-4036-9846-DC22A5BB8E35}"/>
    <hyperlink ref="N840" r:id="rId838" xr:uid="{7FCCA927-0AD4-4089-A832-00585EA77F88}"/>
    <hyperlink ref="N841" r:id="rId839" xr:uid="{72A50B50-68A8-4BAB-A3B7-B53424D4101B}"/>
    <hyperlink ref="N842" r:id="rId840" xr:uid="{9E3D7B7E-B722-40DA-ABD7-4473A9E7568C}"/>
    <hyperlink ref="N843" r:id="rId841" xr:uid="{F14B2191-2763-45E2-828D-7CD9BD2037CF}"/>
    <hyperlink ref="N844" r:id="rId842" xr:uid="{E031163D-E437-40A5-91DD-5B8114020DBA}"/>
    <hyperlink ref="N845" r:id="rId843" xr:uid="{0BE8BD9B-7B2B-4A6F-8EFE-1BCE5428EC20}"/>
    <hyperlink ref="N846" r:id="rId844" xr:uid="{7D798E4E-DE83-4D4E-82DB-BEB0BA32E8D3}"/>
    <hyperlink ref="N847" r:id="rId845" xr:uid="{D9AD3FEA-6DB8-4E0F-A2B8-6A28F025696F}"/>
    <hyperlink ref="N848" r:id="rId846" xr:uid="{A86CFD7B-4220-4D15-BEE4-232576110DA1}"/>
    <hyperlink ref="N849" r:id="rId847" xr:uid="{37FD1735-233F-4C90-AD07-B341561CD757}"/>
    <hyperlink ref="N850" r:id="rId848" xr:uid="{F49B9F61-21FB-4510-A972-B8DBB0241068}"/>
    <hyperlink ref="N851" r:id="rId849" xr:uid="{0F744A44-11BC-47D8-9DFF-BE822362DE86}"/>
    <hyperlink ref="N852" r:id="rId850" xr:uid="{79247E2B-8C76-45EC-B8DA-BA5656B31BE9}"/>
    <hyperlink ref="N853" r:id="rId851" xr:uid="{0FAC34AC-3D53-4FD9-9AEA-8F1505B4671C}"/>
    <hyperlink ref="N854" r:id="rId852" xr:uid="{7DF1727B-2695-4749-89C3-01D5DA921202}"/>
    <hyperlink ref="N855" r:id="rId853" xr:uid="{ADF95780-E4FF-4457-B693-19BE2D6B6E6B}"/>
    <hyperlink ref="N856" r:id="rId854" xr:uid="{1B1F8FE5-8021-4E41-B2A5-68AA4DF149EE}"/>
    <hyperlink ref="N857" r:id="rId855" xr:uid="{4D865135-2FE5-42DB-B975-76980DBCF0E8}"/>
    <hyperlink ref="N858" r:id="rId856" xr:uid="{444DB0C5-6757-410B-89FE-605AC84109A7}"/>
    <hyperlink ref="N859" r:id="rId857" xr:uid="{F80E0A75-32C0-4A57-9D44-CC1830367294}"/>
    <hyperlink ref="N860" r:id="rId858" xr:uid="{E7C1224C-97BB-40EE-B725-3D46141140A6}"/>
    <hyperlink ref="N861" r:id="rId859" xr:uid="{E843C869-2B47-436E-8C6F-31600B8A2AC4}"/>
  </hyperlinks>
  <pageMargins left="0.7" right="0.7" top="0.75" bottom="0.75" header="0.3" footer="0.3"/>
  <pageSetup orientation="portrait" r:id="rId860"/>
  <legacyDrawing r:id="rId8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input_2024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Carl Abdelnour</cp:lastModifiedBy>
  <dcterms:created xsi:type="dcterms:W3CDTF">2015-06-05T18:19:34Z</dcterms:created>
  <dcterms:modified xsi:type="dcterms:W3CDTF">2025-04-11T00:23:19Z</dcterms:modified>
</cp:coreProperties>
</file>