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33758\OneDrive - NEOMA Business School\Desktop\Ecole\Corporate valuation\Group task\"/>
    </mc:Choice>
  </mc:AlternateContent>
  <xr:revisionPtr revIDLastSave="0" documentId="13_ncr:1_{02CA3104-339B-4FB9-9831-5CA7F5EE8901}" xr6:coauthVersionLast="47" xr6:coauthVersionMax="47" xr10:uidLastSave="{00000000-0000-0000-0000-000000000000}"/>
  <bookViews>
    <workbookView xWindow="-108" yWindow="-108" windowWidth="23256" windowHeight="12456" xr2:uid="{00000000-000D-0000-FFFF-FFFF00000000}"/>
  </bookViews>
  <sheets>
    <sheet name="Income statement" sheetId="1" r:id="rId1"/>
    <sheet name="Additionnal informations" sheetId="22" r:id="rId2"/>
    <sheet name="Comparables" sheetId="18" r:id="rId3"/>
    <sheet name="Beta" sheetId="17" r:id="rId4"/>
    <sheet name="Scenario analysis" sheetId="9" r:id="rId5"/>
    <sheet name="WACC " sheetId="6" r:id="rId6"/>
    <sheet name="S&amp;P" sheetId="8" r:id="rId7"/>
    <sheet name="Cashflow Statement" sheetId="3" r:id="rId8"/>
    <sheet name="Other analysis" sheetId="20" r:id="rId9"/>
    <sheet name="Goldman Sachs market price" sheetId="2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4" i="1" l="1"/>
  <c r="T49" i="1"/>
  <c r="T50" i="1"/>
  <c r="AD32" i="1"/>
  <c r="AG32" i="1" s="1"/>
  <c r="AE32" i="1"/>
  <c r="AD23" i="1"/>
  <c r="AD15" i="1"/>
  <c r="AF45" i="1"/>
  <c r="AG44" i="1"/>
  <c r="M23" i="1"/>
  <c r="M24" i="1"/>
  <c r="M25" i="1"/>
  <c r="J27" i="1"/>
  <c r="J25" i="1"/>
  <c r="J24" i="1"/>
  <c r="I50" i="1"/>
  <c r="C21" i="6"/>
  <c r="AE15" i="1"/>
  <c r="AD25" i="1"/>
  <c r="G50" i="1"/>
  <c r="H50" i="1"/>
  <c r="F50" i="1"/>
  <c r="F49" i="1"/>
  <c r="AF16" i="1"/>
  <c r="N7" i="1" l="1"/>
  <c r="F12" i="3"/>
  <c r="F12" i="1"/>
  <c r="AA45" i="1"/>
  <c r="AB44" i="1"/>
  <c r="AB46" i="1"/>
  <c r="AA46" i="1"/>
  <c r="AC45" i="1"/>
  <c r="AD44" i="1" s="1"/>
  <c r="AB45" i="1"/>
  <c r="AC44" i="1" s="1"/>
  <c r="Z45" i="1"/>
  <c r="AA44" i="1" s="1"/>
  <c r="G48" i="1" s="1"/>
  <c r="AF35" i="1"/>
  <c r="AF33" i="1"/>
  <c r="AF34" i="1"/>
  <c r="AF32" i="1"/>
  <c r="C18" i="6"/>
  <c r="AD24" i="1"/>
  <c r="AD26" i="1"/>
  <c r="AD27" i="1"/>
  <c r="I46" i="1"/>
  <c r="H46" i="1"/>
  <c r="G46" i="1"/>
  <c r="F46" i="1"/>
  <c r="F44" i="1"/>
  <c r="F45" i="1" s="1"/>
  <c r="I43" i="1"/>
  <c r="F43" i="1"/>
  <c r="H36" i="1"/>
  <c r="M35" i="1"/>
  <c r="N35" i="1" s="1"/>
  <c r="O35" i="1" s="1"/>
  <c r="P35" i="1" s="1"/>
  <c r="Q35" i="1" s="1"/>
  <c r="R35" i="1" s="1"/>
  <c r="S35" i="1" s="1"/>
  <c r="T35" i="1" s="1"/>
  <c r="U35" i="1" s="1"/>
  <c r="V35" i="1" s="1"/>
  <c r="W35" i="1" s="1"/>
  <c r="X35" i="1" s="1"/>
  <c r="L35" i="1"/>
  <c r="K35" i="1"/>
  <c r="J35" i="1"/>
  <c r="M34" i="1"/>
  <c r="N34" i="1" s="1"/>
  <c r="O34" i="1" s="1"/>
  <c r="P34" i="1" s="1"/>
  <c r="Q34" i="1" s="1"/>
  <c r="R34" i="1" s="1"/>
  <c r="S34" i="1" s="1"/>
  <c r="T34" i="1" s="1"/>
  <c r="U34" i="1" s="1"/>
  <c r="V34" i="1" s="1"/>
  <c r="W34" i="1" s="1"/>
  <c r="X34" i="1" s="1"/>
  <c r="L34" i="1"/>
  <c r="K34" i="1"/>
  <c r="J34" i="1"/>
  <c r="L33" i="1"/>
  <c r="K33" i="1"/>
  <c r="J33" i="1"/>
  <c r="M33" i="1" s="1"/>
  <c r="N33" i="1" s="1"/>
  <c r="O33" i="1" s="1"/>
  <c r="P33" i="1" s="1"/>
  <c r="Q33" i="1" s="1"/>
  <c r="R33" i="1" s="1"/>
  <c r="S33" i="1" s="1"/>
  <c r="T33" i="1" s="1"/>
  <c r="U33" i="1" s="1"/>
  <c r="V33" i="1" s="1"/>
  <c r="W33" i="1" s="1"/>
  <c r="X33" i="1" s="1"/>
  <c r="I31" i="1"/>
  <c r="I36" i="1" s="1"/>
  <c r="H31" i="1"/>
  <c r="G31" i="1"/>
  <c r="G36" i="1" s="1"/>
  <c r="F31" i="1"/>
  <c r="F36" i="1" s="1"/>
  <c r="L30" i="1"/>
  <c r="K30" i="1"/>
  <c r="J30" i="1"/>
  <c r="M30" i="1" s="1"/>
  <c r="N30" i="1" s="1"/>
  <c r="O30" i="1" s="1"/>
  <c r="P30" i="1" s="1"/>
  <c r="Q30" i="1" s="1"/>
  <c r="R30" i="1" s="1"/>
  <c r="S30" i="1" s="1"/>
  <c r="T30" i="1" s="1"/>
  <c r="U30" i="1" s="1"/>
  <c r="V30" i="1" s="1"/>
  <c r="W30" i="1" s="1"/>
  <c r="X30" i="1" s="1"/>
  <c r="O29" i="1"/>
  <c r="P29" i="1" s="1"/>
  <c r="N29" i="1"/>
  <c r="L29" i="1"/>
  <c r="K29" i="1"/>
  <c r="J29" i="1"/>
  <c r="M29" i="1" s="1"/>
  <c r="F28" i="1"/>
  <c r="M27" i="1"/>
  <c r="N27" i="1" s="1"/>
  <c r="O27" i="1" s="1"/>
  <c r="P27" i="1" s="1"/>
  <c r="Q27" i="1" s="1"/>
  <c r="R27" i="1" s="1"/>
  <c r="S27" i="1" s="1"/>
  <c r="T27" i="1" s="1"/>
  <c r="U27" i="1" s="1"/>
  <c r="V27" i="1" s="1"/>
  <c r="W27" i="1" s="1"/>
  <c r="X27" i="1" s="1"/>
  <c r="L27" i="1"/>
  <c r="K27" i="1"/>
  <c r="I26" i="1"/>
  <c r="I28" i="1" s="1"/>
  <c r="H26" i="1"/>
  <c r="H28" i="1" s="1"/>
  <c r="G26" i="1"/>
  <c r="G28" i="1" s="1"/>
  <c r="F26" i="1"/>
  <c r="N25" i="1"/>
  <c r="O25" i="1" s="1"/>
  <c r="P25" i="1" s="1"/>
  <c r="Q25" i="1" s="1"/>
  <c r="R25" i="1" s="1"/>
  <c r="S25" i="1" s="1"/>
  <c r="T25" i="1" s="1"/>
  <c r="U25" i="1" s="1"/>
  <c r="V25" i="1" s="1"/>
  <c r="W25" i="1" s="1"/>
  <c r="X25" i="1" s="1"/>
  <c r="L25" i="1"/>
  <c r="K25" i="1"/>
  <c r="L24" i="1"/>
  <c r="K24" i="1"/>
  <c r="N24" i="1"/>
  <c r="L23" i="1"/>
  <c r="K23" i="1"/>
  <c r="N23" i="1" s="1"/>
  <c r="AD45" i="1" s="1"/>
  <c r="AE44" i="1" s="1"/>
  <c r="J23" i="1"/>
  <c r="D13" i="1"/>
  <c r="I11" i="1" s="1"/>
  <c r="C13" i="1"/>
  <c r="B13" i="1"/>
  <c r="A13" i="1"/>
  <c r="G11" i="1"/>
  <c r="I10" i="1"/>
  <c r="G10" i="1"/>
  <c r="G6" i="1" s="1"/>
  <c r="F10" i="1"/>
  <c r="F11" i="1" s="1"/>
  <c r="M9" i="1"/>
  <c r="N9" i="1" s="1"/>
  <c r="L9" i="1"/>
  <c r="K9" i="1"/>
  <c r="J9" i="1"/>
  <c r="H8" i="1"/>
  <c r="H43" i="1" s="1"/>
  <c r="H44" i="1" s="1"/>
  <c r="G8" i="1"/>
  <c r="G43" i="1" s="1"/>
  <c r="F8" i="1"/>
  <c r="M7" i="1"/>
  <c r="O7" i="1" s="1"/>
  <c r="P7" i="1" s="1"/>
  <c r="Q7" i="1" s="1"/>
  <c r="R7" i="1" s="1"/>
  <c r="S7" i="1" s="1"/>
  <c r="T7" i="1" s="1"/>
  <c r="U7" i="1" s="1"/>
  <c r="V7" i="1" s="1"/>
  <c r="W7" i="1" s="1"/>
  <c r="X7" i="1" s="1"/>
  <c r="L7" i="1"/>
  <c r="K7" i="1"/>
  <c r="J7" i="1"/>
  <c r="I6" i="1"/>
  <c r="M5" i="1"/>
  <c r="N5" i="1" s="1"/>
  <c r="O5" i="1" s="1"/>
  <c r="P5" i="1" s="1"/>
  <c r="Q5" i="1" s="1"/>
  <c r="R5" i="1" s="1"/>
  <c r="S5" i="1" s="1"/>
  <c r="T5" i="1" s="1"/>
  <c r="U5" i="1" s="1"/>
  <c r="V5" i="1" s="1"/>
  <c r="W5" i="1" s="1"/>
  <c r="X5" i="1" s="1"/>
  <c r="L5" i="1"/>
  <c r="K5" i="1"/>
  <c r="J5" i="1"/>
  <c r="M4" i="1"/>
  <c r="N4" i="1" s="1"/>
  <c r="N6" i="1" s="1"/>
  <c r="L4" i="1"/>
  <c r="K4" i="1"/>
  <c r="J4" i="1"/>
  <c r="AD7" i="1"/>
  <c r="T7" i="3"/>
  <c r="T8" i="3"/>
  <c r="T9" i="3"/>
  <c r="T10" i="3"/>
  <c r="T11" i="3"/>
  <c r="T13" i="3"/>
  <c r="T14" i="3"/>
  <c r="T15" i="3"/>
  <c r="T16" i="3"/>
  <c r="T17" i="3"/>
  <c r="T6" i="3"/>
  <c r="S7" i="3"/>
  <c r="S8" i="3"/>
  <c r="S9" i="3"/>
  <c r="S10" i="3"/>
  <c r="S11" i="3"/>
  <c r="S13" i="3"/>
  <c r="S14" i="3"/>
  <c r="S15" i="3"/>
  <c r="S16" i="3"/>
  <c r="S17" i="3"/>
  <c r="S6" i="3"/>
  <c r="R6" i="3"/>
  <c r="Q7" i="3"/>
  <c r="R7" i="3" s="1"/>
  <c r="Q8" i="3"/>
  <c r="R8" i="3" s="1"/>
  <c r="Q9" i="3"/>
  <c r="R9" i="3" s="1"/>
  <c r="Q10" i="3"/>
  <c r="R10" i="3" s="1"/>
  <c r="Q11" i="3"/>
  <c r="R11" i="3" s="1"/>
  <c r="Q13" i="3"/>
  <c r="R13" i="3" s="1"/>
  <c r="Q14" i="3"/>
  <c r="R14" i="3" s="1"/>
  <c r="Q15" i="3"/>
  <c r="R15" i="3" s="1"/>
  <c r="Q16" i="3"/>
  <c r="R16" i="3" s="1"/>
  <c r="Q17" i="3"/>
  <c r="R17" i="3" s="1"/>
  <c r="P7" i="3"/>
  <c r="P8" i="3"/>
  <c r="P9" i="3"/>
  <c r="P10" i="3"/>
  <c r="P11" i="3"/>
  <c r="P13" i="3"/>
  <c r="P14" i="3"/>
  <c r="P15" i="3"/>
  <c r="P16" i="3"/>
  <c r="P17" i="3"/>
  <c r="P6" i="3"/>
  <c r="Q6" i="3" s="1"/>
  <c r="O6" i="3"/>
  <c r="N7" i="3"/>
  <c r="O7" i="3" s="1"/>
  <c r="N8" i="3"/>
  <c r="O8" i="3" s="1"/>
  <c r="N9" i="3"/>
  <c r="O9" i="3" s="1"/>
  <c r="N10" i="3"/>
  <c r="O10" i="3" s="1"/>
  <c r="N11" i="3"/>
  <c r="O11" i="3" s="1"/>
  <c r="N13" i="3"/>
  <c r="O13" i="3" s="1"/>
  <c r="N14" i="3"/>
  <c r="O14" i="3" s="1"/>
  <c r="N15" i="3"/>
  <c r="O15" i="3" s="1"/>
  <c r="N16" i="3"/>
  <c r="O16" i="3" s="1"/>
  <c r="N17" i="3"/>
  <c r="O17" i="3" s="1"/>
  <c r="M7" i="3"/>
  <c r="M8" i="3"/>
  <c r="M9" i="3"/>
  <c r="M10" i="3"/>
  <c r="M11" i="3"/>
  <c r="M13" i="3"/>
  <c r="M14" i="3"/>
  <c r="M15" i="3"/>
  <c r="M16" i="3"/>
  <c r="M17" i="3"/>
  <c r="M6" i="3"/>
  <c r="N6" i="3" s="1"/>
  <c r="L7" i="3"/>
  <c r="L8" i="3"/>
  <c r="L9" i="3"/>
  <c r="L10" i="3"/>
  <c r="L11" i="3"/>
  <c r="L13" i="3"/>
  <c r="L14" i="3"/>
  <c r="L15" i="3"/>
  <c r="L16" i="3"/>
  <c r="L17" i="3"/>
  <c r="L6" i="3"/>
  <c r="K6" i="3"/>
  <c r="K7" i="3"/>
  <c r="K8" i="3"/>
  <c r="K9" i="3"/>
  <c r="K10" i="3"/>
  <c r="K11" i="3"/>
  <c r="K13" i="3"/>
  <c r="K14" i="3"/>
  <c r="K15" i="3"/>
  <c r="K16" i="3"/>
  <c r="K17" i="3"/>
  <c r="J7" i="3"/>
  <c r="J8" i="3"/>
  <c r="J9" i="3"/>
  <c r="J10" i="3"/>
  <c r="J11" i="3"/>
  <c r="J13" i="3"/>
  <c r="J14" i="3"/>
  <c r="J15" i="3"/>
  <c r="J16" i="3"/>
  <c r="J17" i="3"/>
  <c r="J6" i="3"/>
  <c r="I7" i="3"/>
  <c r="I8" i="3"/>
  <c r="I9" i="3"/>
  <c r="I10" i="3"/>
  <c r="I11" i="3"/>
  <c r="I12" i="3"/>
  <c r="J12" i="3" s="1"/>
  <c r="K12" i="3" s="1"/>
  <c r="L12" i="3" s="1"/>
  <c r="M12" i="3" s="1"/>
  <c r="N12" i="3" s="1"/>
  <c r="O12" i="3" s="1"/>
  <c r="P12" i="3" s="1"/>
  <c r="Q12" i="3" s="1"/>
  <c r="R12" i="3" s="1"/>
  <c r="S12" i="3" s="1"/>
  <c r="T12" i="3" s="1"/>
  <c r="I13" i="3"/>
  <c r="I14" i="3"/>
  <c r="I15" i="3"/>
  <c r="I16" i="3"/>
  <c r="I17" i="3"/>
  <c r="I6" i="3"/>
  <c r="H7" i="3"/>
  <c r="H8" i="3"/>
  <c r="H9" i="3"/>
  <c r="H10" i="3"/>
  <c r="H11" i="3"/>
  <c r="H12" i="3"/>
  <c r="H13" i="3"/>
  <c r="H14" i="3"/>
  <c r="H15" i="3"/>
  <c r="H16" i="3"/>
  <c r="H17" i="3"/>
  <c r="G7" i="3"/>
  <c r="G8" i="3"/>
  <c r="G9" i="3"/>
  <c r="G10" i="3"/>
  <c r="G11" i="3"/>
  <c r="G12" i="3"/>
  <c r="G13" i="3"/>
  <c r="G14" i="3"/>
  <c r="G15" i="3"/>
  <c r="G16" i="3"/>
  <c r="G17" i="3"/>
  <c r="G6" i="3"/>
  <c r="H6" i="3"/>
  <c r="F6" i="3"/>
  <c r="F7" i="3"/>
  <c r="F8" i="3"/>
  <c r="F9" i="3"/>
  <c r="F10" i="3"/>
  <c r="F11" i="3"/>
  <c r="F13" i="3"/>
  <c r="F14" i="3"/>
  <c r="F15" i="3"/>
  <c r="F16" i="3"/>
  <c r="F17" i="3"/>
  <c r="AG8" i="1"/>
  <c r="AG9" i="1"/>
  <c r="AG10" i="1"/>
  <c r="AG7" i="1"/>
  <c r="AF8" i="1"/>
  <c r="AF9" i="1"/>
  <c r="AF10" i="1"/>
  <c r="AF7" i="1"/>
  <c r="AE8" i="1"/>
  <c r="AE9" i="1"/>
  <c r="AE10" i="1"/>
  <c r="AE7" i="1"/>
  <c r="AD9" i="1"/>
  <c r="AD10" i="1"/>
  <c r="AD8" i="1"/>
  <c r="G3" i="8"/>
  <c r="G5" i="8"/>
  <c r="G61" i="8"/>
  <c r="D61" i="8"/>
  <c r="G60" i="8"/>
  <c r="D60" i="8"/>
  <c r="G59" i="8"/>
  <c r="D59" i="8"/>
  <c r="G58" i="8"/>
  <c r="D58" i="8"/>
  <c r="G57" i="8"/>
  <c r="D57" i="8"/>
  <c r="G56" i="8"/>
  <c r="D56" i="8"/>
  <c r="G55" i="8"/>
  <c r="D55" i="8"/>
  <c r="G54" i="8"/>
  <c r="D54" i="8"/>
  <c r="G53" i="8"/>
  <c r="D53" i="8"/>
  <c r="G52" i="8"/>
  <c r="D52" i="8"/>
  <c r="G51" i="8"/>
  <c r="D51" i="8"/>
  <c r="G50" i="8"/>
  <c r="D50" i="8"/>
  <c r="G49" i="8"/>
  <c r="D49" i="8"/>
  <c r="G48" i="8"/>
  <c r="D48" i="8"/>
  <c r="G47" i="8"/>
  <c r="D47" i="8"/>
  <c r="G46" i="8"/>
  <c r="D46" i="8"/>
  <c r="G45" i="8"/>
  <c r="D45" i="8"/>
  <c r="G44" i="8"/>
  <c r="D44" i="8"/>
  <c r="G43" i="8"/>
  <c r="D43" i="8"/>
  <c r="G42" i="8"/>
  <c r="D42" i="8"/>
  <c r="G41" i="8"/>
  <c r="D41" i="8"/>
  <c r="G40" i="8"/>
  <c r="D40" i="8"/>
  <c r="G39" i="8"/>
  <c r="D39" i="8"/>
  <c r="G38" i="8"/>
  <c r="D38" i="8"/>
  <c r="G37" i="8"/>
  <c r="D37" i="8"/>
  <c r="G36" i="8"/>
  <c r="D36" i="8"/>
  <c r="G35" i="8"/>
  <c r="D35" i="8"/>
  <c r="G34" i="8"/>
  <c r="D34" i="8"/>
  <c r="G33" i="8"/>
  <c r="D33" i="8"/>
  <c r="G32" i="8"/>
  <c r="D32" i="8"/>
  <c r="G31" i="8"/>
  <c r="D31" i="8"/>
  <c r="G30" i="8"/>
  <c r="D30" i="8"/>
  <c r="G29" i="8"/>
  <c r="D29" i="8"/>
  <c r="G28" i="8"/>
  <c r="D28" i="8"/>
  <c r="G27" i="8"/>
  <c r="D27" i="8"/>
  <c r="G26" i="8"/>
  <c r="D26" i="8"/>
  <c r="G25" i="8"/>
  <c r="D25" i="8"/>
  <c r="G24" i="8"/>
  <c r="D24" i="8"/>
  <c r="G23" i="8"/>
  <c r="D23" i="8"/>
  <c r="G22" i="8"/>
  <c r="D22" i="8"/>
  <c r="G21" i="8"/>
  <c r="D21" i="8"/>
  <c r="G20" i="8"/>
  <c r="D20" i="8"/>
  <c r="G19" i="8"/>
  <c r="D19" i="8"/>
  <c r="G18" i="8"/>
  <c r="D18" i="8"/>
  <c r="G17" i="8"/>
  <c r="D17" i="8"/>
  <c r="G16" i="8"/>
  <c r="D16" i="8"/>
  <c r="G15" i="8"/>
  <c r="D15" i="8"/>
  <c r="G14" i="8"/>
  <c r="D14" i="8"/>
  <c r="G13" i="8"/>
  <c r="D13" i="8"/>
  <c r="G12" i="8"/>
  <c r="D12" i="8"/>
  <c r="G11" i="8"/>
  <c r="D11" i="8"/>
  <c r="G10" i="8"/>
  <c r="D10" i="8"/>
  <c r="G9" i="8"/>
  <c r="D9" i="8"/>
  <c r="G8" i="8"/>
  <c r="D8" i="8"/>
  <c r="G7" i="8"/>
  <c r="D7" i="8"/>
  <c r="G6" i="8"/>
  <c r="D6" i="8"/>
  <c r="D5" i="8"/>
  <c r="G4" i="8"/>
  <c r="D4" i="8"/>
  <c r="D3" i="8"/>
  <c r="J3" i="8" s="1"/>
  <c r="C14" i="6"/>
  <c r="C50" i="18"/>
  <c r="G67" i="18"/>
  <c r="J66" i="18"/>
  <c r="H61" i="18"/>
  <c r="G61" i="18"/>
  <c r="J60" i="18"/>
  <c r="H55" i="18"/>
  <c r="G55" i="18"/>
  <c r="J54" i="18"/>
  <c r="H49" i="18"/>
  <c r="G49" i="18"/>
  <c r="J48" i="18"/>
  <c r="R28" i="18"/>
  <c r="R29" i="18"/>
  <c r="R27" i="18"/>
  <c r="C68" i="18"/>
  <c r="C69" i="18"/>
  <c r="C70" i="18"/>
  <c r="C67" i="18"/>
  <c r="C58" i="18"/>
  <c r="C59" i="18"/>
  <c r="C60" i="18"/>
  <c r="C57" i="18"/>
  <c r="C48" i="18"/>
  <c r="C49" i="18"/>
  <c r="C47" i="18"/>
  <c r="F42" i="18"/>
  <c r="J39" i="18" s="1"/>
  <c r="F30" i="18"/>
  <c r="E40" i="18" s="1"/>
  <c r="D40" i="18"/>
  <c r="F7" i="20"/>
  <c r="F11" i="20" s="1"/>
  <c r="C7" i="20"/>
  <c r="C11" i="20" s="1"/>
  <c r="D6" i="20"/>
  <c r="D7" i="20" s="1"/>
  <c r="D11" i="20" s="1"/>
  <c r="E6" i="20"/>
  <c r="E7" i="20" s="1"/>
  <c r="E11" i="20" s="1"/>
  <c r="F6" i="20"/>
  <c r="C6" i="20"/>
  <c r="E30" i="18"/>
  <c r="E39" i="18" s="1"/>
  <c r="D39" i="18" s="1"/>
  <c r="G30" i="18"/>
  <c r="E41" i="18" s="1"/>
  <c r="D41" i="18" s="1"/>
  <c r="D30" i="18"/>
  <c r="E38" i="18" s="1"/>
  <c r="D38" i="18" s="1"/>
  <c r="E26" i="18"/>
  <c r="F26" i="18"/>
  <c r="G26" i="18"/>
  <c r="D26" i="18"/>
  <c r="C10" i="6"/>
  <c r="C9" i="6"/>
  <c r="C23" i="9"/>
  <c r="C15" i="9"/>
  <c r="AD46" i="1" l="1"/>
  <c r="J48" i="1" s="1"/>
  <c r="Z46" i="1"/>
  <c r="F48" i="1" s="1"/>
  <c r="H48" i="1"/>
  <c r="H49" i="1" s="1"/>
  <c r="AC46" i="1"/>
  <c r="I48" i="1" s="1"/>
  <c r="G45" i="1"/>
  <c r="G49" i="1" s="1"/>
  <c r="O24" i="1"/>
  <c r="N26" i="1"/>
  <c r="N28" i="1" s="1"/>
  <c r="O23" i="1"/>
  <c r="AE45" i="1" s="1"/>
  <c r="O9" i="1"/>
  <c r="J43" i="1"/>
  <c r="I12" i="1"/>
  <c r="Q29" i="1"/>
  <c r="P31" i="1"/>
  <c r="P36" i="1" s="1"/>
  <c r="F16" i="1"/>
  <c r="F15" i="1"/>
  <c r="I44" i="1"/>
  <c r="I45" i="1"/>
  <c r="N31" i="1"/>
  <c r="N36" i="1" s="1"/>
  <c r="J11" i="1"/>
  <c r="H10" i="1"/>
  <c r="G44" i="1"/>
  <c r="N8" i="1"/>
  <c r="A15" i="1"/>
  <c r="G12" i="1"/>
  <c r="O31" i="1"/>
  <c r="O36" i="1" s="1"/>
  <c r="F6" i="1"/>
  <c r="O4" i="1"/>
  <c r="H45" i="1"/>
  <c r="L39" i="18"/>
  <c r="AE46" i="1" l="1"/>
  <c r="K48" i="1" s="1"/>
  <c r="AF44" i="1"/>
  <c r="I49" i="1"/>
  <c r="AD33" i="1"/>
  <c r="AD34" i="1"/>
  <c r="AD35" i="1"/>
  <c r="J46" i="1"/>
  <c r="N10" i="1"/>
  <c r="I16" i="1"/>
  <c r="I15" i="1"/>
  <c r="AG16" i="1"/>
  <c r="AG18" i="1"/>
  <c r="AE16" i="1"/>
  <c r="AF18" i="1"/>
  <c r="AD17" i="1"/>
  <c r="AF15" i="1"/>
  <c r="AE17" i="1"/>
  <c r="AG15" i="1"/>
  <c r="AF17" i="1"/>
  <c r="AG17" i="1"/>
  <c r="AD18" i="1"/>
  <c r="AD16" i="1"/>
  <c r="AE18" i="1"/>
  <c r="J44" i="1"/>
  <c r="J45" i="1" s="1"/>
  <c r="P23" i="1"/>
  <c r="G16" i="1"/>
  <c r="G15" i="1"/>
  <c r="P9" i="1"/>
  <c r="K43" i="1"/>
  <c r="H6" i="1"/>
  <c r="H11" i="1"/>
  <c r="R29" i="1"/>
  <c r="Q31" i="1"/>
  <c r="Q36" i="1" s="1"/>
  <c r="P24" i="1"/>
  <c r="O26" i="1"/>
  <c r="O28" i="1" s="1"/>
  <c r="P4" i="1"/>
  <c r="O8" i="1"/>
  <c r="O6" i="1"/>
  <c r="AO24" i="1"/>
  <c r="I49" i="18"/>
  <c r="J49" i="18" s="1"/>
  <c r="J47" i="18"/>
  <c r="I55" i="18"/>
  <c r="J55" i="18" s="1"/>
  <c r="J53" i="18"/>
  <c r="I61" i="18"/>
  <c r="J61" i="18" s="1"/>
  <c r="J59" i="18"/>
  <c r="I67" i="18"/>
  <c r="J67" i="18" s="1"/>
  <c r="J65" i="18"/>
  <c r="AF46" i="1" l="1"/>
  <c r="L48" i="1" s="1"/>
  <c r="J49" i="1"/>
  <c r="J50" i="1" s="1"/>
  <c r="AE34" i="1"/>
  <c r="AE35" i="1"/>
  <c r="AE33" i="1"/>
  <c r="K44" i="1"/>
  <c r="K45" i="1" s="1"/>
  <c r="K49" i="1" s="1"/>
  <c r="K50" i="1" s="1"/>
  <c r="Q23" i="1"/>
  <c r="AG45" i="1" s="1"/>
  <c r="AH44" i="1" s="1"/>
  <c r="K46" i="1"/>
  <c r="O10" i="1"/>
  <c r="P6" i="1"/>
  <c r="Q4" i="1"/>
  <c r="P8" i="1"/>
  <c r="P26" i="1"/>
  <c r="P28" i="1" s="1"/>
  <c r="Q24" i="1"/>
  <c r="Q9" i="1"/>
  <c r="L43" i="1"/>
  <c r="S29" i="1"/>
  <c r="R31" i="1"/>
  <c r="R36" i="1" s="1"/>
  <c r="K11" i="1"/>
  <c r="L11" i="1"/>
  <c r="H12" i="1"/>
  <c r="AG46" i="1" l="1"/>
  <c r="M48" i="1" s="1"/>
  <c r="AG33" i="1"/>
  <c r="AH33" i="1"/>
  <c r="AH35" i="1"/>
  <c r="AG35" i="1"/>
  <c r="AG34" i="1"/>
  <c r="AH34" i="1"/>
  <c r="AH32" i="1"/>
  <c r="M43" i="1"/>
  <c r="R9" i="1"/>
  <c r="Q26" i="1"/>
  <c r="Q28" i="1" s="1"/>
  <c r="R24" i="1"/>
  <c r="H16" i="1"/>
  <c r="H15" i="1"/>
  <c r="R23" i="1"/>
  <c r="AH45" i="1" s="1"/>
  <c r="M11" i="1"/>
  <c r="P10" i="1"/>
  <c r="L46" i="1"/>
  <c r="T29" i="1"/>
  <c r="S31" i="1"/>
  <c r="S36" i="1" s="1"/>
  <c r="Q6" i="1"/>
  <c r="Q8" i="1"/>
  <c r="R4" i="1"/>
  <c r="L44" i="1"/>
  <c r="L45" i="1" s="1"/>
  <c r="AI44" i="1" l="1"/>
  <c r="AH46" i="1"/>
  <c r="N48" i="1" s="1"/>
  <c r="S23" i="1"/>
  <c r="AI45" i="1" s="1"/>
  <c r="AJ44" i="1" s="1"/>
  <c r="U29" i="1"/>
  <c r="T31" i="1"/>
  <c r="T36" i="1" s="1"/>
  <c r="R26" i="1"/>
  <c r="R28" i="1" s="1"/>
  <c r="S24" i="1"/>
  <c r="L49" i="1"/>
  <c r="L50" i="1" s="1"/>
  <c r="R11" i="1"/>
  <c r="W11" i="1" s="1"/>
  <c r="N11" i="1"/>
  <c r="O11" i="1"/>
  <c r="M44" i="1"/>
  <c r="M45" i="1" s="1"/>
  <c r="M49" i="1" s="1"/>
  <c r="M50" i="1" s="1"/>
  <c r="R8" i="1"/>
  <c r="R6" i="1"/>
  <c r="S4" i="1"/>
  <c r="P11" i="1"/>
  <c r="U11" i="1" s="1"/>
  <c r="Q11" i="1"/>
  <c r="V11" i="1" s="1"/>
  <c r="M46" i="1"/>
  <c r="Q10" i="1"/>
  <c r="N43" i="1"/>
  <c r="S9" i="1"/>
  <c r="AI46" i="1" l="1"/>
  <c r="O48" i="1" s="1"/>
  <c r="S11" i="1"/>
  <c r="X11" i="1" s="1"/>
  <c r="N12" i="1"/>
  <c r="V29" i="1"/>
  <c r="U31" i="1"/>
  <c r="U36" i="1" s="1"/>
  <c r="S8" i="1"/>
  <c r="S6" i="1"/>
  <c r="T4" i="1"/>
  <c r="P12" i="1"/>
  <c r="T9" i="1"/>
  <c r="O43" i="1"/>
  <c r="R10" i="1"/>
  <c r="R12" i="1" s="1"/>
  <c r="N46" i="1"/>
  <c r="T24" i="1"/>
  <c r="S26" i="1"/>
  <c r="S28" i="1" s="1"/>
  <c r="Q12" i="1"/>
  <c r="N45" i="1"/>
  <c r="N49" i="1" s="1"/>
  <c r="N50" i="1" s="1"/>
  <c r="N44" i="1"/>
  <c r="T11" i="1"/>
  <c r="O12" i="1"/>
  <c r="T23" i="1"/>
  <c r="AJ45" i="1" s="1"/>
  <c r="AK44" i="1" l="1"/>
  <c r="AJ46" i="1"/>
  <c r="P48" i="1" s="1"/>
  <c r="Q15" i="1"/>
  <c r="Q16" i="1"/>
  <c r="V31" i="1"/>
  <c r="V36" i="1" s="1"/>
  <c r="W29" i="1"/>
  <c r="U23" i="1"/>
  <c r="AK45" i="1" s="1"/>
  <c r="P43" i="1"/>
  <c r="U9" i="1"/>
  <c r="O15" i="1"/>
  <c r="O16" i="1"/>
  <c r="P15" i="1"/>
  <c r="P16" i="1"/>
  <c r="R16" i="1"/>
  <c r="R15" i="1"/>
  <c r="T26" i="1"/>
  <c r="T28" i="1" s="1"/>
  <c r="U24" i="1"/>
  <c r="O44" i="1"/>
  <c r="O45" i="1" s="1"/>
  <c r="O49" i="1" s="1"/>
  <c r="O50" i="1" s="1"/>
  <c r="T8" i="1"/>
  <c r="U4" i="1"/>
  <c r="T6" i="1"/>
  <c r="O46" i="1"/>
  <c r="S10" i="1"/>
  <c r="S12" i="1" s="1"/>
  <c r="AL44" i="1" l="1"/>
  <c r="AK46" i="1"/>
  <c r="Q48" i="1" s="1"/>
  <c r="V9" i="1"/>
  <c r="Q43" i="1"/>
  <c r="V4" i="1"/>
  <c r="U8" i="1"/>
  <c r="U6" i="1"/>
  <c r="P44" i="1"/>
  <c r="P45" i="1" s="1"/>
  <c r="T10" i="1"/>
  <c r="T12" i="1" s="1"/>
  <c r="P46" i="1"/>
  <c r="V23" i="1"/>
  <c r="AL45" i="1" s="1"/>
  <c r="AM44" i="1" s="1"/>
  <c r="W31" i="1"/>
  <c r="W36" i="1" s="1"/>
  <c r="X29" i="1"/>
  <c r="X31" i="1" s="1"/>
  <c r="X36" i="1" s="1"/>
  <c r="U26" i="1"/>
  <c r="U28" i="1" s="1"/>
  <c r="V24" i="1"/>
  <c r="AL46" i="1" l="1"/>
  <c r="R48" i="1" s="1"/>
  <c r="U10" i="1"/>
  <c r="U12" i="1" s="1"/>
  <c r="Q46" i="1"/>
  <c r="V6" i="1"/>
  <c r="W4" i="1"/>
  <c r="V8" i="1"/>
  <c r="Q44" i="1"/>
  <c r="Q45" i="1" s="1"/>
  <c r="Q49" i="1" s="1"/>
  <c r="Q50" i="1" s="1"/>
  <c r="R43" i="1"/>
  <c r="W9" i="1"/>
  <c r="T15" i="1"/>
  <c r="T16" i="1"/>
  <c r="W23" i="1"/>
  <c r="AM45" i="1" s="1"/>
  <c r="W24" i="1"/>
  <c r="V26" i="1"/>
  <c r="V28" i="1" s="1"/>
  <c r="P49" i="1"/>
  <c r="P50" i="1" s="1"/>
  <c r="AM46" i="1" l="1"/>
  <c r="S48" i="1" s="1"/>
  <c r="AN44" i="1"/>
  <c r="W6" i="1"/>
  <c r="X4" i="1"/>
  <c r="W8" i="1"/>
  <c r="X9" i="1"/>
  <c r="T43" i="1" s="1"/>
  <c r="S43" i="1"/>
  <c r="R44" i="1"/>
  <c r="R45" i="1" s="1"/>
  <c r="R49" i="1" s="1"/>
  <c r="R50" i="1" s="1"/>
  <c r="U16" i="1"/>
  <c r="U15" i="1"/>
  <c r="X24" i="1"/>
  <c r="W26" i="1"/>
  <c r="X23" i="1"/>
  <c r="AN45" i="1" s="1"/>
  <c r="AN46" i="1" s="1"/>
  <c r="T48" i="1" s="1"/>
  <c r="W28" i="1"/>
  <c r="R46" i="1"/>
  <c r="V10" i="1"/>
  <c r="V12" i="1" s="1"/>
  <c r="X6" i="1" l="1"/>
  <c r="X8" i="1"/>
  <c r="AO25" i="1"/>
  <c r="AO26" i="1" s="1"/>
  <c r="S44" i="1"/>
  <c r="S45" i="1" s="1"/>
  <c r="S49" i="1" s="1"/>
  <c r="S50" i="1" s="1"/>
  <c r="T44" i="1"/>
  <c r="T45" i="1" s="1"/>
  <c r="S46" i="1"/>
  <c r="W10" i="1"/>
  <c r="W12" i="1" s="1"/>
  <c r="X26" i="1"/>
  <c r="X28" i="1" s="1"/>
  <c r="V16" i="1"/>
  <c r="V15" i="1"/>
  <c r="X10" i="1" l="1"/>
  <c r="X12" i="1" s="1"/>
  <c r="T46" i="1"/>
  <c r="W16" i="1"/>
  <c r="W15" i="1"/>
  <c r="T30" i="18"/>
  <c r="S35" i="18"/>
  <c r="U35" i="18"/>
</calcChain>
</file>

<file path=xl/sharedStrings.xml><?xml version="1.0" encoding="utf-8"?>
<sst xmlns="http://schemas.openxmlformats.org/spreadsheetml/2006/main" count="736" uniqueCount="578">
  <si>
    <t>Historical data</t>
  </si>
  <si>
    <t>Proforma income statement</t>
  </si>
  <si>
    <t>Consolidated income statement exepted per share</t>
  </si>
  <si>
    <t>Growth rate 2018/2019</t>
  </si>
  <si>
    <t>Growth rate 2019/2020</t>
  </si>
  <si>
    <t>Growth rate 2020/2021</t>
  </si>
  <si>
    <t>Average growth rate</t>
  </si>
  <si>
    <t>Terminal-Value Cash Flow Estimate</t>
  </si>
  <si>
    <t>Income statement</t>
  </si>
  <si>
    <t>Method 1 - DCF Using the Gordon Growth Model</t>
  </si>
  <si>
    <t>Revenues</t>
  </si>
  <si>
    <t>Terminal-Value Multiples from the Gorden Model</t>
  </si>
  <si>
    <t>Pretax income</t>
  </si>
  <si>
    <t>General&amp;adminis expenses</t>
  </si>
  <si>
    <t>Growth Rates (g)</t>
  </si>
  <si>
    <t>EBITDA</t>
  </si>
  <si>
    <t>Discount Rates</t>
  </si>
  <si>
    <t>Depreciation</t>
  </si>
  <si>
    <t>income taxe</t>
  </si>
  <si>
    <t>Net operating income (EBIT)</t>
  </si>
  <si>
    <t>Interest expenses</t>
  </si>
  <si>
    <t>Earning before taxes(EBT)</t>
  </si>
  <si>
    <t>Taxe rate</t>
  </si>
  <si>
    <t>Taxes</t>
  </si>
  <si>
    <t>Net income</t>
  </si>
  <si>
    <t>Terminal-Value Estimates</t>
  </si>
  <si>
    <t>Basic shares outstanding</t>
  </si>
  <si>
    <t>Average taxe rate</t>
  </si>
  <si>
    <t>Shares outstanding</t>
  </si>
  <si>
    <t>Basic EPS</t>
  </si>
  <si>
    <t>-</t>
  </si>
  <si>
    <t>EPS</t>
  </si>
  <si>
    <t>Method 2 - Multiples Using Enterprise-Value to EBITDA Ratio</t>
  </si>
  <si>
    <t>Proforma Balance sheet</t>
  </si>
  <si>
    <t>EV/EBITDA</t>
  </si>
  <si>
    <t>Terminal Value</t>
  </si>
  <si>
    <t>Current assets</t>
  </si>
  <si>
    <t>Gross PP&amp;E</t>
  </si>
  <si>
    <t>Less: accumulated depreciation</t>
  </si>
  <si>
    <t>Net PP&amp;E</t>
  </si>
  <si>
    <t>Goodwill</t>
  </si>
  <si>
    <t>Total</t>
  </si>
  <si>
    <t>Current liabilities</t>
  </si>
  <si>
    <t>Calculate the Present Value of Future Cash Flows</t>
  </si>
  <si>
    <t>Long-term debt</t>
  </si>
  <si>
    <t>Enterprise Value</t>
  </si>
  <si>
    <t>Total liabilities</t>
  </si>
  <si>
    <t>Discount Rate</t>
  </si>
  <si>
    <t>PP FCF</t>
  </si>
  <si>
    <t>Method 1</t>
  </si>
  <si>
    <t>Method 2</t>
  </si>
  <si>
    <t>Common stock (par)</t>
  </si>
  <si>
    <t>Paid-in-capital</t>
  </si>
  <si>
    <t>Retained earnings</t>
  </si>
  <si>
    <t>Common equity</t>
  </si>
  <si>
    <t>Projected firm's FCF</t>
  </si>
  <si>
    <t>Years</t>
  </si>
  <si>
    <t>Net operating income</t>
  </si>
  <si>
    <t>NWC  (n-1)</t>
  </si>
  <si>
    <t>NOPAT</t>
  </si>
  <si>
    <t>NWC  (n)</t>
  </si>
  <si>
    <t>Plus: depreciation</t>
  </si>
  <si>
    <t>Changes</t>
  </si>
  <si>
    <t>Less: CAPEX</t>
  </si>
  <si>
    <t>Less: changes in NWC</t>
  </si>
  <si>
    <t>Equals firm FCF</t>
  </si>
  <si>
    <t>FCF including TV (EBITDA multiple = )</t>
  </si>
  <si>
    <t>NPV</t>
  </si>
  <si>
    <t>IRR</t>
  </si>
  <si>
    <t>Average</t>
  </si>
  <si>
    <t>Goldman Sachs Group, Inc. (The) financial analysis and benchmarking using SEC data (readyratios.com)</t>
  </si>
  <si>
    <t>Financial ratios</t>
  </si>
  <si>
    <t>Liquidity ratios</t>
  </si>
  <si>
    <t>Current ratio</t>
  </si>
  <si>
    <t>Cash ratio</t>
  </si>
  <si>
    <t xml:space="preserve">                                0,45</t>
  </si>
  <si>
    <t xml:space="preserve">                                     0,42</t>
  </si>
  <si>
    <t xml:space="preserve">The company has a cash ratio of 0.96 in 2021 , so the comapny can't pay his short term liability  with its cash.  But those values are normal in the financial services industry average </t>
  </si>
  <si>
    <t>Solvency ratio</t>
  </si>
  <si>
    <t>Debt ratio</t>
  </si>
  <si>
    <t>Debt  to equity ratio</t>
  </si>
  <si>
    <t>The debt to equity ratio is very high.  It is greater than 1 so Goldman Sahcs finance more assets with debt than equity. The amount of total liability and equity have increased over the last tree years however the amount of liability is always  higher than the amount of equity.</t>
  </si>
  <si>
    <t>Profitability ratio</t>
  </si>
  <si>
    <t>ROA</t>
  </si>
  <si>
    <t>0,9%</t>
  </si>
  <si>
    <t>ROE</t>
  </si>
  <si>
    <t>10,1%</t>
  </si>
  <si>
    <t>5. Evaluate the firm using Comparables</t>
  </si>
  <si>
    <t>a) How do you choose comparable companies?</t>
  </si>
  <si>
    <t>b) Which valuation ratio provides more estimates? Why?</t>
  </si>
  <si>
    <t>1) How do you choose comparable companies</t>
  </si>
  <si>
    <t>In order to choose comparable companies we look at companies from the same industry</t>
  </si>
  <si>
    <t>then we look at companies with similar offering of services</t>
  </si>
  <si>
    <t>we can also look at the different direct competitors of t he company which helps us identify which company is suitable</t>
  </si>
  <si>
    <t>2) Which valuation ratio provides more reliable estimates ? Why ?</t>
  </si>
  <si>
    <t>Generally speaking the P/E ratio will be a better choice overall</t>
  </si>
  <si>
    <t>but, in our case the company is a well established, mature company which is stable</t>
  </si>
  <si>
    <t>also it provides a good valuation tool for business in which most of the value comes from the firm's existing assets</t>
  </si>
  <si>
    <t>EBITDA Multiples</t>
  </si>
  <si>
    <t>Entreprise values (in billion $ )</t>
  </si>
  <si>
    <t xml:space="preserve">Shares outstanding </t>
  </si>
  <si>
    <t>Share Price (USD)</t>
  </si>
  <si>
    <t>EPS (USD)</t>
  </si>
  <si>
    <t>P/E ratio</t>
  </si>
  <si>
    <t>Shares price</t>
  </si>
  <si>
    <t>Morgan Stanley</t>
  </si>
  <si>
    <t>Market capitalization</t>
  </si>
  <si>
    <t>JPMorgan Chase &amp; Co.</t>
  </si>
  <si>
    <t>Total debt</t>
  </si>
  <si>
    <t>Bank of America Corporation</t>
  </si>
  <si>
    <t>Cash</t>
  </si>
  <si>
    <t>Entreprise valuation</t>
  </si>
  <si>
    <t>2021 EPS</t>
  </si>
  <si>
    <t>Forcasted share price</t>
  </si>
  <si>
    <t>Outstanding shares in 2022</t>
  </si>
  <si>
    <t>Forcasted Equity Value</t>
  </si>
  <si>
    <t>The Goldman Sachs Group, Inc. (GS) Financial Ratios and Metrics | Stock Analysis</t>
  </si>
  <si>
    <t>Goldman Sachs</t>
  </si>
  <si>
    <t>Entreprise value calculation (in billion $)</t>
  </si>
  <si>
    <t xml:space="preserve">Time </t>
  </si>
  <si>
    <t>Average EBITDA multiple ratio</t>
  </si>
  <si>
    <t>EV</t>
  </si>
  <si>
    <t>Time</t>
  </si>
  <si>
    <t xml:space="preserve">EBITDA multiple </t>
  </si>
  <si>
    <t xml:space="preserve">Average </t>
  </si>
  <si>
    <t xml:space="preserve">Years </t>
  </si>
  <si>
    <t>EBITDA(in billion)</t>
  </si>
  <si>
    <t>Entreprise Value(in Billion)</t>
  </si>
  <si>
    <t xml:space="preserve">EBITDA Multiple </t>
  </si>
  <si>
    <t>EBITDA Multiples 2018</t>
  </si>
  <si>
    <t>Multiples</t>
  </si>
  <si>
    <t>EBITDA Multiples 2019</t>
  </si>
  <si>
    <t>EBITDA Multiple</t>
  </si>
  <si>
    <t>EBITDA Multiples 2020</t>
  </si>
  <si>
    <t>EBITDA Multiples 2021</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</si>
  <si>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</si>
  <si>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</si>
  <si>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</si>
  <si>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</si>
  <si>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</si>
  <si>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</si>
  <si>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</si>
  <si>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</si>
  <si>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</si>
  <si>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</si>
  <si>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</si>
  <si>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</si>
  <si>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</si>
  <si>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</si>
  <si>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</si>
  <si>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</si>
  <si>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</si>
  <si>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</si>
  <si>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</si>
  <si>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</si>
  <si>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</si>
  <si>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</si>
  <si>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</si>
  <si>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X Variable 1</t>
  </si>
  <si>
    <t>RESIDUAL OUTPUT</t>
  </si>
  <si>
    <t>Observation</t>
  </si>
  <si>
    <t>Predicted Y</t>
  </si>
  <si>
    <t>Residuals</t>
  </si>
  <si>
    <t>SALES 2021</t>
  </si>
  <si>
    <t>EBITA 2021</t>
  </si>
  <si>
    <t>TAXES</t>
  </si>
  <si>
    <t>Rate</t>
  </si>
  <si>
    <t>Scenario</t>
  </si>
  <si>
    <t>Break even point</t>
  </si>
  <si>
    <t>SALES 2018</t>
  </si>
  <si>
    <t>sales</t>
  </si>
  <si>
    <t>INCOME</t>
  </si>
  <si>
    <t>WACC for The Goldman Sachs Group, Inc. (NYSE:GS) | finbox.com</t>
  </si>
  <si>
    <t>Yield for 10-year Treasury bonds:</t>
  </si>
  <si>
    <t>Last price in percentage</t>
  </si>
  <si>
    <t>In billion $</t>
  </si>
  <si>
    <t>Golman's Market Capitalization</t>
  </si>
  <si>
    <t>Disney's Book Value of Debt</t>
  </si>
  <si>
    <t>weight of debt:</t>
  </si>
  <si>
    <t>weight of equity:</t>
  </si>
  <si>
    <t>equity's beta:</t>
  </si>
  <si>
    <t>Cost of equity:</t>
  </si>
  <si>
    <t>market risk premium:</t>
  </si>
  <si>
    <t>Cost of debt:</t>
  </si>
  <si>
    <t>Maturity is 04/22/2032</t>
  </si>
  <si>
    <t>GS5167956</t>
  </si>
  <si>
    <t>https://finra-markets.morningstar.com/BondCenter/Results.jsp</t>
  </si>
  <si>
    <t>Effective cost of debt:</t>
  </si>
  <si>
    <t>taxe rate</t>
  </si>
  <si>
    <t>WACC:</t>
  </si>
  <si>
    <t>Date</t>
  </si>
  <si>
    <t>Open</t>
  </si>
  <si>
    <t>High</t>
  </si>
  <si>
    <t>Low</t>
  </si>
  <si>
    <t>Close*</t>
  </si>
  <si>
    <t>Adj Close**</t>
  </si>
  <si>
    <t>Volume</t>
  </si>
  <si>
    <t>Apr 01 2022</t>
  </si>
  <si>
    <t>Feb 01 2022</t>
  </si>
  <si>
    <t>Dec 01 2021</t>
  </si>
  <si>
    <t>Aug 01 2021</t>
  </si>
  <si>
    <t>Jul 01 2021</t>
  </si>
  <si>
    <t>Jun 01 2021</t>
  </si>
  <si>
    <t>May 01 2021</t>
  </si>
  <si>
    <t>Apr 01 2021</t>
  </si>
  <si>
    <t>Feb 01 2021</t>
  </si>
  <si>
    <t>Dec 01 2020</t>
  </si>
  <si>
    <t>Aug 01 2020</t>
  </si>
  <si>
    <t>Jul 01 2020</t>
  </si>
  <si>
    <t>Jun 01 2020</t>
  </si>
  <si>
    <t>May 01 2020</t>
  </si>
  <si>
    <t>Apr 01 2020</t>
  </si>
  <si>
    <t>Feb 01 2020</t>
  </si>
  <si>
    <t>Dec 01 2019</t>
  </si>
  <si>
    <t>Aug 01 2019</t>
  </si>
  <si>
    <t>Jul 01 2019</t>
  </si>
  <si>
    <t>Jun 01 2019</t>
  </si>
  <si>
    <t>May 01 2019</t>
  </si>
  <si>
    <t>Apr 01 2019</t>
  </si>
  <si>
    <t>Feb 01 2019</t>
  </si>
  <si>
    <t>Dec 01 2018</t>
  </si>
  <si>
    <t>Aug 01 2018</t>
  </si>
  <si>
    <t>Jul 01 2018</t>
  </si>
  <si>
    <t>Jun 01 2018</t>
  </si>
  <si>
    <t>May 01 2018</t>
  </si>
  <si>
    <t>Apr 01 2018</t>
  </si>
  <si>
    <t>Feb 01 2018</t>
  </si>
  <si>
    <t>Dec 01 2017</t>
  </si>
  <si>
    <t>Aug 01 2017</t>
  </si>
  <si>
    <t>Jul 01 2017</t>
  </si>
  <si>
    <t>Jun 01 2017</t>
  </si>
  <si>
    <t>May 01 2017</t>
  </si>
  <si>
    <t>Adj Close</t>
  </si>
  <si>
    <t>SP 500</t>
  </si>
  <si>
    <t>GS</t>
  </si>
  <si>
    <t>Beta:</t>
  </si>
  <si>
    <t xml:space="preserve">Consolidated Cash Flow Statements </t>
  </si>
  <si>
    <t> </t>
  </si>
  <si>
    <t xml:space="preserve">$ in millions </t>
  </si>
  <si>
    <t>Growth rate 2019/2018</t>
  </si>
  <si>
    <t>Growth rate 2020/2019</t>
  </si>
  <si>
    <t>Growth rate 2021/2020</t>
  </si>
  <si>
    <t>Cash flows from operating activities</t>
  </si>
  <si>
    <t>Investment cahflow</t>
  </si>
  <si>
    <t>Financial cashflow</t>
  </si>
  <si>
    <t>End cash Position</t>
  </si>
  <si>
    <t>Income Tax Paid Supplemental Data</t>
  </si>
  <si>
    <t>Interest Paid Supplemental Data</t>
  </si>
  <si>
    <t>Capital Expenditure</t>
  </si>
  <si>
    <t>Issuance of Capital Stock</t>
  </si>
  <si>
    <t>Issuance of Debt</t>
  </si>
  <si>
    <t>Repayment of Debt</t>
  </si>
  <si>
    <t>Repurchase of Capital Stock</t>
  </si>
  <si>
    <t>Free Cash Flow</t>
  </si>
  <si>
    <t>taxe</t>
  </si>
  <si>
    <t>Mkt return</t>
  </si>
  <si>
    <t>4540,32</t>
  </si>
  <si>
    <t>4593,45</t>
  </si>
  <si>
    <t>4450,04</t>
  </si>
  <si>
    <t>4481,15</t>
  </si>
  <si>
    <t>01-mars-22</t>
  </si>
  <si>
    <t>4363,14</t>
  </si>
  <si>
    <t>4637,3</t>
  </si>
  <si>
    <t>4157,87</t>
  </si>
  <si>
    <t>4530,41</t>
  </si>
  <si>
    <t>0,0109927</t>
  </si>
  <si>
    <t>4519,57</t>
  </si>
  <si>
    <t>4595,31</t>
  </si>
  <si>
    <t>4114,65</t>
  </si>
  <si>
    <t>4373,94</t>
  </si>
  <si>
    <t>-0,0345377</t>
  </si>
  <si>
    <t>01-janv-22</t>
  </si>
  <si>
    <t>4778,14</t>
  </si>
  <si>
    <t>4818,62</t>
  </si>
  <si>
    <t>4222,62</t>
  </si>
  <si>
    <t>4515,55</t>
  </si>
  <si>
    <t>0,0323758</t>
  </si>
  <si>
    <t>4602,82</t>
  </si>
  <si>
    <t>4808,93</t>
  </si>
  <si>
    <t>4495,12</t>
  </si>
  <si>
    <t>4766,18</t>
  </si>
  <si>
    <t>0,0555038</t>
  </si>
  <si>
    <t>4610,62</t>
  </si>
  <si>
    <t>4743,83</t>
  </si>
  <si>
    <t>-0,0417903</t>
  </si>
  <si>
    <t>4317,16</t>
  </si>
  <si>
    <t>4608,08</t>
  </si>
  <si>
    <t>4278,94</t>
  </si>
  <si>
    <t>4605,38</t>
  </si>
  <si>
    <t>0,0084038</t>
  </si>
  <si>
    <t>4528,8</t>
  </si>
  <si>
    <t>4545,85</t>
  </si>
  <si>
    <t>4305,91</t>
  </si>
  <si>
    <t>4307,54</t>
  </si>
  <si>
    <t>-0,0646722</t>
  </si>
  <si>
    <t>4406,86</t>
  </si>
  <si>
    <t>4537,36</t>
  </si>
  <si>
    <t>4367,73</t>
  </si>
  <si>
    <t>4522,68</t>
  </si>
  <si>
    <t>0,049945</t>
  </si>
  <si>
    <t>4300,73</t>
  </si>
  <si>
    <t>4429,97</t>
  </si>
  <si>
    <t>4233,13</t>
  </si>
  <si>
    <t>4395,26</t>
  </si>
  <si>
    <t>-0,0281736</t>
  </si>
  <si>
    <t>4216,52</t>
  </si>
  <si>
    <t>4302,43</t>
  </si>
  <si>
    <t>4164,4</t>
  </si>
  <si>
    <t>4297,5</t>
  </si>
  <si>
    <t>-0,0222421</t>
  </si>
  <si>
    <t>4191,98</t>
  </si>
  <si>
    <t>4238,04</t>
  </si>
  <si>
    <t>4056,88</t>
  </si>
  <si>
    <t>4204,11</t>
  </si>
  <si>
    <t>-0,0217312</t>
  </si>
  <si>
    <t>3992,78</t>
  </si>
  <si>
    <t>4218,78</t>
  </si>
  <si>
    <t>4181,17</t>
  </si>
  <si>
    <t>-0,0054566</t>
  </si>
  <si>
    <t>01-mars-21</t>
  </si>
  <si>
    <t>3842,51</t>
  </si>
  <si>
    <t>3994,41</t>
  </si>
  <si>
    <t>3723,34</t>
  </si>
  <si>
    <t>3972,89</t>
  </si>
  <si>
    <t>-0,0498138</t>
  </si>
  <si>
    <t>3731,17</t>
  </si>
  <si>
    <t>3950,43</t>
  </si>
  <si>
    <t>3725,62</t>
  </si>
  <si>
    <t>3811,15</t>
  </si>
  <si>
    <t>-0,0407109</t>
  </si>
  <si>
    <t>01-janv-21</t>
  </si>
  <si>
    <t>3764,61</t>
  </si>
  <si>
    <t>3870,9</t>
  </si>
  <si>
    <t>3662,71</t>
  </si>
  <si>
    <t>3714,24</t>
  </si>
  <si>
    <t>-0,025428</t>
  </si>
  <si>
    <t>3645,87</t>
  </si>
  <si>
    <t>3760,2</t>
  </si>
  <si>
    <t>3633,4</t>
  </si>
  <si>
    <t>3756,07</t>
  </si>
  <si>
    <t>0,0112621</t>
  </si>
  <si>
    <t>3296,2</t>
  </si>
  <si>
    <t>3645,99</t>
  </si>
  <si>
    <t>3279,74</t>
  </si>
  <si>
    <t>3621,63</t>
  </si>
  <si>
    <t>-0,0357927</t>
  </si>
  <si>
    <t>3385,87</t>
  </si>
  <si>
    <t>3549,85</t>
  </si>
  <si>
    <t>3233,94</t>
  </si>
  <si>
    <t>3269,96</t>
  </si>
  <si>
    <t>-0,0971027</t>
  </si>
  <si>
    <t>3507,44</t>
  </si>
  <si>
    <t>3588,11</t>
  </si>
  <si>
    <t>3209,45</t>
  </si>
  <si>
    <t>0,0284529</t>
  </si>
  <si>
    <t>3288,26</t>
  </si>
  <si>
    <t>3514,77</t>
  </si>
  <si>
    <t>3284,53</t>
  </si>
  <si>
    <t>3500,31</t>
  </si>
  <si>
    <t>0,0408296</t>
  </si>
  <si>
    <t>3105,92</t>
  </si>
  <si>
    <t>3279,99</t>
  </si>
  <si>
    <t>3101,17</t>
  </si>
  <si>
    <t>3271,12</t>
  </si>
  <si>
    <t>-0,0654771</t>
  </si>
  <si>
    <t>3038,78</t>
  </si>
  <si>
    <t>3233,13</t>
  </si>
  <si>
    <t>2965,66</t>
  </si>
  <si>
    <t>3100,29</t>
  </si>
  <si>
    <t>-0,0522237</t>
  </si>
  <si>
    <t>2869,09</t>
  </si>
  <si>
    <t>3068,67</t>
  </si>
  <si>
    <t>2766,64</t>
  </si>
  <si>
    <t>3044,31</t>
  </si>
  <si>
    <t>-0,0180564</t>
  </si>
  <si>
    <t>2498,08</t>
  </si>
  <si>
    <t>2954,86</t>
  </si>
  <si>
    <t>2447,49</t>
  </si>
  <si>
    <t>2912,43</t>
  </si>
  <si>
    <t>-0,0433202</t>
  </si>
  <si>
    <t>01-mars-20</t>
  </si>
  <si>
    <t>2974,28</t>
  </si>
  <si>
    <t>3136,72</t>
  </si>
  <si>
    <t>2191,86</t>
  </si>
  <si>
    <t>2584,59</t>
  </si>
  <si>
    <t>-0,1125658</t>
  </si>
  <si>
    <t>3235,66</t>
  </si>
  <si>
    <t>3393,52</t>
  </si>
  <si>
    <t>2855,84</t>
  </si>
  <si>
    <t>2954,22</t>
  </si>
  <si>
    <t>0,143013</t>
  </si>
  <si>
    <t>01-janv-20</t>
  </si>
  <si>
    <t>3244,67</t>
  </si>
  <si>
    <t>3337,77</t>
  </si>
  <si>
    <t>3214,64</t>
  </si>
  <si>
    <t>3225,52</t>
  </si>
  <si>
    <t>0,0918347</t>
  </si>
  <si>
    <t>3143,85</t>
  </si>
  <si>
    <t>3247,93</t>
  </si>
  <si>
    <t>3070,33</t>
  </si>
  <si>
    <t>3230,78</t>
  </si>
  <si>
    <t>0,0016307</t>
  </si>
  <si>
    <t>3050,72</t>
  </si>
  <si>
    <t>3154,26</t>
  </si>
  <si>
    <t>3140,98</t>
  </si>
  <si>
    <t>-0,0277951</t>
  </si>
  <si>
    <t>2983,69</t>
  </si>
  <si>
    <t>3050,1</t>
  </si>
  <si>
    <t>2855,94</t>
  </si>
  <si>
    <t>3037,56</t>
  </si>
  <si>
    <t>-0,032926</t>
  </si>
  <si>
    <t>2909,01</t>
  </si>
  <si>
    <t>3021,99</t>
  </si>
  <si>
    <t>2891,85</t>
  </si>
  <si>
    <t>2976,74</t>
  </si>
  <si>
    <t>-0,0200226</t>
  </si>
  <si>
    <t>2980,32</t>
  </si>
  <si>
    <t>3013,59</t>
  </si>
  <si>
    <t>2822,12</t>
  </si>
  <si>
    <t>2926,46</t>
  </si>
  <si>
    <t>-0,016891</t>
  </si>
  <si>
    <t>2971,41</t>
  </si>
  <si>
    <t>3027,98</t>
  </si>
  <si>
    <t>2952,22</t>
  </si>
  <si>
    <t>2980,38</t>
  </si>
  <si>
    <t>0,018425</t>
  </si>
  <si>
    <t>2751,53</t>
  </si>
  <si>
    <t>2964,15</t>
  </si>
  <si>
    <t>2728,81</t>
  </si>
  <si>
    <t>2941,76</t>
  </si>
  <si>
    <t>-0,0129581</t>
  </si>
  <si>
    <t>2952,33</t>
  </si>
  <si>
    <t>2954,13</t>
  </si>
  <si>
    <t>2750,52</t>
  </si>
  <si>
    <t>2752,06</t>
  </si>
  <si>
    <t>-0,0644852</t>
  </si>
  <si>
    <t>2848,63</t>
  </si>
  <si>
    <t>2949,52</t>
  </si>
  <si>
    <t>2945,83</t>
  </si>
  <si>
    <t>0,0704091</t>
  </si>
  <si>
    <t>01-mars-19</t>
  </si>
  <si>
    <t>2798,22</t>
  </si>
  <si>
    <t>2860,31</t>
  </si>
  <si>
    <t>2722,27</t>
  </si>
  <si>
    <t>2834,4</t>
  </si>
  <si>
    <t>-0,0378264</t>
  </si>
  <si>
    <t>2702,32</t>
  </si>
  <si>
    <t>2813,49</t>
  </si>
  <si>
    <t>2681,83</t>
  </si>
  <si>
    <t>2784,49</t>
  </si>
  <si>
    <t>-0,0176087</t>
  </si>
  <si>
    <t>01-janv-19</t>
  </si>
  <si>
    <t>2476,96</t>
  </si>
  <si>
    <t>2708,95</t>
  </si>
  <si>
    <t>2443,96</t>
  </si>
  <si>
    <t>2704,1</t>
  </si>
  <si>
    <t>-0,0288706</t>
  </si>
  <si>
    <t>2790,5</t>
  </si>
  <si>
    <t>2800,18</t>
  </si>
  <si>
    <t>2346,58</t>
  </si>
  <si>
    <t>2506,85</t>
  </si>
  <si>
    <t>-0,0729448</t>
  </si>
  <si>
    <t>2717,58</t>
  </si>
  <si>
    <t>2815,15</t>
  </si>
  <si>
    <t>2631,09</t>
  </si>
  <si>
    <t>2760,17</t>
  </si>
  <si>
    <t>0,1010511</t>
  </si>
  <si>
    <t>2926,29</t>
  </si>
  <si>
    <t>2939,86</t>
  </si>
  <si>
    <t>2603,54</t>
  </si>
  <si>
    <t>2711,74</t>
  </si>
  <si>
    <t>-0,017546</t>
  </si>
  <si>
    <t>2896,96</t>
  </si>
  <si>
    <t>2940,91</t>
  </si>
  <si>
    <t>2864,12</t>
  </si>
  <si>
    <t>2913,98</t>
  </si>
  <si>
    <t>0,0745794</t>
  </si>
  <si>
    <t>2821,17</t>
  </si>
  <si>
    <t>2916,5</t>
  </si>
  <si>
    <t>2796,34</t>
  </si>
  <si>
    <t>2901,52</t>
  </si>
  <si>
    <t>-0,0042759</t>
  </si>
  <si>
    <t>2704,95</t>
  </si>
  <si>
    <t>2848,03</t>
  </si>
  <si>
    <t>2698,95</t>
  </si>
  <si>
    <t>2816,29</t>
  </si>
  <si>
    <t>-0,0293743</t>
  </si>
  <si>
    <t>2718,7</t>
  </si>
  <si>
    <t>2791,47</t>
  </si>
  <si>
    <t>2691,99</t>
  </si>
  <si>
    <t>2718,37</t>
  </si>
  <si>
    <t>-0,0347691</t>
  </si>
  <si>
    <t>2642,96</t>
  </si>
  <si>
    <t>2742,24</t>
  </si>
  <si>
    <t>2594,62</t>
  </si>
  <si>
    <t>2705,27</t>
  </si>
  <si>
    <t>-0,0048191</t>
  </si>
  <si>
    <t>2633,45</t>
  </si>
  <si>
    <t>2717,49</t>
  </si>
  <si>
    <t>2553,8</t>
  </si>
  <si>
    <t>2648,05</t>
  </si>
  <si>
    <t>-0,0211513</t>
  </si>
  <si>
    <t>01-mars-18</t>
  </si>
  <si>
    <t>2715,22</t>
  </si>
  <si>
    <t>2801,9</t>
  </si>
  <si>
    <t>2585,89</t>
  </si>
  <si>
    <t>2640,87</t>
  </si>
  <si>
    <t>-0,0027114</t>
  </si>
  <si>
    <t>2816,45</t>
  </si>
  <si>
    <t>2835,96</t>
  </si>
  <si>
    <t>2532,69</t>
  </si>
  <si>
    <t>2713,83</t>
  </si>
  <si>
    <t>0,0276273</t>
  </si>
  <si>
    <t>01-janv-18</t>
  </si>
  <si>
    <t>2683,73</t>
  </si>
  <si>
    <t>2872,87</t>
  </si>
  <si>
    <t>2682,36</t>
  </si>
  <si>
    <t>2823,81</t>
  </si>
  <si>
    <t>0,0405258</t>
  </si>
  <si>
    <t>2645,1</t>
  </si>
  <si>
    <t>2694,97</t>
  </si>
  <si>
    <t>2605,52</t>
  </si>
  <si>
    <t>2673,61</t>
  </si>
  <si>
    <t>-0,0531905</t>
  </si>
  <si>
    <t>2583,21</t>
  </si>
  <si>
    <t>2657,74</t>
  </si>
  <si>
    <t>2557,45</t>
  </si>
  <si>
    <t>2647,58</t>
  </si>
  <si>
    <t>-0,0097359</t>
  </si>
  <si>
    <t>2521,2</t>
  </si>
  <si>
    <t>2582,98</t>
  </si>
  <si>
    <t>2520,4</t>
  </si>
  <si>
    <t>2575,26</t>
  </si>
  <si>
    <t>-0,0273155</t>
  </si>
  <si>
    <t>2474,42</t>
  </si>
  <si>
    <t>2519,44</t>
  </si>
  <si>
    <t>2446,55</t>
  </si>
  <si>
    <t>2519,36</t>
  </si>
  <si>
    <t>-0,0217065</t>
  </si>
  <si>
    <t>2477,1</t>
  </si>
  <si>
    <t>2490,87</t>
  </si>
  <si>
    <t>2417,35</t>
  </si>
  <si>
    <t>2471,65</t>
  </si>
  <si>
    <t>-0,0189373</t>
  </si>
  <si>
    <t>2431,39</t>
  </si>
  <si>
    <t>2484,04</t>
  </si>
  <si>
    <t>2407,7</t>
  </si>
  <si>
    <t>2470,3</t>
  </si>
  <si>
    <t>-0,0005462</t>
  </si>
  <si>
    <t>2415,65</t>
  </si>
  <si>
    <t>2453,82</t>
  </si>
  <si>
    <t>2405,7</t>
  </si>
  <si>
    <t>2423,41</t>
  </si>
  <si>
    <t>-0,0189815</t>
  </si>
  <si>
    <t>2388,5</t>
  </si>
  <si>
    <t>2418,71</t>
  </si>
  <si>
    <t>2352,72</t>
  </si>
  <si>
    <t>2411,8</t>
  </si>
  <si>
    <t>-0,0047908</t>
  </si>
  <si>
    <t>Number of Shares outstanding</t>
  </si>
  <si>
    <t>No more shares issued</t>
  </si>
  <si>
    <t>The Return on Asset of  Goldman Sahcs  is very low over the years, which is very low compared to the industry. In 2019, the average industry was 2,8% and Goldman Sahcs  has 0,9% so  it means that compared to the industry, the company's assets are less  profitable in generating revenue</t>
  </si>
  <si>
    <t>Goldman Sahcs has a return on equity a 10.1% which was higher  than the industry average(9.2) . This is a an  advantage for Goldman Sahcs , because it means that the company is using financing from equity to grow his business. The return on equity of Goldman Sahcs is higher than its Return on asset, so Goldman Sahcs can borrow money at a rate lower than what it is earning on the investment.</t>
  </si>
  <si>
    <t>Goldman Sahcs has a debt  ratio of 92% which means that  92% of  the assets are financed by debt. Between 2019 and 2020, this ratio hasn't changed a lot and we can assume that the company has more assets than debt.. If we have to compare to the industry the  debt ratio was 34% in 2019, so compare to its competitors Goldman Sahcs use a lot the debt to finance its assets.</t>
  </si>
  <si>
    <t>0.96</t>
  </si>
  <si>
    <t>Goldman Sachs Current Ratio 2010-2021 | GS | MacroTrends</t>
  </si>
  <si>
    <t>Goldman Sahcs has a current ratio of  0,96 which is not a good ratio.  We can assume that Goldman Sahcs  doesn't have enough current asset to pay his short term debt.  Moreover, this ratio has increased  over the last three years,. Unfortunely, we have only found the average industry(Security And Commodity Brokers, Dealers, Exchanges, And Services industry)  for 2021 but we can say that Goldman Sahcs 's current ratio of 2020(0.76) was higher than the average industry in 2020 (0.18).</t>
  </si>
  <si>
    <t>Competitors 2021 P/E ratio</t>
  </si>
  <si>
    <t xml:space="preserve">Goldman Sachs Entreprise valuation </t>
  </si>
  <si>
    <t xml:space="preserve">Assumption used </t>
  </si>
  <si>
    <t>2 % growth rate</t>
  </si>
  <si>
    <t>Scenario analysis and break-even analysis assumptions</t>
  </si>
  <si>
    <t>In million $</t>
  </si>
  <si>
    <t>Valuing Goldman Sachs using P/E ratios (in 2021 - in million $)</t>
  </si>
  <si>
    <t>Goldman Sachs EBITDA(in billion)</t>
  </si>
  <si>
    <t>Firms</t>
  </si>
  <si>
    <t xml:space="preserve">Beginning on our Assumptions, we don't take any initial investment becausein 2018, the company has already a running, on going, and mature business </t>
  </si>
  <si>
    <t>Assumption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</si>
</sst>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0.00\ &quot;€&quot;;[Red]\-#,##0.00\ &quot;€&quot;"/>
    <numFmt numFmtId="164" formatCode="#,##0.000"/>
    <numFmt numFmtId="165" formatCode="0.0000"/>
    <numFmt numFmtId="166" formatCode="0.000%"/>
    <numFmt numFmtId="167" formatCode="0.0000%"/>
  </numFmts>
  <fonts count="32">
    <font>
      <sz val="11"/>
      <color theme="1"/>
      <name val="Calibri"/>
      <family val="2"/>
      <scheme val="minor"/>
    </font>
    <font>
      <b/>
      <sz val="11"/>
      <color theme="1"/>
      <name val="Calibri"/>
      <family val="2"/>
      <scheme val="minor"/>
    </font>
    <font>
      <sz val="11"/>
      <color rgb="FF000000"/>
      <name val="Calibri"/>
      <family val="2"/>
    </font>
    <font>
      <sz val="11"/>
      <color rgb="FF444444"/>
      <name val="Calibri"/>
      <family val="2"/>
      <charset val="1"/>
    </font>
    <font>
      <sz val="10"/>
      <name val="Arial"/>
      <family val="2"/>
    </font>
    <font>
      <sz val="11"/>
      <color rgb="FF000000"/>
      <name val="Calibri"/>
      <family val="2"/>
      <charset val="134"/>
    </font>
    <font>
      <u/>
      <sz val="11"/>
      <color theme="10"/>
      <name val="Calibri"/>
      <family val="2"/>
      <scheme val="minor"/>
    </font>
    <font>
      <i/>
      <sz val="11"/>
      <color theme="1"/>
      <name val="Calibri"/>
      <family val="2"/>
      <scheme val="minor"/>
    </font>
    <font>
      <sz val="11"/>
      <color rgb="FF000000"/>
      <name val="Calibri"/>
      <family val="2"/>
      <scheme val="minor"/>
    </font>
    <font>
      <b/>
      <sz val="11"/>
      <color rgb="FF000000"/>
      <name val="Calibri"/>
      <family val="2"/>
    </font>
    <font>
      <sz val="11"/>
      <color rgb="FF000000"/>
      <name val="ArialMT"/>
    </font>
    <font>
      <sz val="11"/>
      <color rgb="FF000000"/>
      <name val="Calibri"/>
      <family val="2"/>
    </font>
    <font>
      <sz val="11"/>
      <color rgb="FF5B636A"/>
      <name val="Arial"/>
      <family val="2"/>
    </font>
    <font>
      <sz val="11"/>
      <color rgb="FF000000"/>
      <name val="Arial"/>
      <family val="2"/>
    </font>
    <font>
      <sz val="11"/>
      <name val="Arial"/>
      <family val="2"/>
    </font>
    <font>
      <sz val="18"/>
      <color rgb="FF000000"/>
      <name val="ArialMT"/>
    </font>
    <font>
      <sz val="12"/>
      <color rgb="FF000000"/>
      <name val="Calibri"/>
      <family val="2"/>
    </font>
    <font>
      <sz val="18"/>
      <color rgb="FF000000"/>
      <name val="Calibri"/>
      <family val="2"/>
    </font>
    <font>
      <sz val="12"/>
      <color rgb="FF000000"/>
      <name val="ArialMT"/>
    </font>
    <font>
      <sz val="14"/>
      <color rgb="FF000000"/>
      <name val="ArialMT"/>
    </font>
    <font>
      <sz val="14"/>
      <color rgb="FF000000"/>
      <name val="Calibri"/>
      <family val="2"/>
    </font>
    <font>
      <sz val="8"/>
      <color rgb="FF000000"/>
      <name val="ArialMT"/>
    </font>
    <font>
      <u/>
      <sz val="12"/>
      <color rgb="FF0563C1"/>
      <name val="Calibri"/>
      <family val="2"/>
    </font>
    <font>
      <sz val="20"/>
      <color rgb="FF000000"/>
      <name val="Calibri"/>
      <family val="2"/>
    </font>
    <font>
      <sz val="20"/>
      <color rgb="FF000000"/>
      <name val="Calibri"/>
      <family val="2"/>
    </font>
    <font>
      <u/>
      <sz val="12"/>
      <color rgb="FF0563C1"/>
      <name val="Calibri"/>
      <family val="2"/>
    </font>
    <font>
      <sz val="12"/>
      <color rgb="FF000000"/>
      <name val="Calibri"/>
      <family val="2"/>
    </font>
    <font>
      <sz val="18"/>
      <color rgb="FF000000"/>
      <name val="Calibri"/>
      <family val="2"/>
    </font>
    <font>
      <sz val="11"/>
      <color rgb="FF000000"/>
      <name val="Calibri"/>
      <family val="2"/>
    </font>
    <font>
      <sz val="16"/>
      <color rgb="FF000000"/>
      <name val="Calibri"/>
      <family val="2"/>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indexed="64"/>
      </patternFill>
    </fill>
    <fill>
      <patternFill patternType="solid">
        <fgColor theme="2"/>
        <bgColor indexed="64"/>
      </patternFill>
    </fill>
  </fills>
  <borders count="16">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medium">
        <color rgb="FFE0E4E9"/>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3">
    <xf numFmtId="0" fontId="0" fillId="0" borderId="0"/>
    <xf numFmtId="0" fontId="6" fillId="0" borderId="0" applyNumberFormat="0" applyFill="0" applyBorder="0" applyAlignment="0" applyProtection="0"/>
    <xf numFmtId="9" fontId="30" fillId="0" borderId="0" applyFont="0" applyFill="0" applyBorder="0" applyAlignment="0" applyProtection="0"/>
  </cellStyleXfs>
  <cellXfs count="106">
    <xf numFmtId="0" fontId="0" fillId="0" borderId="0" xfId="0"/>
    <xf numFmtId="0" fontId="1" fillId="0" borderId="0" xfId="0" applyFont="1"/>
    <xf numFmtId="0" fontId="2" fillId="0" borderId="0" xfId="0" applyFont="1"/>
    <xf numFmtId="9" fontId="0" fillId="0" borderId="0" xfId="0" applyNumberFormat="1"/>
    <xf numFmtId="10" fontId="0" fillId="0" borderId="0" xfId="0" applyNumberFormat="1"/>
    <xf numFmtId="2" fontId="3" fillId="0" borderId="0" xfId="0" applyNumberFormat="1" applyFont="1"/>
    <xf numFmtId="0" fontId="4" fillId="0" borderId="0" xfId="0" applyFont="1"/>
    <xf numFmtId="0" fontId="5" fillId="0" borderId="0" xfId="0" applyFont="1"/>
    <xf numFmtId="0" fontId="6" fillId="0" borderId="0" xfId="1"/>
    <xf numFmtId="0" fontId="0" fillId="0" borderId="2" xfId="0" applyBorder="1"/>
    <xf numFmtId="0" fontId="7" fillId="0" borderId="3" xfId="0" applyFont="1" applyBorder="1" applyAlignment="1">
      <alignment horizontal="center"/>
    </xf>
    <xf numFmtId="0" fontId="7" fillId="0" borderId="3" xfId="0" applyFont="1" applyBorder="1" applyAlignment="1">
      <alignment horizontal="centerContinuous"/>
    </xf>
    <xf numFmtId="0" fontId="0" fillId="0" borderId="4" xfId="0" applyBorder="1"/>
    <xf numFmtId="0" fontId="0" fillId="0" borderId="5" xfId="0" applyBorder="1"/>
    <xf numFmtId="0" fontId="0" fillId="2" borderId="6" xfId="0" applyFill="1" applyBorder="1"/>
    <xf numFmtId="0" fontId="8" fillId="3" borderId="6" xfId="0" applyFont="1" applyFill="1" applyBorder="1"/>
    <xf numFmtId="0" fontId="8" fillId="0" borderId="0" xfId="0" applyFont="1"/>
    <xf numFmtId="0" fontId="8" fillId="0" borderId="4" xfId="0" applyFont="1" applyBorder="1"/>
    <xf numFmtId="0" fontId="8" fillId="0" borderId="5" xfId="0" applyFont="1" applyBorder="1"/>
    <xf numFmtId="9" fontId="8" fillId="0" borderId="0" xfId="0" applyNumberFormat="1" applyFont="1"/>
    <xf numFmtId="10" fontId="4" fillId="0" borderId="0" xfId="0" applyNumberFormat="1" applyFont="1"/>
    <xf numFmtId="0" fontId="9" fillId="0" borderId="0" xfId="0" applyFont="1"/>
    <xf numFmtId="0" fontId="3" fillId="0" borderId="0" xfId="0" applyFont="1"/>
    <xf numFmtId="0" fontId="11" fillId="0" borderId="0" xfId="0" applyFont="1"/>
    <xf numFmtId="0" fontId="9" fillId="0" borderId="1" xfId="0" applyFont="1" applyBorder="1"/>
    <xf numFmtId="9" fontId="9" fillId="0" borderId="1" xfId="0" applyNumberFormat="1" applyFont="1" applyBorder="1"/>
    <xf numFmtId="0" fontId="2" fillId="0" borderId="0" xfId="0" quotePrefix="1" applyFont="1"/>
    <xf numFmtId="0" fontId="2" fillId="0" borderId="1" xfId="0" applyFont="1" applyBorder="1"/>
    <xf numFmtId="11" fontId="2" fillId="0" borderId="0" xfId="0" applyNumberFormat="1" applyFont="1"/>
    <xf numFmtId="0" fontId="2" fillId="0" borderId="7" xfId="0" applyFont="1" applyBorder="1"/>
    <xf numFmtId="0" fontId="2" fillId="0" borderId="8" xfId="0" applyFont="1" applyBorder="1"/>
    <xf numFmtId="0" fontId="2" fillId="0" borderId="7" xfId="0" applyFont="1" applyBorder="1" applyAlignment="1">
      <alignment wrapText="1"/>
    </xf>
    <xf numFmtId="0" fontId="2" fillId="0" borderId="9" xfId="0" applyFont="1" applyBorder="1"/>
    <xf numFmtId="0" fontId="2" fillId="0" borderId="10" xfId="0" applyFont="1" applyBorder="1"/>
    <xf numFmtId="164" fontId="2" fillId="0" borderId="0" xfId="0" applyNumberFormat="1" applyFont="1"/>
    <xf numFmtId="164" fontId="2" fillId="0" borderId="0" xfId="0" quotePrefix="1" applyNumberFormat="1" applyFont="1"/>
    <xf numFmtId="165" fontId="0" fillId="0" borderId="0" xfId="0" applyNumberFormat="1"/>
    <xf numFmtId="165" fontId="2" fillId="0" borderId="0" xfId="0" applyNumberFormat="1" applyFont="1"/>
    <xf numFmtId="165" fontId="2" fillId="0" borderId="0" xfId="0" quotePrefix="1" applyNumberFormat="1" applyFont="1"/>
    <xf numFmtId="164" fontId="0" fillId="0" borderId="0" xfId="0" applyNumberFormat="1"/>
    <xf numFmtId="164" fontId="3" fillId="0" borderId="0" xfId="0" applyNumberFormat="1" applyFont="1"/>
    <xf numFmtId="3" fontId="0" fillId="0" borderId="0" xfId="0" applyNumberFormat="1"/>
    <xf numFmtId="3" fontId="2" fillId="0" borderId="0" xfId="0" applyNumberFormat="1" applyFont="1"/>
    <xf numFmtId="0" fontId="12" fillId="4" borderId="0" xfId="0" applyFont="1" applyFill="1" applyAlignment="1">
      <alignment horizontal="left" vertical="center" wrapText="1"/>
    </xf>
    <xf numFmtId="0" fontId="12" fillId="4" borderId="0" xfId="0" applyFont="1" applyFill="1" applyAlignment="1">
      <alignment horizontal="center" vertical="center" wrapText="1"/>
    </xf>
    <xf numFmtId="15" fontId="13" fillId="4" borderId="11" xfId="0" applyNumberFormat="1" applyFont="1" applyFill="1" applyBorder="1" applyAlignment="1">
      <alignment horizontal="left" vertical="center"/>
    </xf>
    <xf numFmtId="4" fontId="13" fillId="4" borderId="11" xfId="0" applyNumberFormat="1" applyFont="1" applyFill="1" applyBorder="1" applyAlignment="1">
      <alignment horizontal="right" vertical="center"/>
    </xf>
    <xf numFmtId="14" fontId="0" fillId="0" borderId="0" xfId="0" applyNumberFormat="1"/>
    <xf numFmtId="14" fontId="14" fillId="0" borderId="0" xfId="0" applyNumberFormat="1" applyFont="1"/>
    <xf numFmtId="0" fontId="14" fillId="0" borderId="0" xfId="0" applyFont="1"/>
    <xf numFmtId="15" fontId="2" fillId="0" borderId="0" xfId="0" applyNumberFormat="1" applyFont="1"/>
    <xf numFmtId="166" fontId="0" fillId="0" borderId="0" xfId="0" applyNumberFormat="1" applyAlignment="1">
      <alignment horizontal="right"/>
    </xf>
    <xf numFmtId="166" fontId="0" fillId="0" borderId="0" xfId="0" applyNumberFormat="1"/>
    <xf numFmtId="167" fontId="2" fillId="0" borderId="0" xfId="0" applyNumberFormat="1" applyFont="1"/>
    <xf numFmtId="2" fontId="2" fillId="0" borderId="0" xfId="0" applyNumberFormat="1" applyFont="1"/>
    <xf numFmtId="0" fontId="16" fillId="0" borderId="0" xfId="0" applyFont="1"/>
    <xf numFmtId="0" fontId="17" fillId="0" borderId="0" xfId="0" applyFont="1"/>
    <xf numFmtId="0" fontId="19" fillId="0" borderId="0" xfId="0" applyFont="1"/>
    <xf numFmtId="0" fontId="20" fillId="0" borderId="0" xfId="0" applyFont="1"/>
    <xf numFmtId="0" fontId="16" fillId="0" borderId="0" xfId="0" applyFont="1" applyAlignment="1">
      <alignment wrapText="1"/>
    </xf>
    <xf numFmtId="0" fontId="21" fillId="0" borderId="0" xfId="0" applyFont="1"/>
    <xf numFmtId="0" fontId="22" fillId="0" borderId="0" xfId="0" applyFont="1" applyAlignment="1">
      <alignment wrapText="1"/>
    </xf>
    <xf numFmtId="9" fontId="16" fillId="0" borderId="0" xfId="0" applyNumberFormat="1" applyFont="1"/>
    <xf numFmtId="0" fontId="21" fillId="0" borderId="0" xfId="0" applyFont="1" applyAlignment="1">
      <alignment wrapText="1"/>
    </xf>
    <xf numFmtId="3" fontId="16" fillId="0" borderId="0" xfId="0" applyNumberFormat="1" applyFont="1"/>
    <xf numFmtId="0" fontId="23" fillId="0" borderId="0" xfId="0" applyFont="1"/>
    <xf numFmtId="9" fontId="20" fillId="0" borderId="0" xfId="0" applyNumberFormat="1" applyFont="1"/>
    <xf numFmtId="0" fontId="24" fillId="0" borderId="0" xfId="0" applyFont="1"/>
    <xf numFmtId="0" fontId="25" fillId="0" borderId="0" xfId="0" applyFont="1" applyAlignment="1">
      <alignment wrapText="1"/>
    </xf>
    <xf numFmtId="0" fontId="26" fillId="0" borderId="0" xfId="0" applyFont="1" applyAlignment="1">
      <alignment wrapText="1"/>
    </xf>
    <xf numFmtId="0" fontId="26" fillId="0" borderId="0" xfId="0" applyFont="1"/>
    <xf numFmtId="0" fontId="18" fillId="0" borderId="0" xfId="0" applyFont="1"/>
    <xf numFmtId="0" fontId="27" fillId="0" borderId="0" xfId="0" applyFont="1"/>
    <xf numFmtId="0" fontId="15" fillId="0" borderId="0" xfId="0" applyFont="1"/>
    <xf numFmtId="0" fontId="28" fillId="0" borderId="0" xfId="0" applyFont="1"/>
    <xf numFmtId="0" fontId="29" fillId="0" borderId="0" xfId="0" applyFont="1"/>
    <xf numFmtId="0" fontId="10" fillId="0" borderId="0" xfId="0" applyFont="1"/>
    <xf numFmtId="167" fontId="2" fillId="2" borderId="0" xfId="0" applyNumberFormat="1" applyFont="1" applyFill="1"/>
    <xf numFmtId="8" fontId="0" fillId="0" borderId="0" xfId="0" applyNumberFormat="1"/>
    <xf numFmtId="166" fontId="0" fillId="0" borderId="0" xfId="2" applyNumberFormat="1" applyFont="1"/>
    <xf numFmtId="2" fontId="2" fillId="2" borderId="0" xfId="0" applyNumberFormat="1" applyFont="1" applyFill="1"/>
    <xf numFmtId="164" fontId="2" fillId="2" borderId="0" xfId="0" quotePrefix="1" applyNumberFormat="1" applyFont="1" applyFill="1"/>
    <xf numFmtId="0" fontId="2" fillId="2" borderId="0" xfId="0" applyFont="1" applyFill="1"/>
    <xf numFmtId="167" fontId="2" fillId="0" borderId="12" xfId="0" applyNumberFormat="1" applyFont="1" applyBorder="1"/>
    <xf numFmtId="8" fontId="2" fillId="0" borderId="12" xfId="0" applyNumberFormat="1" applyFont="1" applyBorder="1"/>
    <xf numFmtId="37" fontId="0" fillId="0" borderId="12" xfId="0" applyNumberFormat="1" applyBorder="1" applyAlignment="1">
      <alignment horizontal="center"/>
    </xf>
    <xf numFmtId="167" fontId="2" fillId="2" borderId="12" xfId="0" applyNumberFormat="1" applyFont="1" applyFill="1" applyBorder="1"/>
    <xf numFmtId="8" fontId="2" fillId="2" borderId="12" xfId="0" applyNumberFormat="1" applyFont="1" applyFill="1" applyBorder="1"/>
    <xf numFmtId="0" fontId="0" fillId="0" borderId="12" xfId="0" applyBorder="1"/>
    <xf numFmtId="0" fontId="2" fillId="0" borderId="8" xfId="0" applyFont="1" applyBorder="1" applyAlignment="1">
      <alignment wrapText="1"/>
    </xf>
    <xf numFmtId="0" fontId="2" fillId="0" borderId="12" xfId="0" applyFont="1" applyBorder="1"/>
    <xf numFmtId="0" fontId="31" fillId="0" borderId="12" xfId="0" applyFont="1" applyBorder="1"/>
    <xf numFmtId="0" fontId="2" fillId="0" borderId="13" xfId="0" applyFont="1" applyBorder="1"/>
    <xf numFmtId="0" fontId="2" fillId="2" borderId="8" xfId="0" applyFont="1" applyFill="1" applyBorder="1"/>
    <xf numFmtId="0" fontId="2" fillId="0" borderId="14" xfId="0" applyFont="1" applyBorder="1"/>
    <xf numFmtId="0" fontId="2" fillId="0" borderId="15" xfId="0" applyFont="1" applyBorder="1"/>
    <xf numFmtId="0" fontId="2" fillId="5" borderId="12" xfId="0" applyFont="1" applyFill="1" applyBorder="1"/>
    <xf numFmtId="0" fontId="0" fillId="5" borderId="12" xfId="0" applyFill="1" applyBorder="1"/>
    <xf numFmtId="8" fontId="1" fillId="0" borderId="0" xfId="0" applyNumberFormat="1" applyFont="1"/>
    <xf numFmtId="0" fontId="9" fillId="0" borderId="1" xfId="0" applyFont="1" applyBorder="1"/>
    <xf numFmtId="0" fontId="0" fillId="0" borderId="0" xfId="0" applyAlignment="1">
      <alignment horizontal="center" wrapText="1"/>
    </xf>
    <xf numFmtId="0" fontId="1" fillId="0" borderId="0" xfId="0" applyFont="1" applyAlignment="1">
      <alignment horizontal="center"/>
    </xf>
    <xf numFmtId="0" fontId="1" fillId="0" borderId="4" xfId="0" applyFont="1" applyBorder="1" applyAlignment="1">
      <alignment horizontal="center"/>
    </xf>
    <xf numFmtId="0" fontId="9" fillId="0" borderId="0" xfId="0" applyFont="1" applyAlignment="1">
      <alignment horizontal="center"/>
    </xf>
    <xf numFmtId="0" fontId="2" fillId="0" borderId="0" xfId="0" applyFont="1"/>
    <xf numFmtId="0" fontId="9" fillId="0" borderId="0" xfId="0" applyFont="1"/>
  </cellXfs>
  <cellStyles count="3">
    <cellStyle name="Hyperlink" xfId="1" xr:uid="{00000000-000B-0000-0000-000008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X Variable 1 Line Fit  Plot</a:t>
            </a:r>
          </a:p>
        </c:rich>
      </c:tx>
      <c:overlay val="0"/>
    </c:title>
    <c:autoTitleDeleted val="0"/>
    <c:plotArea>
      <c:layout/>
      <c:scatterChart>
        <c:scatterStyle val="lineMarker"/>
        <c:varyColors val="0"/>
        <c:ser>
          <c:idx val="0"/>
          <c:order val="0"/>
          <c:tx>
            <c:v>Y</c:v>
          </c:tx>
          <c:spPr>
            <a:ln w="19050">
              <a:noFill/>
            </a:ln>
          </c:spPr>
          <c:trendline>
            <c:trendlineType val="linear"/>
            <c:dispRSqr val="0"/>
            <c:dispEq val="1"/>
            <c:trendlineLbl>
              <c:layout>
                <c:manualLayout>
                  <c:x val="0.26333770778652671"/>
                  <c:y val="-0.15848915643223777"/>
                </c:manualLayout>
              </c:layout>
              <c:numFmt formatCode="General" sourceLinked="0"/>
            </c:trendlineLbl>
          </c:trendline>
          <c:xVal>
            <c:numRef>
              <c:f>'S&amp;P'!$D$3:$D$61</c:f>
              <c:numCache>
                <c:formatCode>General</c:formatCode>
                <c:ptCount val="59"/>
                <c:pt idx="0">
                  <c:v>9.0501405584374091E-3</c:v>
                </c:pt>
                <c:pt idx="1">
                  <c:v>1.1509718385591177E-2</c:v>
                </c:pt>
                <c:pt idx="2">
                  <c:v>4.802282553352028E-3</c:v>
                </c:pt>
                <c:pt idx="3">
                  <c:v>1.9163961513693484E-2</c:v>
                </c:pt>
                <c:pt idx="4">
                  <c:v>5.4634305631591474E-4</c:v>
                </c:pt>
                <c:pt idx="5">
                  <c:v>1.9118957203248872E-2</c:v>
                </c:pt>
                <c:pt idx="6">
                  <c:v>2.1945598878305109E-2</c:v>
                </c:pt>
                <c:pt idx="7">
                  <c:v>2.7695515330648682E-2</c:v>
                </c:pt>
                <c:pt idx="8">
                  <c:v>9.783603904362663E-3</c:v>
                </c:pt>
                <c:pt idx="9">
                  <c:v>5.4657417787024952E-2</c:v>
                </c:pt>
                <c:pt idx="10">
                  <c:v>-3.9726115635920697E-2</c:v>
                </c:pt>
                <c:pt idx="11">
                  <c:v>-2.725251295379243E-2</c:v>
                </c:pt>
                <c:pt idx="12">
                  <c:v>2.7151117471289339E-3</c:v>
                </c:pt>
                <c:pt idx="13">
                  <c:v>2.1378202402637565E-2</c:v>
                </c:pt>
                <c:pt idx="14">
                  <c:v>4.8307134968018613E-3</c:v>
                </c:pt>
                <c:pt idx="15">
                  <c:v>3.5387979976799259E-2</c:v>
                </c:pt>
                <c:pt idx="16">
                  <c:v>2.9814321663194848E-2</c:v>
                </c:pt>
                <c:pt idx="17">
                  <c:v>4.2851067203219049E-3</c:v>
                </c:pt>
                <c:pt idx="18">
                  <c:v>-7.1929349055660202E-2</c:v>
                </c:pt>
                <c:pt idx="19">
                  <c:v>1.7701776759294796E-2</c:v>
                </c:pt>
                <c:pt idx="20">
                  <c:v>-9.6265287118076068E-2</c:v>
                </c:pt>
                <c:pt idx="21">
                  <c:v>7.574215482837561E-2</c:v>
                </c:pt>
                <c:pt idx="22">
                  <c:v>2.9295592986693514E-2</c:v>
                </c:pt>
                <c:pt idx="23">
                  <c:v>1.7765541837019908E-2</c:v>
                </c:pt>
                <c:pt idx="24">
                  <c:v>3.8560336443090391E-2</c:v>
                </c:pt>
                <c:pt idx="25">
                  <c:v>-6.8040888853204307E-2</c:v>
                </c:pt>
                <c:pt idx="26">
                  <c:v>6.6658319534241436E-2</c:v>
                </c:pt>
                <c:pt idx="27">
                  <c:v>1.3042767473010496E-2</c:v>
                </c:pt>
                <c:pt idx="28">
                  <c:v>-1.8257307714875135E-2</c:v>
                </c:pt>
                <c:pt idx="29">
                  <c:v>1.7035240523677681E-2</c:v>
                </c:pt>
                <c:pt idx="30">
                  <c:v>2.0225819582931022E-2</c:v>
                </c:pt>
                <c:pt idx="31">
                  <c:v>3.3480291579323126E-2</c:v>
                </c:pt>
                <c:pt idx="32">
                  <c:v>2.818874101228944E-2</c:v>
                </c:pt>
                <c:pt idx="33">
                  <c:v>-1.6294165896177356E-3</c:v>
                </c:pt>
                <c:pt idx="34">
                  <c:v>-8.7859520936204846E-2</c:v>
                </c:pt>
                <c:pt idx="35">
                  <c:v>-0.13366776859296695</c:v>
                </c:pt>
                <c:pt idx="36">
                  <c:v>0.11942089623740584</c:v>
                </c:pt>
                <c:pt idx="37">
                  <c:v>4.4286490230530599E-2</c:v>
                </c:pt>
                <c:pt idx="38">
                  <c:v>1.8221381004063585E-2</c:v>
                </c:pt>
                <c:pt idx="39">
                  <c:v>5.3636778409248576E-2</c:v>
                </c:pt>
                <c:pt idx="40">
                  <c:v>6.7719102089653677E-2</c:v>
                </c:pt>
                <c:pt idx="41">
                  <c:v>-4.0018103243589488E-2</c:v>
                </c:pt>
                <c:pt idx="42">
                  <c:v>-2.8055680339689231E-2</c:v>
                </c:pt>
                <c:pt idx="43">
                  <c:v>0.10214644831840361</c:v>
                </c:pt>
                <c:pt idx="44">
                  <c:v>3.6448997283216107E-2</c:v>
                </c:pt>
                <c:pt idx="45">
                  <c:v>-1.1199116821942242E-2</c:v>
                </c:pt>
                <c:pt idx="46">
                  <c:v>2.5756899667125591E-2</c:v>
                </c:pt>
                <c:pt idx="47">
                  <c:v>4.1562808697442971E-2</c:v>
                </c:pt>
                <c:pt idx="48">
                  <c:v>5.1097322114293922E-2</c:v>
                </c:pt>
                <c:pt idx="49">
                  <c:v>5.4715065520221503E-3</c:v>
                </c:pt>
                <c:pt idx="50">
                  <c:v>2.1970840045862021E-2</c:v>
                </c:pt>
                <c:pt idx="51">
                  <c:v>2.249322924674322E-2</c:v>
                </c:pt>
                <c:pt idx="52">
                  <c:v>2.857805096868915E-2</c:v>
                </c:pt>
                <c:pt idx="53">
                  <c:v>-4.8737762984622721E-2</c:v>
                </c:pt>
                <c:pt idx="54">
                  <c:v>6.6858209798173654E-2</c:v>
                </c:pt>
                <c:pt idx="55">
                  <c:v>-8.3686511009886007E-3</c:v>
                </c:pt>
                <c:pt idx="56">
                  <c:v>4.2688611280446646E-2</c:v>
                </c:pt>
                <c:pt idx="57">
                  <c:v>-5.401814986501885E-2</c:v>
                </c:pt>
                <c:pt idx="58">
                  <c:v>-2.5433429492998125E-3</c:v>
                </c:pt>
              </c:numCache>
            </c:numRef>
          </c:xVal>
          <c:yVal>
            <c:numRef>
              <c:f>'S&amp;P'!$G$3:$G$61</c:f>
              <c:numCache>
                <c:formatCode>General</c:formatCode>
                <c:ptCount val="59"/>
                <c:pt idx="0">
                  <c:v>-2.6108223096769027E-2</c:v>
                </c:pt>
                <c:pt idx="1">
                  <c:v>-5.7663338189969118E-2</c:v>
                </c:pt>
                <c:pt idx="2">
                  <c:v>5.2498196972506565E-2</c:v>
                </c:pt>
                <c:pt idx="3">
                  <c:v>1.5339118518203633E-2</c:v>
                </c:pt>
                <c:pt idx="4">
                  <c:v>-7.0812006630156478E-3</c:v>
                </c:pt>
                <c:pt idx="5">
                  <c:v>6.178622201288269E-2</c:v>
                </c:pt>
                <c:pt idx="6">
                  <c:v>2.2057606986005444E-2</c:v>
                </c:pt>
                <c:pt idx="7">
                  <c:v>2.1056995453007144E-2</c:v>
                </c:pt>
                <c:pt idx="8">
                  <c:v>3.1483312871640537E-2</c:v>
                </c:pt>
                <c:pt idx="9">
                  <c:v>5.0254551066846669E-2</c:v>
                </c:pt>
                <c:pt idx="10">
                  <c:v>-1.868866300096314E-2</c:v>
                </c:pt>
                <c:pt idx="11">
                  <c:v>-4.0211115961310662E-2</c:v>
                </c:pt>
                <c:pt idx="12">
                  <c:v>-5.5217076204732686E-2</c:v>
                </c:pt>
                <c:pt idx="13">
                  <c:v>-5.3652510287865114E-2</c:v>
                </c:pt>
                <c:pt idx="14">
                  <c:v>-2.0258500975658632E-2</c:v>
                </c:pt>
                <c:pt idx="15">
                  <c:v>7.3657547181584834E-2</c:v>
                </c:pt>
                <c:pt idx="16">
                  <c:v>1.5991854983747249E-3</c:v>
                </c:pt>
                <c:pt idx="17">
                  <c:v>-5.5448961307836477E-2</c:v>
                </c:pt>
                <c:pt idx="18">
                  <c:v>5.0264611327041197E-3</c:v>
                </c:pt>
                <c:pt idx="19">
                  <c:v>-0.16709423376784696</c:v>
                </c:pt>
                <c:pt idx="20">
                  <c:v>-0.12831453218948738</c:v>
                </c:pt>
                <c:pt idx="21">
                  <c:v>0.1700242252143748</c:v>
                </c:pt>
                <c:pt idx="22">
                  <c:v>-6.6376765369742224E-3</c:v>
                </c:pt>
                <c:pt idx="23">
                  <c:v>-2.0206283842365669E-2</c:v>
                </c:pt>
                <c:pt idx="24">
                  <c:v>7.0044533151927227E-2</c:v>
                </c:pt>
                <c:pt idx="25">
                  <c:v>-0.12079263838590609</c:v>
                </c:pt>
                <c:pt idx="26">
                  <c:v>0.11885882142287464</c:v>
                </c:pt>
                <c:pt idx="27">
                  <c:v>7.3161351832314245E-2</c:v>
                </c:pt>
                <c:pt idx="28">
                  <c:v>-7.6539578391641869E-2</c:v>
                </c:pt>
                <c:pt idx="29">
                  <c:v>2.2406965028703735E-2</c:v>
                </c:pt>
                <c:pt idx="30">
                  <c:v>2.9245384178784174E-2</c:v>
                </c:pt>
                <c:pt idx="31">
                  <c:v>3.6670647296145435E-2</c:v>
                </c:pt>
                <c:pt idx="32">
                  <c:v>4.3651979876795186E-2</c:v>
                </c:pt>
                <c:pt idx="33">
                  <c:v>3.3444918536571194E-2</c:v>
                </c:pt>
                <c:pt idx="34">
                  <c:v>-0.16905976971685346</c:v>
                </c:pt>
                <c:pt idx="35">
                  <c:v>-0.25528789824705866</c:v>
                </c:pt>
                <c:pt idx="36">
                  <c:v>0.17100215560291795</c:v>
                </c:pt>
                <c:pt idx="37">
                  <c:v>6.8832967180388352E-2</c:v>
                </c:pt>
                <c:pt idx="38">
                  <c:v>1.1965981680714527E-2</c:v>
                </c:pt>
                <c:pt idx="39">
                  <c:v>1.7189831876154959E-3</c:v>
                </c:pt>
                <c:pt idx="40">
                  <c:v>3.4310518967606507E-2</c:v>
                </c:pt>
                <c:pt idx="41">
                  <c:v>-1.3183751927215362E-2</c:v>
                </c:pt>
                <c:pt idx="42">
                  <c:v>-6.1197053723409424E-2</c:v>
                </c:pt>
                <c:pt idx="43">
                  <c:v>0.19863929037019118</c:v>
                </c:pt>
                <c:pt idx="44">
                  <c:v>0.13425223092013264</c:v>
                </c:pt>
                <c:pt idx="45">
                  <c:v>3.3331716639759493E-2</c:v>
                </c:pt>
                <c:pt idx="46">
                  <c:v>0.16394872116949635</c:v>
                </c:pt>
                <c:pt idx="47">
                  <c:v>2.3265392509301219E-2</c:v>
                </c:pt>
                <c:pt idx="48">
                  <c:v>6.7454917461681835E-2</c:v>
                </c:pt>
                <c:pt idx="49">
                  <c:v>6.5452926408699E-2</c:v>
                </c:pt>
                <c:pt idx="50">
                  <c:v>2.3357589551902685E-2</c:v>
                </c:pt>
                <c:pt idx="51">
                  <c:v>-1.2327632810549771E-2</c:v>
                </c:pt>
                <c:pt idx="52">
                  <c:v>9.8075742617582243E-2</c:v>
                </c:pt>
                <c:pt idx="53">
                  <c:v>-8.4860862713286744E-2</c:v>
                </c:pt>
                <c:pt idx="54">
                  <c:v>8.9321174237427303E-2</c:v>
                </c:pt>
                <c:pt idx="55">
                  <c:v>-8.1521581349761771E-2</c:v>
                </c:pt>
                <c:pt idx="56">
                  <c:v>4.086177433579234E-3</c:v>
                </c:pt>
                <c:pt idx="57">
                  <c:v>-7.0380023920688581E-2</c:v>
                </c:pt>
                <c:pt idx="58">
                  <c:v>-3.8483389382457205E-2</c:v>
                </c:pt>
              </c:numCache>
            </c:numRef>
          </c:yVal>
          <c:smooth val="0"/>
          <c:extLst>
            <c:ext xmlns:c16="http://schemas.microsoft.com/office/drawing/2014/chart" uri="{C3380CC4-5D6E-409C-BE32-E72D297353CC}">
              <c16:uniqueId val="{00000003-5103-43F0-B80B-C902339AD0A2}"/>
            </c:ext>
          </c:extLst>
        </c:ser>
        <c:ser>
          <c:idx val="1"/>
          <c:order val="1"/>
          <c:tx>
            <c:v>Predicted Y</c:v>
          </c:tx>
          <c:spPr>
            <a:ln w="19050">
              <a:noFill/>
            </a:ln>
          </c:spPr>
          <c:xVal>
            <c:numRef>
              <c:f>'S&amp;P'!$D$3:$D$61</c:f>
              <c:numCache>
                <c:formatCode>General</c:formatCode>
                <c:ptCount val="59"/>
                <c:pt idx="0">
                  <c:v>9.0501405584374091E-3</c:v>
                </c:pt>
                <c:pt idx="1">
                  <c:v>1.1509718385591177E-2</c:v>
                </c:pt>
                <c:pt idx="2">
                  <c:v>4.802282553352028E-3</c:v>
                </c:pt>
                <c:pt idx="3">
                  <c:v>1.9163961513693484E-2</c:v>
                </c:pt>
                <c:pt idx="4">
                  <c:v>5.4634305631591474E-4</c:v>
                </c:pt>
                <c:pt idx="5">
                  <c:v>1.9118957203248872E-2</c:v>
                </c:pt>
                <c:pt idx="6">
                  <c:v>2.1945598878305109E-2</c:v>
                </c:pt>
                <c:pt idx="7">
                  <c:v>2.7695515330648682E-2</c:v>
                </c:pt>
                <c:pt idx="8">
                  <c:v>9.783603904362663E-3</c:v>
                </c:pt>
                <c:pt idx="9">
                  <c:v>5.4657417787024952E-2</c:v>
                </c:pt>
                <c:pt idx="10">
                  <c:v>-3.9726115635920697E-2</c:v>
                </c:pt>
                <c:pt idx="11">
                  <c:v>-2.725251295379243E-2</c:v>
                </c:pt>
                <c:pt idx="12">
                  <c:v>2.7151117471289339E-3</c:v>
                </c:pt>
                <c:pt idx="13">
                  <c:v>2.1378202402637565E-2</c:v>
                </c:pt>
                <c:pt idx="14">
                  <c:v>4.8307134968018613E-3</c:v>
                </c:pt>
                <c:pt idx="15">
                  <c:v>3.5387979976799259E-2</c:v>
                </c:pt>
                <c:pt idx="16">
                  <c:v>2.9814321663194848E-2</c:v>
                </c:pt>
                <c:pt idx="17">
                  <c:v>4.2851067203219049E-3</c:v>
                </c:pt>
                <c:pt idx="18">
                  <c:v>-7.1929349055660202E-2</c:v>
                </c:pt>
                <c:pt idx="19">
                  <c:v>1.7701776759294796E-2</c:v>
                </c:pt>
                <c:pt idx="20">
                  <c:v>-9.6265287118076068E-2</c:v>
                </c:pt>
                <c:pt idx="21">
                  <c:v>7.574215482837561E-2</c:v>
                </c:pt>
                <c:pt idx="22">
                  <c:v>2.9295592986693514E-2</c:v>
                </c:pt>
                <c:pt idx="23">
                  <c:v>1.7765541837019908E-2</c:v>
                </c:pt>
                <c:pt idx="24">
                  <c:v>3.8560336443090391E-2</c:v>
                </c:pt>
                <c:pt idx="25">
                  <c:v>-6.8040888853204307E-2</c:v>
                </c:pt>
                <c:pt idx="26">
                  <c:v>6.6658319534241436E-2</c:v>
                </c:pt>
                <c:pt idx="27">
                  <c:v>1.3042767473010496E-2</c:v>
                </c:pt>
                <c:pt idx="28">
                  <c:v>-1.8257307714875135E-2</c:v>
                </c:pt>
                <c:pt idx="29">
                  <c:v>1.7035240523677681E-2</c:v>
                </c:pt>
                <c:pt idx="30">
                  <c:v>2.0225819582931022E-2</c:v>
                </c:pt>
                <c:pt idx="31">
                  <c:v>3.3480291579323126E-2</c:v>
                </c:pt>
                <c:pt idx="32">
                  <c:v>2.818874101228944E-2</c:v>
                </c:pt>
                <c:pt idx="33">
                  <c:v>-1.6294165896177356E-3</c:v>
                </c:pt>
                <c:pt idx="34">
                  <c:v>-8.7859520936204846E-2</c:v>
                </c:pt>
                <c:pt idx="35">
                  <c:v>-0.13366776859296695</c:v>
                </c:pt>
                <c:pt idx="36">
                  <c:v>0.11942089623740584</c:v>
                </c:pt>
                <c:pt idx="37">
                  <c:v>4.4286490230530599E-2</c:v>
                </c:pt>
                <c:pt idx="38">
                  <c:v>1.8221381004063585E-2</c:v>
                </c:pt>
                <c:pt idx="39">
                  <c:v>5.3636778409248576E-2</c:v>
                </c:pt>
                <c:pt idx="40">
                  <c:v>6.7719102089653677E-2</c:v>
                </c:pt>
                <c:pt idx="41">
                  <c:v>-4.0018103243589488E-2</c:v>
                </c:pt>
                <c:pt idx="42">
                  <c:v>-2.8055680339689231E-2</c:v>
                </c:pt>
                <c:pt idx="43">
                  <c:v>0.10214644831840361</c:v>
                </c:pt>
                <c:pt idx="44">
                  <c:v>3.6448997283216107E-2</c:v>
                </c:pt>
                <c:pt idx="45">
                  <c:v>-1.1199116821942242E-2</c:v>
                </c:pt>
                <c:pt idx="46">
                  <c:v>2.5756899667125591E-2</c:v>
                </c:pt>
                <c:pt idx="47">
                  <c:v>4.1562808697442971E-2</c:v>
                </c:pt>
                <c:pt idx="48">
                  <c:v>5.1097322114293922E-2</c:v>
                </c:pt>
                <c:pt idx="49">
                  <c:v>5.4715065520221503E-3</c:v>
                </c:pt>
                <c:pt idx="50">
                  <c:v>2.1970840045862021E-2</c:v>
                </c:pt>
                <c:pt idx="51">
                  <c:v>2.249322924674322E-2</c:v>
                </c:pt>
                <c:pt idx="52">
                  <c:v>2.857805096868915E-2</c:v>
                </c:pt>
                <c:pt idx="53">
                  <c:v>-4.8737762984622721E-2</c:v>
                </c:pt>
                <c:pt idx="54">
                  <c:v>6.6858209798173654E-2</c:v>
                </c:pt>
                <c:pt idx="55">
                  <c:v>-8.3686511009886007E-3</c:v>
                </c:pt>
                <c:pt idx="56">
                  <c:v>4.2688611280446646E-2</c:v>
                </c:pt>
                <c:pt idx="57">
                  <c:v>-5.401814986501885E-2</c:v>
                </c:pt>
                <c:pt idx="58">
                  <c:v>-2.5433429492998125E-3</c:v>
                </c:pt>
              </c:numCache>
            </c:numRef>
          </c:xVal>
          <c:yVal>
            <c:numRef>
              <c:f>Beta!$B$25:$B$83</c:f>
              <c:numCache>
                <c:formatCode>General</c:formatCode>
                <c:ptCount val="59"/>
                <c:pt idx="0">
                  <c:v>5.3871227812340109E-3</c:v>
                </c:pt>
                <c:pt idx="1">
                  <c:v>8.9970920368566479E-3</c:v>
                </c:pt>
                <c:pt idx="2">
                  <c:v>-8.4753937554515792E-4</c:v>
                </c:pt>
                <c:pt idx="3">
                  <c:v>2.0231370563218845E-2</c:v>
                </c:pt>
                <c:pt idx="4">
                  <c:v>-7.0940628920908785E-3</c:v>
                </c:pt>
                <c:pt idx="5">
                  <c:v>2.0165316879012581E-2</c:v>
                </c:pt>
                <c:pt idx="6">
                  <c:v>2.4314032740312606E-2</c:v>
                </c:pt>
                <c:pt idx="7">
                  <c:v>3.2753294708850994E-2</c:v>
                </c:pt>
                <c:pt idx="8">
                  <c:v>6.4636409136080934E-3</c:v>
                </c:pt>
                <c:pt idx="9">
                  <c:v>7.232579282867968E-2</c:v>
                </c:pt>
                <c:pt idx="10">
                  <c:v>-6.6202718093924334E-2</c:v>
                </c:pt>
                <c:pt idx="11">
                  <c:v>-4.7894973694779547E-2</c:v>
                </c:pt>
                <c:pt idx="12">
                  <c:v>-3.9109197485978674E-3</c:v>
                </c:pt>
                <c:pt idx="13">
                  <c:v>2.3481254118593305E-2</c:v>
                </c:pt>
                <c:pt idx="14">
                  <c:v>-8.0581073795981534E-4</c:v>
                </c:pt>
                <c:pt idx="15">
                  <c:v>4.404367168574165E-2</c:v>
                </c:pt>
                <c:pt idx="16">
                  <c:v>3.5863107146850356E-2</c:v>
                </c:pt>
                <c:pt idx="17">
                  <c:v>-1.6066082028773085E-3</c:v>
                </c:pt>
                <c:pt idx="18">
                  <c:v>-0.11346801756665013</c:v>
                </c:pt>
                <c:pt idx="19">
                  <c:v>1.8085294130448418E-2</c:v>
                </c:pt>
                <c:pt idx="20">
                  <c:v>-0.14918633769548323</c:v>
                </c:pt>
                <c:pt idx="21">
                  <c:v>0.10327226325211999</c:v>
                </c:pt>
                <c:pt idx="22">
                  <c:v>3.5101759181558834E-2</c:v>
                </c:pt>
                <c:pt idx="23">
                  <c:v>1.8178883350366055E-2</c:v>
                </c:pt>
                <c:pt idx="24">
                  <c:v>4.8699799735342372E-2</c:v>
                </c:pt>
                <c:pt idx="25">
                  <c:v>-0.10776085041478901</c:v>
                </c:pt>
                <c:pt idx="26">
                  <c:v>8.9939745056136888E-2</c:v>
                </c:pt>
                <c:pt idx="27">
                  <c:v>1.1247177401851317E-2</c:v>
                </c:pt>
                <c:pt idx="28">
                  <c:v>-3.4692539520096689E-2</c:v>
                </c:pt>
                <c:pt idx="29">
                  <c:v>1.710700619348134E-2</c:v>
                </c:pt>
                <c:pt idx="30">
                  <c:v>2.1789879890089063E-2</c:v>
                </c:pt>
                <c:pt idx="31">
                  <c:v>4.124372106487996E-2</c:v>
                </c:pt>
                <c:pt idx="32">
                  <c:v>3.3477211442507315E-2</c:v>
                </c:pt>
                <c:pt idx="33">
                  <c:v>-1.0287466793659645E-2</c:v>
                </c:pt>
                <c:pt idx="34">
                  <c:v>-0.13684903445933297</c:v>
                </c:pt>
                <c:pt idx="35">
                  <c:v>-0.20408267263463781</c:v>
                </c:pt>
                <c:pt idx="36">
                  <c:v>0.1673803845199707</c:v>
                </c:pt>
                <c:pt idx="37">
                  <c:v>5.7104184787693857E-2</c:v>
                </c:pt>
                <c:pt idx="38">
                  <c:v>1.8847927183974104E-2</c:v>
                </c:pt>
                <c:pt idx="39">
                  <c:v>7.0827780960881118E-2</c:v>
                </c:pt>
                <c:pt idx="40">
                  <c:v>9.1496675830866792E-2</c:v>
                </c:pt>
                <c:pt idx="41">
                  <c:v>-6.6631273870883384E-2</c:v>
                </c:pt>
                <c:pt idx="42">
                  <c:v>-4.9073797775154943E-2</c:v>
                </c:pt>
                <c:pt idx="43">
                  <c:v>0.14202634806420383</c:v>
                </c:pt>
                <c:pt idx="44">
                  <c:v>4.5600947008995293E-2</c:v>
                </c:pt>
                <c:pt idx="45">
                  <c:v>-2.4333098219843627E-2</c:v>
                </c:pt>
                <c:pt idx="46">
                  <c:v>2.9907951550149105E-2</c:v>
                </c:pt>
                <c:pt idx="47">
                  <c:v>5.3106585489146124E-2</c:v>
                </c:pt>
                <c:pt idx="48">
                  <c:v>6.7100572555610943E-2</c:v>
                </c:pt>
                <c:pt idx="49">
                  <c:v>1.3469344248266159E-4</c:v>
                </c:pt>
                <c:pt idx="50">
                  <c:v>2.4351079683023875E-2</c:v>
                </c:pt>
                <c:pt idx="51">
                  <c:v>2.5117800269716054E-2</c:v>
                </c:pt>
                <c:pt idx="52">
                  <c:v>3.4048609085629289E-2</c:v>
                </c:pt>
                <c:pt idx="53">
                  <c:v>-7.9429284666519218E-2</c:v>
                </c:pt>
                <c:pt idx="54">
                  <c:v>9.0233127806350025E-2</c:v>
                </c:pt>
                <c:pt idx="55">
                  <c:v>-2.0178769733494979E-2</c:v>
                </c:pt>
                <c:pt idx="56">
                  <c:v>5.4758947397631375E-2</c:v>
                </c:pt>
                <c:pt idx="57">
                  <c:v>-8.7179409133237878E-2</c:v>
                </c:pt>
                <c:pt idx="58">
                  <c:v>-1.1628853930887709E-2</c:v>
                </c:pt>
              </c:numCache>
            </c:numRef>
          </c:yVal>
          <c:smooth val="0"/>
          <c:extLst>
            <c:ext xmlns:c16="http://schemas.microsoft.com/office/drawing/2014/chart" uri="{C3380CC4-5D6E-409C-BE32-E72D297353CC}">
              <c16:uniqueId val="{00000004-5103-43F0-B80B-C902339AD0A2}"/>
            </c:ext>
          </c:extLst>
        </c:ser>
        <c:dLbls>
          <c:showLegendKey val="0"/>
          <c:showVal val="0"/>
          <c:showCatName val="0"/>
          <c:showSerName val="0"/>
          <c:showPercent val="0"/>
          <c:showBubbleSize val="0"/>
        </c:dLbls>
        <c:axId val="989977248"/>
        <c:axId val="989969344"/>
      </c:scatterChart>
      <c:valAx>
        <c:axId val="989977248"/>
        <c:scaling>
          <c:orientation val="minMax"/>
        </c:scaling>
        <c:delete val="0"/>
        <c:axPos val="b"/>
        <c:title>
          <c:tx>
            <c:rich>
              <a:bodyPr/>
              <a:lstStyle/>
              <a:p>
                <a:pPr>
                  <a:defRPr/>
                </a:pPr>
                <a:r>
                  <a:rPr lang="en-GB"/>
                  <a:t>X Variable 1</a:t>
                </a:r>
              </a:p>
            </c:rich>
          </c:tx>
          <c:overlay val="0"/>
        </c:title>
        <c:numFmt formatCode="General" sourceLinked="1"/>
        <c:majorTickMark val="out"/>
        <c:minorTickMark val="none"/>
        <c:tickLblPos val="nextTo"/>
        <c:crossAx val="989969344"/>
        <c:crosses val="autoZero"/>
        <c:crossBetween val="midCat"/>
      </c:valAx>
      <c:valAx>
        <c:axId val="989969344"/>
        <c:scaling>
          <c:orientation val="minMax"/>
        </c:scaling>
        <c:delete val="0"/>
        <c:axPos val="l"/>
        <c:title>
          <c:tx>
            <c:rich>
              <a:bodyPr/>
              <a:lstStyle/>
              <a:p>
                <a:pPr>
                  <a:defRPr/>
                </a:pPr>
                <a:r>
                  <a:rPr lang="en-GB"/>
                  <a:t>Y</a:t>
                </a:r>
              </a:p>
            </c:rich>
          </c:tx>
          <c:overlay val="0"/>
        </c:title>
        <c:numFmt formatCode="General" sourceLinked="1"/>
        <c:majorTickMark val="out"/>
        <c:minorTickMark val="none"/>
        <c:tickLblPos val="nextTo"/>
        <c:crossAx val="989977248"/>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247650</xdr:colOff>
      <xdr:row>0</xdr:row>
      <xdr:rowOff>177800</xdr:rowOff>
    </xdr:from>
    <xdr:to>
      <xdr:col>17</xdr:col>
      <xdr:colOff>38100</xdr:colOff>
      <xdr:row>14</xdr:row>
      <xdr:rowOff>6350</xdr:rowOff>
    </xdr:to>
    <xdr:graphicFrame macro="">
      <xdr:nvGraphicFramePr>
        <xdr:cNvPr id="2" name="Chart 1">
          <a:extLst>
            <a:ext uri="{FF2B5EF4-FFF2-40B4-BE49-F238E27FC236}">
              <a16:creationId xmlns:a16="http://schemas.microsoft.com/office/drawing/2014/main" id="{A46D2144-8595-4CE0-8D55-095635DEA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macrotrends.net/stocks/charts/GS/goldman-sachs/current-ratio" TargetMode="External"/><Relationship Id="rId1" Type="http://schemas.openxmlformats.org/officeDocument/2006/relationships/hyperlink" Target="https://www.readyratios.com/sec/GS_goldman-sachs-group-in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tockanalysis.com/stocks/gs/financials/ratio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inbox.com/NYSE:GS/models/wacc" TargetMode="External"/><Relationship Id="rId1" Type="http://schemas.openxmlformats.org/officeDocument/2006/relationships/hyperlink" Target="https://finra-markets.morningstar.com/BondCenter/Results.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5"/>
  <sheetViews>
    <sheetView tabSelected="1" topLeftCell="D37" zoomScale="90" zoomScaleNormal="90" workbookViewId="0">
      <selection activeCell="D53" sqref="A53:G55"/>
    </sheetView>
  </sheetViews>
  <sheetFormatPr defaultColWidth="8.6640625" defaultRowHeight="14.4"/>
  <cols>
    <col min="1" max="1" width="23.5546875" bestFit="1" customWidth="1"/>
    <col min="2" max="2" width="10.6640625" bestFit="1" customWidth="1"/>
    <col min="3" max="3" width="15.33203125" customWidth="1"/>
    <col min="4" max="4" width="17" bestFit="1" customWidth="1"/>
    <col min="5" max="5" width="26.6640625" bestFit="1" customWidth="1"/>
    <col min="6" max="6" width="22.88671875" bestFit="1" customWidth="1"/>
    <col min="7" max="7" width="16.33203125" bestFit="1" customWidth="1"/>
    <col min="8" max="9" width="13.6640625" bestFit="1" customWidth="1"/>
    <col min="10" max="10" width="22.33203125" bestFit="1" customWidth="1"/>
    <col min="11" max="11" width="22" bestFit="1" customWidth="1"/>
    <col min="12" max="12" width="22.33203125" bestFit="1" customWidth="1"/>
    <col min="13" max="13" width="19.33203125" bestFit="1" customWidth="1"/>
    <col min="14" max="14" width="13.33203125" bestFit="1" customWidth="1"/>
    <col min="15" max="16" width="13.6640625" bestFit="1" customWidth="1"/>
    <col min="17" max="17" width="13.44140625" customWidth="1"/>
    <col min="18" max="21" width="13.6640625" bestFit="1" customWidth="1"/>
    <col min="22" max="24" width="12.88671875" bestFit="1" customWidth="1"/>
    <col min="25" max="25" width="10.21875" customWidth="1"/>
    <col min="26" max="28" width="10.6640625" bestFit="1" customWidth="1"/>
    <col min="29" max="29" width="43" customWidth="1"/>
    <col min="30" max="30" width="15.44140625" bestFit="1" customWidth="1"/>
    <col min="31" max="31" width="16.77734375" bestFit="1" customWidth="1"/>
    <col min="32" max="32" width="12.5546875" bestFit="1" customWidth="1"/>
    <col min="33" max="34" width="15.44140625" bestFit="1" customWidth="1"/>
  </cols>
  <sheetData>
    <row r="1" spans="1:40">
      <c r="A1" t="s">
        <v>0</v>
      </c>
      <c r="E1" s="1" t="s">
        <v>1</v>
      </c>
      <c r="Y1" s="2"/>
      <c r="Z1" s="2"/>
      <c r="AA1" s="2"/>
      <c r="AB1" s="2"/>
      <c r="AC1" s="2"/>
      <c r="AD1" s="2"/>
      <c r="AE1" s="2"/>
      <c r="AF1" s="2"/>
      <c r="AG1" s="2"/>
      <c r="AH1" s="2"/>
      <c r="AI1" s="2"/>
      <c r="AJ1" s="2"/>
      <c r="AK1" s="2"/>
      <c r="AL1" s="2"/>
      <c r="AM1" s="2"/>
      <c r="AN1" s="2"/>
    </row>
    <row r="2" spans="1:40">
      <c r="E2" t="s">
        <v>2</v>
      </c>
      <c r="F2">
        <v>2018</v>
      </c>
      <c r="G2">
        <v>2019</v>
      </c>
      <c r="H2">
        <v>2020</v>
      </c>
      <c r="I2">
        <v>2021</v>
      </c>
      <c r="J2" t="s">
        <v>3</v>
      </c>
      <c r="K2" t="s">
        <v>4</v>
      </c>
      <c r="L2" t="s">
        <v>5</v>
      </c>
      <c r="M2" t="s">
        <v>6</v>
      </c>
      <c r="N2">
        <v>2022</v>
      </c>
      <c r="O2">
        <v>2023</v>
      </c>
      <c r="P2">
        <v>2024</v>
      </c>
      <c r="Q2">
        <v>2025</v>
      </c>
      <c r="R2">
        <v>2026</v>
      </c>
      <c r="S2">
        <v>2027</v>
      </c>
      <c r="T2">
        <v>2028</v>
      </c>
      <c r="U2">
        <v>2029</v>
      </c>
      <c r="V2">
        <v>2030</v>
      </c>
      <c r="W2">
        <v>2031</v>
      </c>
      <c r="X2">
        <v>2032</v>
      </c>
      <c r="Y2" s="2"/>
      <c r="Z2" s="2"/>
      <c r="AA2" s="2"/>
      <c r="AB2" s="2"/>
      <c r="AC2" s="21" t="s">
        <v>7</v>
      </c>
      <c r="AD2" s="21"/>
      <c r="AE2" s="21" t="s">
        <v>569</v>
      </c>
      <c r="AF2" s="21" t="s">
        <v>570</v>
      </c>
      <c r="AG2" s="2"/>
      <c r="AH2" s="2"/>
      <c r="AI2" s="2"/>
      <c r="AJ2" s="2"/>
      <c r="AK2" s="2"/>
      <c r="AL2" s="2"/>
    </row>
    <row r="3" spans="1:40">
      <c r="A3" t="s">
        <v>8</v>
      </c>
      <c r="Y3" s="2"/>
      <c r="Z3" s="2"/>
      <c r="AA3" s="2"/>
      <c r="AB3" s="2"/>
      <c r="AC3" s="21" t="s">
        <v>9</v>
      </c>
      <c r="AD3" s="21"/>
      <c r="AF3" s="2"/>
      <c r="AG3" s="2"/>
      <c r="AH3" s="2"/>
      <c r="AI3" s="2"/>
      <c r="AJ3" s="2"/>
      <c r="AK3" s="2"/>
    </row>
    <row r="4" spans="1:40">
      <c r="E4" s="88" t="s">
        <v>10</v>
      </c>
      <c r="F4" s="88">
        <v>31340766.112198979</v>
      </c>
      <c r="G4" s="88">
        <v>33274000</v>
      </c>
      <c r="H4" s="88">
        <v>44559000</v>
      </c>
      <c r="I4" s="88">
        <v>59339000</v>
      </c>
      <c r="J4" s="88">
        <f>(G4-F4)/F4</f>
        <v>6.1684321336629218E-2</v>
      </c>
      <c r="K4" s="88">
        <f t="shared" ref="J4:L5" si="0">(H4-G4)/G4</f>
        <v>0.33915369357456271</v>
      </c>
      <c r="L4" s="88">
        <f t="shared" si="0"/>
        <v>0.33169505599317761</v>
      </c>
      <c r="M4" s="88">
        <f>GEOMEAN(J4:L4)</f>
        <v>0.19073780483240485</v>
      </c>
      <c r="N4" s="88">
        <f>I4*(1+$M$4)</f>
        <v>70657190.600950077</v>
      </c>
      <c r="O4" s="88">
        <f t="shared" ref="O4:X4" si="1">N4*(1+$M$4)</f>
        <v>84134188.031800121</v>
      </c>
      <c r="P4" s="88">
        <f t="shared" si="1"/>
        <v>100181758.36834247</v>
      </c>
      <c r="Q4" s="88">
        <f t="shared" si="1"/>
        <v>119290207.04377052</v>
      </c>
      <c r="R4" s="88">
        <f t="shared" si="1"/>
        <v>142043359.27330241</v>
      </c>
      <c r="S4" s="88">
        <f t="shared" si="1"/>
        <v>169136397.81211272</v>
      </c>
      <c r="T4" s="88">
        <f t="shared" si="1"/>
        <v>201397103.04805547</v>
      </c>
      <c r="U4" s="88">
        <f t="shared" si="1"/>
        <v>239811144.38304719</v>
      </c>
      <c r="V4" s="88">
        <f t="shared" si="1"/>
        <v>285552195.63701653</v>
      </c>
      <c r="W4" s="88">
        <f t="shared" si="1"/>
        <v>340017794.59789449</v>
      </c>
      <c r="X4" s="88">
        <f t="shared" si="1"/>
        <v>404872042.34345239</v>
      </c>
      <c r="Y4" s="2"/>
      <c r="Z4" s="2"/>
      <c r="AA4" s="2"/>
      <c r="AB4" s="2"/>
      <c r="AC4" s="21" t="s">
        <v>11</v>
      </c>
      <c r="AD4" s="21"/>
      <c r="AE4" s="21"/>
      <c r="AF4" s="2"/>
      <c r="AG4" s="2"/>
      <c r="AH4" s="2"/>
      <c r="AI4" s="2"/>
      <c r="AJ4" s="2"/>
      <c r="AK4" s="2"/>
    </row>
    <row r="5" spans="1:40" ht="14.4" customHeight="1">
      <c r="A5" t="s">
        <v>12</v>
      </c>
      <c r="E5" s="88" t="s">
        <v>13</v>
      </c>
      <c r="F5" s="88">
        <v>13068000</v>
      </c>
      <c r="G5" s="88">
        <v>13092000</v>
      </c>
      <c r="H5" s="88">
        <v>13710000</v>
      </c>
      <c r="I5" s="88">
        <v>18272000</v>
      </c>
      <c r="J5" s="88">
        <f t="shared" si="0"/>
        <v>1.8365472910927456E-3</v>
      </c>
      <c r="K5" s="88">
        <f t="shared" si="0"/>
        <v>4.7204399633363883E-2</v>
      </c>
      <c r="L5" s="88">
        <f t="shared" si="0"/>
        <v>0.33274981765134937</v>
      </c>
      <c r="M5" s="88">
        <f>GEOMEAN(J5:L5)</f>
        <v>3.0669084128954967E-2</v>
      </c>
      <c r="N5" s="88">
        <f>I5*(1+$M$5)</f>
        <v>18832385.505204264</v>
      </c>
      <c r="O5" s="88">
        <f t="shared" ref="O5:X5" si="2">N5*(1+$M$5)</f>
        <v>19409957.520612285</v>
      </c>
      <c r="P5" s="88">
        <f t="shared" si="2"/>
        <v>20005243.140751384</v>
      </c>
      <c r="Q5" s="88">
        <f t="shared" si="2"/>
        <v>20618785.625655286</v>
      </c>
      <c r="R5" s="88">
        <f t="shared" si="2"/>
        <v>21251144.896645397</v>
      </c>
      <c r="S5" s="88">
        <f t="shared" si="2"/>
        <v>21902898.047317225</v>
      </c>
      <c r="T5" s="88">
        <f t="shared" si="2"/>
        <v>22574639.870198321</v>
      </c>
      <c r="U5" s="88">
        <f t="shared" si="2"/>
        <v>23266983.399558295</v>
      </c>
      <c r="V5" s="88">
        <f t="shared" si="2"/>
        <v>23980560.470866345</v>
      </c>
      <c r="W5" s="88">
        <f t="shared" si="2"/>
        <v>24716022.297406837</v>
      </c>
      <c r="X5" s="88">
        <f t="shared" si="2"/>
        <v>25474040.064579133</v>
      </c>
      <c r="Y5" s="2"/>
      <c r="Z5" s="2"/>
      <c r="AA5" s="2"/>
      <c r="AB5" s="2"/>
      <c r="AC5" s="2"/>
      <c r="AD5" s="99" t="s">
        <v>14</v>
      </c>
      <c r="AE5" s="99"/>
      <c r="AF5" s="99"/>
      <c r="AG5" s="99"/>
      <c r="AH5" s="2"/>
      <c r="AI5" s="2"/>
      <c r="AJ5" s="2"/>
      <c r="AK5" s="2"/>
      <c r="AL5" s="2"/>
      <c r="AM5" s="2"/>
      <c r="AN5" s="2"/>
    </row>
    <row r="6" spans="1:40">
      <c r="A6">
        <v>2018</v>
      </c>
      <c r="B6">
        <v>2019</v>
      </c>
      <c r="C6">
        <v>2020</v>
      </c>
      <c r="D6">
        <v>2021</v>
      </c>
      <c r="E6" s="88" t="s">
        <v>15</v>
      </c>
      <c r="F6" s="88">
        <f>F10+F7+F9</f>
        <v>18272766.112198979</v>
      </c>
      <c r="G6" s="88">
        <f>G10+G7+G9</f>
        <v>20182000</v>
      </c>
      <c r="H6" s="88">
        <f>H10+H7+H9</f>
        <v>30849000</v>
      </c>
      <c r="I6" s="88">
        <f>I10+I7+I9</f>
        <v>41067000</v>
      </c>
      <c r="J6" s="88"/>
      <c r="K6" s="88"/>
      <c r="L6" s="88"/>
      <c r="M6" s="88"/>
      <c r="N6" s="88">
        <f t="shared" ref="N6:X6" si="3">N4-N5</f>
        <v>51824805.095745817</v>
      </c>
      <c r="O6" s="88">
        <f t="shared" si="3"/>
        <v>64724230.511187837</v>
      </c>
      <c r="P6" s="88">
        <f t="shared" si="3"/>
        <v>80176515.227591097</v>
      </c>
      <c r="Q6" s="88">
        <f t="shared" si="3"/>
        <v>98671421.418115228</v>
      </c>
      <c r="R6" s="88">
        <f t="shared" si="3"/>
        <v>120792214.37665701</v>
      </c>
      <c r="S6" s="88">
        <f t="shared" si="3"/>
        <v>147233499.76479548</v>
      </c>
      <c r="T6" s="88">
        <f t="shared" si="3"/>
        <v>178822463.17785716</v>
      </c>
      <c r="U6" s="88">
        <f t="shared" si="3"/>
        <v>216544160.98348889</v>
      </c>
      <c r="V6" s="88">
        <f t="shared" si="3"/>
        <v>261571635.16615018</v>
      </c>
      <c r="W6" s="88">
        <f t="shared" si="3"/>
        <v>315301772.30048764</v>
      </c>
      <c r="X6" s="88">
        <f t="shared" si="3"/>
        <v>379398002.27887326</v>
      </c>
      <c r="Y6" s="2"/>
      <c r="Z6" s="2"/>
      <c r="AA6" s="2"/>
      <c r="AB6" s="2"/>
      <c r="AC6" s="21" t="s">
        <v>16</v>
      </c>
      <c r="AD6" s="25">
        <v>0</v>
      </c>
      <c r="AE6" s="25">
        <v>0.01</v>
      </c>
      <c r="AF6" s="25">
        <v>0.02</v>
      </c>
      <c r="AG6" s="25">
        <v>0.03</v>
      </c>
      <c r="AH6" s="2"/>
      <c r="AI6" s="2"/>
      <c r="AJ6" s="2"/>
      <c r="AK6" s="2"/>
      <c r="AL6" s="2"/>
      <c r="AM6" s="2"/>
      <c r="AN6" s="2"/>
    </row>
    <row r="7" spans="1:40">
      <c r="A7">
        <v>12481000</v>
      </c>
      <c r="B7">
        <v>10583000</v>
      </c>
      <c r="C7">
        <v>12479000</v>
      </c>
      <c r="D7">
        <v>27044000</v>
      </c>
      <c r="E7" s="88" t="s">
        <v>17</v>
      </c>
      <c r="F7" s="88">
        <v>1328000</v>
      </c>
      <c r="G7" s="88">
        <v>1704000</v>
      </c>
      <c r="H7" s="88">
        <v>1902000</v>
      </c>
      <c r="I7" s="88">
        <v>2015000</v>
      </c>
      <c r="J7" s="88">
        <f>(G7-F7)/F7</f>
        <v>0.28313253012048195</v>
      </c>
      <c r="K7" s="88">
        <f>(H7-G7)/G7</f>
        <v>0.11619718309859155</v>
      </c>
      <c r="L7" s="88">
        <f>(I7-H7)/H7</f>
        <v>5.9411146161934804E-2</v>
      </c>
      <c r="M7" s="88">
        <f>GEOMEAN(J7:L7)</f>
        <v>0.12503101790219209</v>
      </c>
      <c r="N7" s="88">
        <f>I7*(1+M7)</f>
        <v>2266937.5010729171</v>
      </c>
      <c r="O7" s="88">
        <f t="shared" ref="O7:X7" si="4">N7*(1+$M$7)</f>
        <v>2550375.0043527158</v>
      </c>
      <c r="P7" s="88">
        <f t="shared" si="4"/>
        <v>2869250.9871792435</v>
      </c>
      <c r="Q7" s="88">
        <f t="shared" si="4"/>
        <v>3227996.3587231338</v>
      </c>
      <c r="R7" s="88">
        <f t="shared" si="4"/>
        <v>3631596.0292388569</v>
      </c>
      <c r="S7" s="88">
        <f t="shared" si="4"/>
        <v>4085658.1773841502</v>
      </c>
      <c r="T7" s="88">
        <f t="shared" si="4"/>
        <v>4596492.1781029049</v>
      </c>
      <c r="U7" s="88">
        <f t="shared" si="4"/>
        <v>5171196.2739105746</v>
      </c>
      <c r="V7" s="88">
        <f t="shared" si="4"/>
        <v>5817756.2078096364</v>
      </c>
      <c r="W7" s="88">
        <f t="shared" si="4"/>
        <v>6545156.1883788723</v>
      </c>
      <c r="X7" s="88">
        <f t="shared" si="4"/>
        <v>7363503.7289407142</v>
      </c>
      <c r="Y7" s="2"/>
      <c r="Z7" s="2"/>
      <c r="AA7" s="2"/>
      <c r="AB7" s="2"/>
      <c r="AC7" s="53">
        <v>0.74615135699249802</v>
      </c>
      <c r="AD7" s="54">
        <f>((1+$AD$6)/(AC7-AD6))</f>
        <v>1.340210656495602</v>
      </c>
      <c r="AE7" s="54">
        <f>((1+$AE$6)/(AC7-$AE$6))</f>
        <v>1.3720004594249395</v>
      </c>
      <c r="AF7" s="54">
        <f>((1+$AF$6)/(AC7-$AF$6))</f>
        <v>1.4046658319617211</v>
      </c>
      <c r="AG7" s="54">
        <f>((1+$AG$6)/(AC7-$AG$6))</f>
        <v>1.438243452229875</v>
      </c>
      <c r="AH7" s="2"/>
      <c r="AI7" s="2"/>
      <c r="AJ7" s="2"/>
      <c r="AK7" s="2"/>
      <c r="AL7" s="2"/>
      <c r="AM7" s="2"/>
      <c r="AN7" s="2"/>
    </row>
    <row r="8" spans="1:40">
      <c r="A8" t="s">
        <v>18</v>
      </c>
      <c r="E8" s="88" t="s">
        <v>19</v>
      </c>
      <c r="F8" s="88">
        <f>F4-F5-F7</f>
        <v>16944766.112198979</v>
      </c>
      <c r="G8" s="88">
        <f>G4-G5-G7</f>
        <v>18478000</v>
      </c>
      <c r="H8" s="88">
        <f>H4-H5-H7</f>
        <v>28947000</v>
      </c>
      <c r="I8" s="88">
        <v>39052000</v>
      </c>
      <c r="J8" s="88"/>
      <c r="K8" s="88"/>
      <c r="L8" s="88"/>
      <c r="M8" s="88"/>
      <c r="N8" s="88">
        <f t="shared" ref="N8:X8" si="5">N4-N5-N7</f>
        <v>49557867.594672903</v>
      </c>
      <c r="O8" s="88">
        <f t="shared" si="5"/>
        <v>62173855.506835118</v>
      </c>
      <c r="P8" s="88">
        <f t="shared" si="5"/>
        <v>77307264.240411848</v>
      </c>
      <c r="Q8" s="88">
        <f t="shared" si="5"/>
        <v>95443425.059392095</v>
      </c>
      <c r="R8" s="88">
        <f t="shared" si="5"/>
        <v>117160618.34741816</v>
      </c>
      <c r="S8" s="88">
        <f t="shared" si="5"/>
        <v>143147841.58741134</v>
      </c>
      <c r="T8" s="88">
        <f t="shared" si="5"/>
        <v>174225970.99975425</v>
      </c>
      <c r="U8" s="88">
        <f t="shared" si="5"/>
        <v>211372964.70957831</v>
      </c>
      <c r="V8" s="88">
        <f t="shared" si="5"/>
        <v>255753878.95834056</v>
      </c>
      <c r="W8" s="88">
        <f t="shared" si="5"/>
        <v>308756616.11210877</v>
      </c>
      <c r="X8" s="88">
        <f t="shared" si="5"/>
        <v>372034498.54993254</v>
      </c>
      <c r="Y8" s="2"/>
      <c r="Z8" s="2"/>
      <c r="AA8" s="2"/>
      <c r="AB8" s="2"/>
      <c r="AC8" s="53">
        <v>0.75615135699249791</v>
      </c>
      <c r="AD8" s="54">
        <f>((1+$AD$6)/(AC8-$AD$6))</f>
        <v>1.3224865508109132</v>
      </c>
      <c r="AE8" s="54">
        <f t="shared" ref="AE8:AE10" si="6">((1+$AE$6)/(AC8-$AE$6))</f>
        <v>1.3536127630605581</v>
      </c>
      <c r="AF8" s="54">
        <f t="shared" ref="AF8:AF10" si="7">((1+$AF$6)/(AC8-$AF$6))</f>
        <v>1.3855846223895432</v>
      </c>
      <c r="AG8" s="54">
        <f t="shared" ref="AG8:AG10" si="8">((1+$AG$6)/(AC8-$AG$6))</f>
        <v>1.4184370656084049</v>
      </c>
      <c r="AH8" s="2"/>
      <c r="AI8" s="2"/>
      <c r="AJ8" s="2"/>
      <c r="AK8" s="2"/>
      <c r="AL8" s="2"/>
      <c r="AM8" s="2"/>
      <c r="AN8" s="2"/>
    </row>
    <row r="9" spans="1:40">
      <c r="A9">
        <v>2018</v>
      </c>
      <c r="B9">
        <v>2019</v>
      </c>
      <c r="C9">
        <v>2020</v>
      </c>
      <c r="D9">
        <v>2021</v>
      </c>
      <c r="E9" s="88" t="s">
        <v>20</v>
      </c>
      <c r="F9" s="88">
        <v>15912000</v>
      </c>
      <c r="G9" s="88">
        <v>17376000</v>
      </c>
      <c r="H9" s="88">
        <v>8938000</v>
      </c>
      <c r="I9" s="88">
        <v>5650000</v>
      </c>
      <c r="J9" s="88">
        <f>(G9-F9)/F9</f>
        <v>9.2006033182503777E-2</v>
      </c>
      <c r="K9" s="88">
        <f>(H9-G9)/G9</f>
        <v>-0.48561233885819521</v>
      </c>
      <c r="L9" s="88">
        <f>(I9-H9)/H9</f>
        <v>-0.36786753188632804</v>
      </c>
      <c r="M9" s="88">
        <f>AVERAGE(J9:L9)</f>
        <v>-0.25382461252067318</v>
      </c>
      <c r="N9" s="88">
        <f>I9*(1+$M$9)</f>
        <v>4215890.9392581973</v>
      </c>
      <c r="O9" s="88">
        <f t="shared" ref="O9:X9" si="9">N9*(1+$B$44)</f>
        <v>4215890.9392581973</v>
      </c>
      <c r="P9" s="88">
        <f t="shared" si="9"/>
        <v>4215890.9392581973</v>
      </c>
      <c r="Q9" s="88">
        <f t="shared" si="9"/>
        <v>4215890.9392581973</v>
      </c>
      <c r="R9" s="88">
        <f t="shared" si="9"/>
        <v>4215890.9392581973</v>
      </c>
      <c r="S9" s="88">
        <f t="shared" si="9"/>
        <v>4215890.9392581973</v>
      </c>
      <c r="T9" s="88">
        <f t="shared" si="9"/>
        <v>4215890.9392581973</v>
      </c>
      <c r="U9" s="88">
        <f t="shared" si="9"/>
        <v>4215890.9392581973</v>
      </c>
      <c r="V9" s="88">
        <f t="shared" si="9"/>
        <v>4215890.9392581973</v>
      </c>
      <c r="W9" s="88">
        <f t="shared" si="9"/>
        <v>4215890.9392581973</v>
      </c>
      <c r="X9" s="88">
        <f t="shared" si="9"/>
        <v>4215890.9392581973</v>
      </c>
      <c r="Y9" s="2"/>
      <c r="Z9" s="2"/>
      <c r="AA9" s="2"/>
      <c r="AB9" s="2"/>
      <c r="AC9" s="53">
        <v>0.76615135699249803</v>
      </c>
      <c r="AD9" s="54">
        <f t="shared" ref="AD9:AD10" si="10">((1+$AD$6)/(AC9-$AD$6))</f>
        <v>1.3052251240870565</v>
      </c>
      <c r="AE9" s="54">
        <f t="shared" si="6"/>
        <v>1.335711416319022</v>
      </c>
      <c r="AF9" s="54">
        <f t="shared" si="7"/>
        <v>1.367014869625514</v>
      </c>
      <c r="AG9" s="54">
        <f t="shared" si="8"/>
        <v>1.3991687853541463</v>
      </c>
      <c r="AH9" s="2"/>
      <c r="AI9" s="2"/>
      <c r="AJ9" s="2"/>
      <c r="AK9" s="2"/>
      <c r="AL9" s="2"/>
      <c r="AM9" s="2"/>
      <c r="AN9" s="2"/>
    </row>
    <row r="10" spans="1:40">
      <c r="A10">
        <v>2022000</v>
      </c>
      <c r="B10">
        <v>2117000</v>
      </c>
      <c r="C10">
        <v>3020000</v>
      </c>
      <c r="D10">
        <v>5409000</v>
      </c>
      <c r="E10" s="88" t="s">
        <v>21</v>
      </c>
      <c r="F10" s="88">
        <f>F8-F9</f>
        <v>1032766.1121989787</v>
      </c>
      <c r="G10" s="88">
        <f>G8-G9</f>
        <v>1102000</v>
      </c>
      <c r="H10" s="88">
        <f>H8-H9</f>
        <v>20009000</v>
      </c>
      <c r="I10" s="88">
        <f>I8-I9</f>
        <v>33402000</v>
      </c>
      <c r="J10" s="88"/>
      <c r="K10" s="88"/>
      <c r="L10" s="88"/>
      <c r="M10" s="88"/>
      <c r="N10" s="88">
        <f t="shared" ref="N10:X10" si="11">N8-N9</f>
        <v>45341976.655414708</v>
      </c>
      <c r="O10" s="88">
        <f t="shared" si="11"/>
        <v>57957964.567576922</v>
      </c>
      <c r="P10" s="88">
        <f t="shared" si="11"/>
        <v>73091373.301153645</v>
      </c>
      <c r="Q10" s="88">
        <f t="shared" si="11"/>
        <v>91227534.120133892</v>
      </c>
      <c r="R10" s="88">
        <f t="shared" si="11"/>
        <v>112944727.40815996</v>
      </c>
      <c r="S10" s="88">
        <f t="shared" si="11"/>
        <v>138931950.64815316</v>
      </c>
      <c r="T10" s="88">
        <f t="shared" si="11"/>
        <v>170010080.06049606</v>
      </c>
      <c r="U10" s="88">
        <f t="shared" si="11"/>
        <v>207157073.77032012</v>
      </c>
      <c r="V10" s="88">
        <f t="shared" si="11"/>
        <v>251537988.01908237</v>
      </c>
      <c r="W10" s="88">
        <f t="shared" si="11"/>
        <v>304540725.17285055</v>
      </c>
      <c r="X10" s="88">
        <f t="shared" si="11"/>
        <v>367818607.61067432</v>
      </c>
      <c r="Y10" s="2"/>
      <c r="Z10" s="2"/>
      <c r="AA10" s="2"/>
      <c r="AB10" s="2"/>
      <c r="AC10" s="53">
        <v>0.77615135699249804</v>
      </c>
      <c r="AD10" s="54">
        <f t="shared" si="10"/>
        <v>1.2884084927389563</v>
      </c>
      <c r="AE10" s="54">
        <f t="shared" si="6"/>
        <v>1.3182773753279271</v>
      </c>
      <c r="AF10" s="54">
        <f t="shared" si="7"/>
        <v>1.3489362818271311</v>
      </c>
      <c r="AG10" s="54">
        <f t="shared" si="8"/>
        <v>1.3804169761904701</v>
      </c>
      <c r="AH10" s="2"/>
      <c r="AI10" s="2"/>
      <c r="AJ10" s="2"/>
      <c r="AK10" s="2"/>
      <c r="AL10" s="2"/>
      <c r="AM10" s="2"/>
      <c r="AN10" s="2"/>
    </row>
    <row r="11" spans="1:40">
      <c r="A11" t="s">
        <v>22</v>
      </c>
      <c r="E11" s="88" t="s">
        <v>23</v>
      </c>
      <c r="F11" s="88">
        <f>F10*A13</f>
        <v>167314.56444726663</v>
      </c>
      <c r="G11" s="88">
        <f>G10*B13</f>
        <v>220441.65170556554</v>
      </c>
      <c r="H11" s="88">
        <f>H10*C13</f>
        <v>4842309.479926276</v>
      </c>
      <c r="I11" s="88">
        <f>I10*D13</f>
        <v>6680647.0196716459</v>
      </c>
      <c r="J11" s="88">
        <f>(G11-F11)/F11</f>
        <v>0.31752816877483037</v>
      </c>
      <c r="K11" s="88">
        <f>(H11-G11)/G11</f>
        <v>20.966399917897281</v>
      </c>
      <c r="L11" s="88">
        <f>(I11-H11)/H11</f>
        <v>0.37964065439562911</v>
      </c>
      <c r="M11" s="88">
        <f>AVERAGE(J11:L11)</f>
        <v>7.2211895803559143</v>
      </c>
      <c r="N11" s="88">
        <f t="shared" ref="N11:X11" si="12">I11*(1+$M$11)</f>
        <v>54922865.668160334</v>
      </c>
      <c r="O11" s="88">
        <f t="shared" si="12"/>
        <v>2.6104592726011298</v>
      </c>
      <c r="P11" s="88">
        <f t="shared" si="12"/>
        <v>172.36874854259224</v>
      </c>
      <c r="Q11" s="88">
        <f t="shared" si="12"/>
        <v>3.121097792196847</v>
      </c>
      <c r="R11" s="88">
        <f t="shared" si="12"/>
        <v>59.366768535796744</v>
      </c>
      <c r="S11" s="88">
        <f t="shared" si="12"/>
        <v>451531290.95436734</v>
      </c>
      <c r="T11" s="88">
        <f t="shared" si="12"/>
        <v>21.461080571851891</v>
      </c>
      <c r="U11" s="88">
        <f t="shared" si="12"/>
        <v>1417.0761594973483</v>
      </c>
      <c r="V11" s="88">
        <f t="shared" si="12"/>
        <v>25.659136648480569</v>
      </c>
      <c r="W11" s="88">
        <f t="shared" si="12"/>
        <v>488.06545890589359</v>
      </c>
      <c r="X11" s="88">
        <f t="shared" si="12"/>
        <v>3712124344.3986998</v>
      </c>
      <c r="Y11" s="2"/>
      <c r="Z11" s="2"/>
      <c r="AA11" s="2"/>
      <c r="AB11" s="2"/>
      <c r="AC11" s="2"/>
      <c r="AD11" s="2"/>
      <c r="AE11" s="2"/>
      <c r="AF11" s="2"/>
      <c r="AG11" s="2"/>
      <c r="AH11" s="2"/>
      <c r="AI11" s="2"/>
      <c r="AJ11" s="2"/>
      <c r="AK11" s="2"/>
      <c r="AL11" s="2"/>
      <c r="AM11" s="2"/>
      <c r="AN11" s="2"/>
    </row>
    <row r="12" spans="1:40">
      <c r="A12">
        <v>2018</v>
      </c>
      <c r="B12">
        <v>2019</v>
      </c>
      <c r="C12">
        <v>2020</v>
      </c>
      <c r="D12">
        <v>2021</v>
      </c>
      <c r="E12" s="88" t="s">
        <v>24</v>
      </c>
      <c r="F12" s="88">
        <f>F10-F11</f>
        <v>865451.54775171203</v>
      </c>
      <c r="G12" s="88">
        <f>G10-G11</f>
        <v>881558.34829443449</v>
      </c>
      <c r="H12" s="88">
        <f>H10-H11</f>
        <v>15166690.520073723</v>
      </c>
      <c r="I12" s="88">
        <f>I10-I11</f>
        <v>26721352.980328355</v>
      </c>
      <c r="J12" s="88" t="s">
        <v>30</v>
      </c>
      <c r="K12" s="88" t="s">
        <v>30</v>
      </c>
      <c r="L12" s="88" t="s">
        <v>30</v>
      </c>
      <c r="M12" s="88" t="s">
        <v>30</v>
      </c>
      <c r="N12" s="88">
        <f t="shared" ref="N12:X12" si="13">N10-N11</f>
        <v>-9580889.0127456263</v>
      </c>
      <c r="O12" s="88">
        <f t="shared" si="13"/>
        <v>57957961.957117647</v>
      </c>
      <c r="P12" s="88">
        <f t="shared" si="13"/>
        <v>73091200.932405099</v>
      </c>
      <c r="Q12" s="88">
        <f t="shared" si="13"/>
        <v>91227530.999036103</v>
      </c>
      <c r="R12" s="88">
        <f t="shared" si="13"/>
        <v>112944668.04139142</v>
      </c>
      <c r="S12" s="88">
        <f t="shared" si="13"/>
        <v>-312599340.30621421</v>
      </c>
      <c r="T12" s="88">
        <f t="shared" si="13"/>
        <v>170010058.59941548</v>
      </c>
      <c r="U12" s="88">
        <f t="shared" si="13"/>
        <v>207155656.69416061</v>
      </c>
      <c r="V12" s="88">
        <f t="shared" si="13"/>
        <v>251537962.35994571</v>
      </c>
      <c r="W12" s="88">
        <f t="shared" si="13"/>
        <v>304540237.10739166</v>
      </c>
      <c r="X12" s="88">
        <f t="shared" si="13"/>
        <v>-3344305736.7880254</v>
      </c>
      <c r="Y12" s="2"/>
      <c r="Z12" s="2"/>
      <c r="AA12" s="2"/>
      <c r="AB12" s="2"/>
      <c r="AC12" s="21" t="s">
        <v>25</v>
      </c>
      <c r="AD12" s="2"/>
      <c r="AE12" s="2"/>
      <c r="AF12" s="2"/>
      <c r="AG12" s="2"/>
      <c r="AH12" s="2"/>
      <c r="AI12" s="2"/>
      <c r="AJ12" s="2"/>
      <c r="AK12" s="2"/>
      <c r="AL12" s="2"/>
      <c r="AM12" s="2"/>
    </row>
    <row r="13" spans="1:40" ht="14.4" customHeight="1">
      <c r="A13">
        <f>A10/A7</f>
        <v>0.16200624949923884</v>
      </c>
      <c r="B13">
        <f t="shared" ref="B13:D13" si="14">B10/B7</f>
        <v>0.20003779646603043</v>
      </c>
      <c r="C13">
        <f t="shared" si="14"/>
        <v>0.24200657103934611</v>
      </c>
      <c r="D13">
        <f t="shared" si="14"/>
        <v>0.2000073953557166</v>
      </c>
      <c r="E13" s="88" t="s">
        <v>26</v>
      </c>
      <c r="F13" s="88">
        <v>385</v>
      </c>
      <c r="G13" s="88">
        <v>372</v>
      </c>
      <c r="H13" s="88">
        <v>356</v>
      </c>
      <c r="I13" s="88">
        <v>351</v>
      </c>
      <c r="J13" s="88" t="s">
        <v>30</v>
      </c>
      <c r="K13" s="88" t="s">
        <v>30</v>
      </c>
      <c r="L13" s="88" t="s">
        <v>30</v>
      </c>
      <c r="M13" s="88" t="s">
        <v>30</v>
      </c>
      <c r="N13" s="88">
        <v>351</v>
      </c>
      <c r="O13" s="88">
        <v>351</v>
      </c>
      <c r="P13" s="88">
        <v>351</v>
      </c>
      <c r="Q13" s="88">
        <v>351</v>
      </c>
      <c r="R13" s="88">
        <v>351</v>
      </c>
      <c r="S13" s="88">
        <v>351</v>
      </c>
      <c r="T13" s="88">
        <v>351</v>
      </c>
      <c r="U13" s="88">
        <v>351</v>
      </c>
      <c r="V13" s="88">
        <v>351</v>
      </c>
      <c r="W13" s="88">
        <v>351</v>
      </c>
      <c r="X13" s="88">
        <v>351</v>
      </c>
      <c r="Y13" s="2"/>
      <c r="Z13" s="2"/>
      <c r="AA13" s="2"/>
      <c r="AB13" s="2"/>
      <c r="AC13" s="2"/>
      <c r="AD13" s="99" t="s">
        <v>14</v>
      </c>
      <c r="AE13" s="99"/>
      <c r="AF13" s="99"/>
      <c r="AG13" s="99"/>
      <c r="AH13" s="2"/>
      <c r="AI13" s="2"/>
      <c r="AJ13" s="2"/>
      <c r="AK13" s="2"/>
      <c r="AL13" s="2"/>
      <c r="AM13" s="2"/>
      <c r="AN13" s="2"/>
    </row>
    <row r="14" spans="1:40">
      <c r="A14" t="s">
        <v>27</v>
      </c>
      <c r="E14" s="88" t="s">
        <v>28</v>
      </c>
      <c r="F14" s="88">
        <v>390</v>
      </c>
      <c r="G14" s="88">
        <v>376</v>
      </c>
      <c r="H14" s="88">
        <v>360</v>
      </c>
      <c r="I14" s="88">
        <v>356</v>
      </c>
      <c r="J14" s="88" t="s">
        <v>30</v>
      </c>
      <c r="K14" s="88" t="s">
        <v>30</v>
      </c>
      <c r="L14" s="88" t="s">
        <v>30</v>
      </c>
      <c r="M14" s="88" t="s">
        <v>30</v>
      </c>
      <c r="N14" s="88">
        <v>356</v>
      </c>
      <c r="O14" s="88">
        <v>356</v>
      </c>
      <c r="P14" s="88">
        <v>356</v>
      </c>
      <c r="Q14" s="88">
        <v>356</v>
      </c>
      <c r="R14" s="88">
        <v>356</v>
      </c>
      <c r="S14" s="88">
        <v>356</v>
      </c>
      <c r="T14" s="88">
        <v>356</v>
      </c>
      <c r="U14" s="88">
        <v>356</v>
      </c>
      <c r="V14" s="88">
        <v>356</v>
      </c>
      <c r="W14" s="88">
        <v>356</v>
      </c>
      <c r="X14" s="88">
        <v>356</v>
      </c>
      <c r="Y14" s="2"/>
      <c r="Z14" s="2"/>
      <c r="AA14" s="2"/>
      <c r="AB14" s="2"/>
      <c r="AC14" s="21" t="s">
        <v>16</v>
      </c>
      <c r="AD14" s="25">
        <v>0</v>
      </c>
      <c r="AE14" s="25">
        <v>0.01</v>
      </c>
      <c r="AF14" s="25">
        <v>0.02</v>
      </c>
      <c r="AG14" s="25">
        <v>0.03</v>
      </c>
      <c r="AH14" s="2"/>
      <c r="AI14" s="2"/>
      <c r="AJ14" s="2"/>
      <c r="AK14" s="2"/>
      <c r="AL14" s="2"/>
      <c r="AM14" s="2"/>
      <c r="AN14" s="2"/>
    </row>
    <row r="15" spans="1:40">
      <c r="A15">
        <f>AVERAGE(A13:D13)</f>
        <v>0.20101450309008301</v>
      </c>
      <c r="E15" s="88" t="s">
        <v>29</v>
      </c>
      <c r="F15" s="88">
        <f>F12/F13</f>
        <v>2247.9260980563949</v>
      </c>
      <c r="G15" s="88">
        <f>G12/G13</f>
        <v>2369.7805061678346</v>
      </c>
      <c r="H15" s="88">
        <f>H12/H13</f>
        <v>42603.063258634051</v>
      </c>
      <c r="I15" s="88">
        <f>I12/I13</f>
        <v>76129.210770166261</v>
      </c>
      <c r="J15" s="88" t="s">
        <v>30</v>
      </c>
      <c r="K15" s="88" t="s">
        <v>30</v>
      </c>
      <c r="L15" s="88" t="s">
        <v>30</v>
      </c>
      <c r="M15" s="88" t="s">
        <v>30</v>
      </c>
      <c r="N15" s="88" t="s">
        <v>30</v>
      </c>
      <c r="O15" s="88">
        <f>O12/O13</f>
        <v>165122.39873822691</v>
      </c>
      <c r="P15" s="88">
        <f>P12/P13</f>
        <v>208237.03969346182</v>
      </c>
      <c r="Q15" s="88">
        <f>Q12/Q13</f>
        <v>259907.49572374957</v>
      </c>
      <c r="R15" s="88">
        <f>R12/R13</f>
        <v>321779.68102960516</v>
      </c>
      <c r="S15" s="88" t="s">
        <v>30</v>
      </c>
      <c r="T15" s="88">
        <f>T12/T13</f>
        <v>484359.14130887599</v>
      </c>
      <c r="U15" s="88">
        <f>U12/U13</f>
        <v>590187.05610871967</v>
      </c>
      <c r="V15" s="88">
        <f>V12/V13</f>
        <v>716632.37139585672</v>
      </c>
      <c r="W15" s="88">
        <f>W12/W13</f>
        <v>867636.00315496197</v>
      </c>
      <c r="X15" s="88" t="s">
        <v>30</v>
      </c>
      <c r="Y15" s="2"/>
      <c r="Z15" s="2"/>
      <c r="AA15" s="2"/>
      <c r="AB15" s="2"/>
      <c r="AC15" s="53">
        <v>0.74615135699249802</v>
      </c>
      <c r="AD15" s="54">
        <f>AD7*$I$49</f>
        <v>64283621.207768992</v>
      </c>
      <c r="AE15" s="54">
        <f t="shared" ref="AE15:AG15" si="15">AE7*$I$49</f>
        <v>65808428.998152256</v>
      </c>
      <c r="AF15" s="54">
        <f t="shared" si="15"/>
        <v>67375233.757230833</v>
      </c>
      <c r="AG15" s="54">
        <f t="shared" si="15"/>
        <v>68985794.762633041</v>
      </c>
      <c r="AH15" s="2"/>
      <c r="AI15" s="2"/>
      <c r="AJ15" s="2"/>
      <c r="AK15" s="2"/>
      <c r="AL15" s="2"/>
      <c r="AM15" s="2"/>
      <c r="AN15" s="2"/>
    </row>
    <row r="16" spans="1:40">
      <c r="E16" s="88" t="s">
        <v>31</v>
      </c>
      <c r="F16" s="88">
        <f>F12/F14</f>
        <v>2219.1065326966977</v>
      </c>
      <c r="G16" s="88">
        <f>G12/G14</f>
        <v>2344.5700752511557</v>
      </c>
      <c r="H16" s="88">
        <f>H12/H14</f>
        <v>42129.695889093673</v>
      </c>
      <c r="I16" s="88">
        <f>I12/I14</f>
        <v>75059.980281821219</v>
      </c>
      <c r="J16" s="88" t="s">
        <v>30</v>
      </c>
      <c r="K16" s="88" t="s">
        <v>30</v>
      </c>
      <c r="L16" s="88" t="s">
        <v>30</v>
      </c>
      <c r="M16" s="88" t="s">
        <v>30</v>
      </c>
      <c r="N16" s="88" t="s">
        <v>30</v>
      </c>
      <c r="O16" s="88">
        <f>O12/O14</f>
        <v>162803.26392448778</v>
      </c>
      <c r="P16" s="88">
        <f>P12/P14</f>
        <v>205312.36216967725</v>
      </c>
      <c r="Q16" s="88">
        <f>Q12/Q14</f>
        <v>256257.10954785423</v>
      </c>
      <c r="R16" s="88">
        <f>R12/R14</f>
        <v>317260.30348705454</v>
      </c>
      <c r="S16" s="88" t="s">
        <v>30</v>
      </c>
      <c r="T16" s="88">
        <f>T12/T14</f>
        <v>477556.34438038059</v>
      </c>
      <c r="U16" s="88">
        <f>U12/U14</f>
        <v>581897.91206224891</v>
      </c>
      <c r="V16" s="88">
        <f>V12/V14</f>
        <v>706567.30999984755</v>
      </c>
      <c r="W16" s="88">
        <f>W12/W14</f>
        <v>855450.10423424619</v>
      </c>
      <c r="X16" s="88" t="s">
        <v>30</v>
      </c>
      <c r="Y16" s="2"/>
      <c r="Z16" s="2"/>
      <c r="AA16" s="2"/>
      <c r="AB16" s="2"/>
      <c r="AC16" s="77">
        <v>0.75615135699249791</v>
      </c>
      <c r="AD16" s="54">
        <f t="shared" ref="AD16:AG16" si="16">AD8*$I$49</f>
        <v>63433478.962922022</v>
      </c>
      <c r="AE16" s="54">
        <f t="shared" si="16"/>
        <v>64926457.419846691</v>
      </c>
      <c r="AF16" s="80">
        <f>AF8*$I$49</f>
        <v>66459997.602094367</v>
      </c>
      <c r="AG16" s="54">
        <f t="shared" si="16"/>
        <v>68035775.264654666</v>
      </c>
      <c r="AH16" s="21"/>
      <c r="AI16" s="2"/>
      <c r="AJ16" s="2"/>
      <c r="AK16" s="2"/>
      <c r="AL16" s="2"/>
      <c r="AM16" s="2"/>
      <c r="AN16" s="2"/>
    </row>
    <row r="17" spans="1:41">
      <c r="A17" t="s">
        <v>559</v>
      </c>
      <c r="B17" t="s">
        <v>560</v>
      </c>
      <c r="Y17" s="2"/>
      <c r="Z17" s="2"/>
      <c r="AA17" s="2"/>
      <c r="AB17" s="2"/>
      <c r="AC17" s="53">
        <v>0.76615135699249803</v>
      </c>
      <c r="AD17" s="54">
        <f t="shared" ref="AD17:AG17" si="17">AD9*$I$49</f>
        <v>62605529.258415475</v>
      </c>
      <c r="AE17" s="54">
        <f t="shared" si="17"/>
        <v>64067813.752551228</v>
      </c>
      <c r="AF17" s="54">
        <f t="shared" si="17"/>
        <v>65569293.631924368</v>
      </c>
      <c r="AG17" s="54">
        <f t="shared" si="17"/>
        <v>67111566.206036463</v>
      </c>
      <c r="AH17" s="21"/>
      <c r="AI17" s="2"/>
      <c r="AJ17" s="2"/>
      <c r="AK17" s="2"/>
      <c r="AL17" s="2"/>
      <c r="AM17" s="2"/>
      <c r="AN17" s="2"/>
    </row>
    <row r="18" spans="1:41">
      <c r="Y18" s="2"/>
      <c r="Z18" s="2"/>
      <c r="AA18" s="2"/>
      <c r="AB18" s="2"/>
      <c r="AC18" s="53">
        <v>0.77615135699249804</v>
      </c>
      <c r="AD18" s="54">
        <f t="shared" ref="AD18:AG18" si="18">AD10*$I$49</f>
        <v>61798914.302525878</v>
      </c>
      <c r="AE18" s="54">
        <f t="shared" si="18"/>
        <v>63231584.550999634</v>
      </c>
      <c r="AF18" s="54">
        <f t="shared" si="18"/>
        <v>64702148.542180449</v>
      </c>
      <c r="AG18" s="54">
        <f t="shared" si="18"/>
        <v>66212129.844002068</v>
      </c>
      <c r="AH18" s="2"/>
      <c r="AI18" s="2"/>
      <c r="AJ18" s="2"/>
      <c r="AK18" s="2"/>
      <c r="AL18" s="2"/>
      <c r="AM18" s="2"/>
      <c r="AN18" s="2"/>
    </row>
    <row r="19" spans="1:41">
      <c r="Y19" s="2"/>
      <c r="Z19" s="2"/>
      <c r="AA19" s="2"/>
      <c r="AB19" s="2"/>
      <c r="AC19" s="2"/>
      <c r="AD19" s="2"/>
      <c r="AE19" s="2"/>
      <c r="AF19" s="2"/>
      <c r="AG19" s="2"/>
      <c r="AH19" s="2"/>
      <c r="AI19" s="2"/>
      <c r="AJ19" s="2"/>
      <c r="AK19" s="2"/>
      <c r="AL19" s="2"/>
      <c r="AM19" s="2"/>
      <c r="AN19" s="2"/>
    </row>
    <row r="20" spans="1:41">
      <c r="Y20" s="2"/>
      <c r="Z20" s="2"/>
      <c r="AA20" s="2"/>
      <c r="AB20" s="2"/>
      <c r="AC20" s="21" t="s">
        <v>32</v>
      </c>
      <c r="AD20" s="2"/>
      <c r="AE20" s="2"/>
      <c r="AF20" s="2"/>
      <c r="AG20" s="2"/>
      <c r="AH20" s="2"/>
      <c r="AI20" s="2"/>
      <c r="AJ20" s="2"/>
    </row>
    <row r="21" spans="1:41">
      <c r="F21" s="1" t="s">
        <v>33</v>
      </c>
      <c r="Y21" s="2"/>
      <c r="Z21" s="2"/>
      <c r="AA21" s="2"/>
      <c r="AC21" s="21" t="s">
        <v>25</v>
      </c>
      <c r="AD21" s="2"/>
      <c r="AE21" s="2"/>
      <c r="AF21" s="2"/>
      <c r="AG21" s="2"/>
      <c r="AH21" s="2"/>
      <c r="AI21" s="2"/>
      <c r="AJ21" s="2"/>
      <c r="AK21" s="2"/>
      <c r="AL21" s="2"/>
    </row>
    <row r="22" spans="1:41">
      <c r="E22" s="88"/>
      <c r="F22" s="88">
        <v>2018</v>
      </c>
      <c r="G22" s="88">
        <v>2019</v>
      </c>
      <c r="H22" s="88">
        <v>2020</v>
      </c>
      <c r="I22" s="88">
        <v>2021</v>
      </c>
      <c r="J22" s="88" t="s">
        <v>3</v>
      </c>
      <c r="K22" s="88" t="s">
        <v>4</v>
      </c>
      <c r="L22" s="88" t="s">
        <v>5</v>
      </c>
      <c r="M22" s="88" t="s">
        <v>6</v>
      </c>
      <c r="N22" s="88">
        <v>2022</v>
      </c>
      <c r="O22" s="88">
        <v>2023</v>
      </c>
      <c r="P22" s="88">
        <v>2024</v>
      </c>
      <c r="Q22" s="88">
        <v>2025</v>
      </c>
      <c r="R22" s="88">
        <v>2026</v>
      </c>
      <c r="S22" s="88">
        <v>2027</v>
      </c>
      <c r="T22" s="88">
        <v>2028</v>
      </c>
      <c r="U22" s="88">
        <v>2029</v>
      </c>
      <c r="V22" s="88">
        <v>2030</v>
      </c>
      <c r="W22" s="88">
        <v>2031</v>
      </c>
      <c r="X22" s="88">
        <v>2032</v>
      </c>
      <c r="Y22" s="2"/>
      <c r="Z22" s="2"/>
      <c r="AA22" s="2"/>
      <c r="AB22" s="2"/>
      <c r="AC22" s="24" t="s">
        <v>34</v>
      </c>
      <c r="AD22" s="24" t="s">
        <v>35</v>
      </c>
      <c r="AE22" s="2"/>
      <c r="AF22" s="2"/>
      <c r="AG22" s="2"/>
      <c r="AH22" s="2"/>
      <c r="AI22" s="2"/>
      <c r="AJ22" s="2"/>
      <c r="AK22" s="2"/>
      <c r="AL22" s="2"/>
      <c r="AM22" s="2"/>
      <c r="AN22" s="2"/>
      <c r="AO22">
        <v>2032</v>
      </c>
    </row>
    <row r="23" spans="1:41">
      <c r="E23" s="91" t="s">
        <v>36</v>
      </c>
      <c r="F23" s="88">
        <v>87556000</v>
      </c>
      <c r="G23" s="88">
        <v>80404000</v>
      </c>
      <c r="H23" s="88">
        <v>128387000</v>
      </c>
      <c r="I23" s="88">
        <v>170192000</v>
      </c>
      <c r="J23" s="88">
        <f>(G23-F23)/F23</f>
        <v>-8.1684864543834806E-2</v>
      </c>
      <c r="K23" s="88">
        <f t="shared" ref="K23:L25" si="19">(H23-G23)/G23</f>
        <v>0.59677379234863936</v>
      </c>
      <c r="L23" s="88">
        <f t="shared" si="19"/>
        <v>0.325617079610864</v>
      </c>
      <c r="M23" s="88">
        <f>AVERAGE(J23:L23)</f>
        <v>0.28023533580522281</v>
      </c>
      <c r="N23" s="88">
        <f>I23*(1+$M$23)</f>
        <v>217885812.27136248</v>
      </c>
      <c r="O23" s="88">
        <f>N23*(1+$M$23)</f>
        <v>278945116.04042149</v>
      </c>
      <c r="P23" s="88">
        <f t="shared" ref="P23:X23" si="20">O23*(1+$M$23)</f>
        <v>357115394.3052358</v>
      </c>
      <c r="Q23" s="88">
        <f t="shared" si="20"/>
        <v>457191746.74957812</v>
      </c>
      <c r="R23" s="88">
        <f t="shared" si="20"/>
        <v>585313029.42732251</v>
      </c>
      <c r="S23" s="88">
        <f t="shared" si="20"/>
        <v>749338422.78006041</v>
      </c>
      <c r="T23" s="88">
        <f t="shared" si="20"/>
        <v>959329527.31958663</v>
      </c>
      <c r="U23" s="88">
        <f t="shared" si="20"/>
        <v>1228167559.5558567</v>
      </c>
      <c r="V23" s="88">
        <f t="shared" si="20"/>
        <v>1572343508.0330732</v>
      </c>
      <c r="W23" s="88">
        <f t="shared" si="20"/>
        <v>2012969719.0078833</v>
      </c>
      <c r="X23" s="88">
        <f t="shared" si="20"/>
        <v>2577074964.1798024</v>
      </c>
      <c r="Y23" s="2"/>
      <c r="Z23" s="2"/>
      <c r="AA23" s="2"/>
      <c r="AB23" s="2"/>
      <c r="AC23" s="2">
        <v>11.5</v>
      </c>
      <c r="AD23" s="2">
        <f>AC23*$F$6</f>
        <v>210136810.29028827</v>
      </c>
      <c r="AE23" s="2"/>
      <c r="AF23" s="2"/>
      <c r="AG23" s="2"/>
      <c r="AH23" s="2"/>
      <c r="AI23" s="2"/>
      <c r="AJ23" s="2"/>
      <c r="AK23" s="2"/>
      <c r="AL23" s="2"/>
      <c r="AM23" s="2"/>
      <c r="AN23" s="2"/>
    </row>
    <row r="24" spans="1:41">
      <c r="E24" s="91" t="s">
        <v>37</v>
      </c>
      <c r="F24" s="88">
        <v>27397000</v>
      </c>
      <c r="G24" s="88">
        <v>34196000</v>
      </c>
      <c r="H24" s="88">
        <v>35547000</v>
      </c>
      <c r="I24" s="90">
        <v>30556000</v>
      </c>
      <c r="J24" s="90">
        <f>(G24-F24)/F24</f>
        <v>0.24816585757564696</v>
      </c>
      <c r="K24" s="90">
        <f>(H24-G24)/G24</f>
        <v>3.9507544742075094E-2</v>
      </c>
      <c r="L24" s="90">
        <f t="shared" si="19"/>
        <v>-0.14040566011196445</v>
      </c>
      <c r="M24" s="90">
        <f>AVERAGE(J24:L24)</f>
        <v>4.9089247401919195E-2</v>
      </c>
      <c r="N24" s="88">
        <f>I24*(1+$M$24)</f>
        <v>32055971.043613039</v>
      </c>
      <c r="O24" s="88">
        <f>N24*(1+$M$24)</f>
        <v>33629574.536881715</v>
      </c>
      <c r="P24" s="88">
        <f t="shared" ref="P24:X24" si="21">O24*(1+$M$24)</f>
        <v>35280425.04134398</v>
      </c>
      <c r="Q24" s="88">
        <f t="shared" si="21"/>
        <v>37012314.554643378</v>
      </c>
      <c r="R24" s="88">
        <f t="shared" si="21"/>
        <v>38829221.220733918</v>
      </c>
      <c r="S24" s="88">
        <f t="shared" si="21"/>
        <v>40735318.467662372</v>
      </c>
      <c r="T24" s="88">
        <f t="shared" si="21"/>
        <v>42734984.593917415</v>
      </c>
      <c r="U24" s="88">
        <f t="shared" si="21"/>
        <v>44832812.825365432</v>
      </c>
      <c r="V24" s="88">
        <f t="shared" si="21"/>
        <v>47033621.865873724</v>
      </c>
      <c r="W24" s="88">
        <f t="shared" si="21"/>
        <v>49342466.965855911</v>
      </c>
      <c r="X24" s="88">
        <f t="shared" si="21"/>
        <v>51764651.534163833</v>
      </c>
      <c r="Y24" s="2"/>
      <c r="Z24" s="2"/>
      <c r="AA24" s="2"/>
      <c r="AB24" s="2"/>
      <c r="AC24" s="2">
        <v>12</v>
      </c>
      <c r="AD24" s="2">
        <f t="shared" ref="AD24:AD27" si="22">AC24*$F$6</f>
        <v>219273193.34638774</v>
      </c>
      <c r="AE24" s="2"/>
      <c r="AF24" s="2"/>
      <c r="AG24" s="2"/>
      <c r="AH24" s="2"/>
      <c r="AI24" s="2"/>
      <c r="AJ24" s="2"/>
      <c r="AK24" s="2"/>
      <c r="AL24" s="2"/>
      <c r="AM24" s="2"/>
      <c r="AN24" s="2"/>
      <c r="AO24">
        <f t="shared" ref="AO24" si="23">AN25</f>
        <v>0</v>
      </c>
    </row>
    <row r="25" spans="1:41">
      <c r="E25" s="91" t="s">
        <v>38</v>
      </c>
      <c r="F25" s="90">
        <v>9080000</v>
      </c>
      <c r="G25" s="90">
        <v>9950000</v>
      </c>
      <c r="H25" s="90">
        <v>10120000</v>
      </c>
      <c r="I25" s="90">
        <v>10180000</v>
      </c>
      <c r="J25" s="90">
        <f>(G25-F25)/F25</f>
        <v>9.5814977973568277E-2</v>
      </c>
      <c r="K25" s="90">
        <f t="shared" ref="K25" si="24">(H25-G25)/G25</f>
        <v>1.7085427135678392E-2</v>
      </c>
      <c r="L25" s="90">
        <f t="shared" si="19"/>
        <v>5.9288537549407111E-3</v>
      </c>
      <c r="M25" s="90">
        <f>AVERAGE(J25:L25)</f>
        <v>3.9609752954729127E-2</v>
      </c>
      <c r="N25" s="88">
        <f>I25*(1+$M$25)</f>
        <v>10583227.285079144</v>
      </c>
      <c r="O25" s="88">
        <f>N25*(1+$M$25)</f>
        <v>11002426.303304879</v>
      </c>
      <c r="P25" s="88">
        <f t="shared" ref="P25:X25" si="25">O25*(1+$M$25)</f>
        <v>11438229.691081401</v>
      </c>
      <c r="Q25" s="88">
        <f t="shared" si="25"/>
        <v>11891295.143384583</v>
      </c>
      <c r="R25" s="88">
        <f t="shared" si="25"/>
        <v>12362306.406325819</v>
      </c>
      <c r="S25" s="88">
        <f t="shared" si="25"/>
        <v>12851974.309031051</v>
      </c>
      <c r="T25" s="88">
        <f t="shared" si="25"/>
        <v>13361037.836392298</v>
      </c>
      <c r="U25" s="88">
        <f t="shared" si="25"/>
        <v>13890265.244310588</v>
      </c>
      <c r="V25" s="88">
        <f t="shared" si="25"/>
        <v>14440455.219113391</v>
      </c>
      <c r="W25" s="88">
        <f t="shared" si="25"/>
        <v>15012438.082896303</v>
      </c>
      <c r="X25" s="88">
        <f t="shared" si="25"/>
        <v>15607077.046607995</v>
      </c>
      <c r="Y25" s="2"/>
      <c r="Z25" s="2"/>
      <c r="AA25" s="2"/>
      <c r="AB25" s="2"/>
      <c r="AC25" s="81">
        <v>12.28</v>
      </c>
      <c r="AD25" s="82">
        <f>AC25*$F$6</f>
        <v>224389567.85780343</v>
      </c>
      <c r="AE25" s="2"/>
      <c r="AF25" s="2"/>
      <c r="AG25" s="2"/>
      <c r="AH25" s="2"/>
      <c r="AI25" s="2"/>
      <c r="AJ25" s="2"/>
      <c r="AK25" s="2"/>
      <c r="AL25" s="2"/>
      <c r="AM25" s="2"/>
      <c r="AN25" s="2"/>
      <c r="AO25">
        <f t="shared" ref="AO25" si="26">X23-X29</f>
        <v>1637454493.3682451</v>
      </c>
    </row>
    <row r="26" spans="1:41">
      <c r="E26" s="91" t="s">
        <v>39</v>
      </c>
      <c r="F26" s="88">
        <f>F24-F25</f>
        <v>18317000</v>
      </c>
      <c r="G26" s="88">
        <f t="shared" ref="G26:I26" si="27">G24-G25</f>
        <v>24246000</v>
      </c>
      <c r="H26" s="88">
        <f t="shared" si="27"/>
        <v>25427000</v>
      </c>
      <c r="I26" s="88">
        <f t="shared" si="27"/>
        <v>20376000</v>
      </c>
      <c r="J26" s="90"/>
      <c r="K26" s="90"/>
      <c r="L26" s="90"/>
      <c r="M26" s="90"/>
      <c r="N26" s="88">
        <f>N24-N25</f>
        <v>21472743.758533895</v>
      </c>
      <c r="O26" s="88">
        <f t="shared" ref="O26:X26" si="28">O24-O25</f>
        <v>22627148.233576834</v>
      </c>
      <c r="P26" s="88">
        <f t="shared" si="28"/>
        <v>23842195.350262579</v>
      </c>
      <c r="Q26" s="88">
        <f t="shared" si="28"/>
        <v>25121019.411258794</v>
      </c>
      <c r="R26" s="88">
        <f t="shared" si="28"/>
        <v>26466914.814408101</v>
      </c>
      <c r="S26" s="88">
        <f t="shared" si="28"/>
        <v>27883344.158631321</v>
      </c>
      <c r="T26" s="88">
        <f t="shared" si="28"/>
        <v>29373946.757525116</v>
      </c>
      <c r="U26" s="88">
        <f t="shared" si="28"/>
        <v>30942547.581054844</v>
      </c>
      <c r="V26" s="88">
        <f t="shared" si="28"/>
        <v>32593166.646760333</v>
      </c>
      <c r="W26" s="88">
        <f t="shared" si="28"/>
        <v>34330028.882959604</v>
      </c>
      <c r="X26" s="88">
        <f t="shared" si="28"/>
        <v>36157574.487555839</v>
      </c>
      <c r="Y26" s="2"/>
      <c r="Z26" s="2"/>
      <c r="AA26" s="2"/>
      <c r="AB26" s="2"/>
      <c r="AC26" s="2">
        <v>12.5</v>
      </c>
      <c r="AD26" s="2">
        <f t="shared" si="22"/>
        <v>228409576.40248722</v>
      </c>
      <c r="AE26" s="2"/>
      <c r="AF26" s="2"/>
      <c r="AG26" s="2"/>
      <c r="AH26" s="2"/>
      <c r="AI26" s="2"/>
      <c r="AJ26" s="2"/>
      <c r="AK26" s="2"/>
      <c r="AL26" s="2"/>
      <c r="AM26" s="2"/>
      <c r="AN26" s="2"/>
      <c r="AO26">
        <f t="shared" ref="AO26" si="29">AO25-AO24</f>
        <v>1637454493.3682451</v>
      </c>
    </row>
    <row r="27" spans="1:41">
      <c r="E27" s="91" t="s">
        <v>40</v>
      </c>
      <c r="F27" s="90">
        <v>3758000</v>
      </c>
      <c r="G27" s="90">
        <v>4196000</v>
      </c>
      <c r="H27" s="90">
        <v>4332000</v>
      </c>
      <c r="I27" s="90">
        <v>4285000</v>
      </c>
      <c r="J27" s="90">
        <f>(G27-F27)/F27</f>
        <v>0.116551357104843</v>
      </c>
      <c r="K27" s="90">
        <f t="shared" ref="K27:L27" si="30">(H27-G27)/G27</f>
        <v>3.2411820781696854E-2</v>
      </c>
      <c r="L27" s="90">
        <f t="shared" si="30"/>
        <v>-1.084949215143121E-2</v>
      </c>
      <c r="M27" s="90">
        <f>AVERAGE(J27:L27)</f>
        <v>4.6037895245036209E-2</v>
      </c>
      <c r="N27" s="88">
        <f t="shared" ref="N27:N35" si="31">I27*(1+M27)</f>
        <v>4482272.3811249798</v>
      </c>
      <c r="O27" s="88">
        <f>N27*(1+$M$27)</f>
        <v>4688626.7674669307</v>
      </c>
      <c r="P27" s="88">
        <f t="shared" ref="P27:X27" si="32">O27*(1+$M$27)</f>
        <v>4904481.2754306458</v>
      </c>
      <c r="Q27" s="88">
        <f t="shared" si="32"/>
        <v>5130273.2706201635</v>
      </c>
      <c r="R27" s="88">
        <f t="shared" si="32"/>
        <v>5366460.2540313844</v>
      </c>
      <c r="S27" s="88">
        <f t="shared" si="32"/>
        <v>5613520.7890431313</v>
      </c>
      <c r="T27" s="88">
        <f t="shared" si="32"/>
        <v>5871955.4710849319</v>
      </c>
      <c r="U27" s="88">
        <f t="shared" si="32"/>
        <v>6142287.9419462569</v>
      </c>
      <c r="V27" s="88">
        <f t="shared" si="32"/>
        <v>6425065.9507824276</v>
      </c>
      <c r="W27" s="88">
        <f t="shared" si="32"/>
        <v>6720862.4639669983</v>
      </c>
      <c r="X27" s="88">
        <f t="shared" si="32"/>
        <v>7030276.8260394065</v>
      </c>
      <c r="Y27" s="2"/>
      <c r="Z27" s="2"/>
      <c r="AA27" s="2"/>
      <c r="AB27" s="2"/>
      <c r="AC27" s="27">
        <v>13</v>
      </c>
      <c r="AD27" s="2">
        <f t="shared" si="22"/>
        <v>237545959.45858672</v>
      </c>
      <c r="AE27" s="2"/>
      <c r="AF27" s="2"/>
      <c r="AG27" s="2"/>
      <c r="AH27" s="2"/>
      <c r="AI27" s="2"/>
      <c r="AJ27" s="2"/>
      <c r="AK27" s="2"/>
      <c r="AL27" s="2"/>
      <c r="AM27" s="2"/>
      <c r="AN27" s="2"/>
    </row>
    <row r="28" spans="1:41">
      <c r="E28" s="88" t="s">
        <v>41</v>
      </c>
      <c r="F28" s="88">
        <f>F23+F26+F27</f>
        <v>109631000</v>
      </c>
      <c r="G28" s="88">
        <f t="shared" ref="G28:I28" si="33">G23+G26+G27</f>
        <v>108846000</v>
      </c>
      <c r="H28" s="88">
        <f t="shared" si="33"/>
        <v>158146000</v>
      </c>
      <c r="I28" s="88">
        <f t="shared" si="33"/>
        <v>194853000</v>
      </c>
      <c r="J28" s="90"/>
      <c r="K28" s="90"/>
      <c r="L28" s="90"/>
      <c r="M28" s="90"/>
      <c r="N28" s="88">
        <f>N23+N26+N27</f>
        <v>243840828.41102135</v>
      </c>
      <c r="O28" s="88">
        <f t="shared" ref="O28:X28" si="34">O23+O26+O27</f>
        <v>306260891.04146522</v>
      </c>
      <c r="P28" s="88">
        <f t="shared" si="34"/>
        <v>385862070.93092901</v>
      </c>
      <c r="Q28" s="88">
        <f t="shared" si="34"/>
        <v>487443039.4314571</v>
      </c>
      <c r="R28" s="88">
        <f t="shared" si="34"/>
        <v>617146404.49576199</v>
      </c>
      <c r="S28" s="88">
        <f t="shared" si="34"/>
        <v>782835287.72773492</v>
      </c>
      <c r="T28" s="88">
        <f t="shared" si="34"/>
        <v>994575429.54819667</v>
      </c>
      <c r="U28" s="88">
        <f t="shared" si="34"/>
        <v>1265252395.0788579</v>
      </c>
      <c r="V28" s="88">
        <f t="shared" si="34"/>
        <v>1611361740.6306159</v>
      </c>
      <c r="W28" s="88">
        <f t="shared" si="34"/>
        <v>2054020610.35481</v>
      </c>
      <c r="X28" s="88">
        <f t="shared" si="34"/>
        <v>2620262815.4933977</v>
      </c>
      <c r="Y28" s="2"/>
      <c r="Z28" s="2"/>
      <c r="AA28" s="2"/>
      <c r="AB28" s="2"/>
      <c r="AC28" s="2"/>
      <c r="AD28" s="2"/>
      <c r="AE28" s="2"/>
      <c r="AF28" s="2"/>
      <c r="AG28" s="2"/>
      <c r="AH28" s="2"/>
      <c r="AI28" s="2"/>
      <c r="AJ28" s="2"/>
      <c r="AK28" s="2"/>
      <c r="AL28" s="2"/>
      <c r="AM28" s="2"/>
      <c r="AN28" s="2"/>
    </row>
    <row r="29" spans="1:41">
      <c r="E29" s="88" t="s">
        <v>42</v>
      </c>
      <c r="F29" s="90">
        <v>189318000</v>
      </c>
      <c r="G29" s="90">
        <v>185400000</v>
      </c>
      <c r="H29" s="90">
        <v>201256000</v>
      </c>
      <c r="I29" s="90">
        <v>262437000</v>
      </c>
      <c r="J29" s="90">
        <f>(G29-F29)/F29</f>
        <v>-2.0695338002725574E-2</v>
      </c>
      <c r="K29" s="90">
        <f t="shared" ref="K29:L30" si="35">(H29-G29)/G29</f>
        <v>8.5523193096008629E-2</v>
      </c>
      <c r="L29" s="90">
        <f t="shared" si="35"/>
        <v>0.30399590571212781</v>
      </c>
      <c r="M29" s="90">
        <f t="shared" ref="M29:M35" si="36">AVERAGE(J29:L29)</f>
        <v>0.12294125360180362</v>
      </c>
      <c r="N29" s="88">
        <f t="shared" si="31"/>
        <v>294701333.77149653</v>
      </c>
      <c r="O29" s="88">
        <f>N29*(1+$M$29)</f>
        <v>330932285.18348783</v>
      </c>
      <c r="P29" s="88">
        <f t="shared" ref="P29:X29" si="37">O29*(1+$M$29)</f>
        <v>371617515.1812554</v>
      </c>
      <c r="Q29" s="88">
        <f t="shared" si="37"/>
        <v>417304638.35802621</v>
      </c>
      <c r="R29" s="88">
        <f t="shared" si="37"/>
        <v>468608593.73160923</v>
      </c>
      <c r="S29" s="88">
        <f t="shared" si="37"/>
        <v>526219921.69355154</v>
      </c>
      <c r="T29" s="88">
        <f t="shared" si="37"/>
        <v>590914058.53679967</v>
      </c>
      <c r="U29" s="88">
        <f t="shared" si="37"/>
        <v>663561773.66424334</v>
      </c>
      <c r="V29" s="88">
        <f t="shared" si="37"/>
        <v>745140889.96076167</v>
      </c>
      <c r="W29" s="88">
        <f t="shared" si="37"/>
        <v>836749445.08250129</v>
      </c>
      <c r="X29" s="88">
        <f t="shared" si="37"/>
        <v>939620470.81155741</v>
      </c>
      <c r="Y29" s="2"/>
      <c r="Z29" s="2"/>
      <c r="AA29" s="2"/>
      <c r="AB29" s="2"/>
      <c r="AC29" s="21" t="s">
        <v>43</v>
      </c>
      <c r="AD29" s="21"/>
      <c r="AE29" s="21"/>
      <c r="AF29" s="2"/>
      <c r="AG29" s="2"/>
      <c r="AH29" s="2"/>
      <c r="AI29" s="2"/>
      <c r="AJ29" s="2"/>
      <c r="AK29" s="2"/>
    </row>
    <row r="30" spans="1:41" ht="14.4" customHeight="1">
      <c r="E30" s="88" t="s">
        <v>44</v>
      </c>
      <c r="F30" s="88">
        <v>236027000</v>
      </c>
      <c r="G30" s="88">
        <v>219029000</v>
      </c>
      <c r="H30" s="88">
        <v>226018000</v>
      </c>
      <c r="I30" s="90">
        <v>263446000</v>
      </c>
      <c r="J30" s="90">
        <f>(G30-F30)/F30</f>
        <v>-7.2017184474657561E-2</v>
      </c>
      <c r="K30" s="90">
        <f t="shared" si="35"/>
        <v>3.1909016614238297E-2</v>
      </c>
      <c r="L30" s="90">
        <f t="shared" si="35"/>
        <v>0.16559743029316248</v>
      </c>
      <c r="M30" s="90">
        <f t="shared" si="36"/>
        <v>4.1829754144247742E-2</v>
      </c>
      <c r="N30" s="88">
        <f t="shared" si="31"/>
        <v>274465881.41028553</v>
      </c>
      <c r="O30" s="88">
        <f>N30*(1+$M$30)</f>
        <v>285946721.75066203</v>
      </c>
      <c r="P30" s="88">
        <f t="shared" ref="P30:X30" si="38">O30*(1+$M$30)</f>
        <v>297907802.81984586</v>
      </c>
      <c r="Q30" s="88">
        <f t="shared" si="38"/>
        <v>310369212.9694531</v>
      </c>
      <c r="R30" s="88">
        <f t="shared" si="38"/>
        <v>323351880.84190899</v>
      </c>
      <c r="S30" s="88">
        <f t="shared" si="38"/>
        <v>336877610.51960617</v>
      </c>
      <c r="T30" s="88">
        <f t="shared" si="38"/>
        <v>350969118.14434296</v>
      </c>
      <c r="U30" s="88">
        <f t="shared" si="38"/>
        <v>365650070.06854427</v>
      </c>
      <c r="V30" s="88">
        <f t="shared" si="38"/>
        <v>380945122.60233849</v>
      </c>
      <c r="W30" s="88">
        <f t="shared" si="38"/>
        <v>396879963.42324466</v>
      </c>
      <c r="X30" s="88">
        <f t="shared" si="38"/>
        <v>413481354.71801704</v>
      </c>
      <c r="Y30" s="2"/>
      <c r="Z30" s="2"/>
      <c r="AA30" s="2"/>
      <c r="AB30" s="2"/>
      <c r="AC30" s="21"/>
      <c r="AD30" s="21"/>
      <c r="AE30" s="99" t="s">
        <v>35</v>
      </c>
      <c r="AF30" s="99"/>
      <c r="AG30" s="99" t="s">
        <v>45</v>
      </c>
      <c r="AH30" s="99"/>
      <c r="AI30" s="2"/>
      <c r="AJ30" s="2"/>
      <c r="AK30" s="2"/>
      <c r="AL30" s="2"/>
      <c r="AM30" s="2"/>
      <c r="AN30" s="2"/>
    </row>
    <row r="31" spans="1:41">
      <c r="E31" s="88" t="s">
        <v>46</v>
      </c>
      <c r="F31" s="88">
        <f>F29+F30</f>
        <v>425345000</v>
      </c>
      <c r="G31" s="88">
        <f t="shared" ref="G31:I31" si="39">G29+G30</f>
        <v>404429000</v>
      </c>
      <c r="H31" s="88">
        <f t="shared" si="39"/>
        <v>427274000</v>
      </c>
      <c r="I31" s="88">
        <f t="shared" si="39"/>
        <v>525883000</v>
      </c>
      <c r="J31" s="88"/>
      <c r="K31" s="88"/>
      <c r="L31" s="88"/>
      <c r="M31" s="90"/>
      <c r="N31" s="88">
        <f>N29+N30</f>
        <v>569167215.18178201</v>
      </c>
      <c r="O31" s="88">
        <f t="shared" ref="O31:X31" si="40">O29+O30</f>
        <v>616879006.93414986</v>
      </c>
      <c r="P31" s="88">
        <f t="shared" si="40"/>
        <v>669525318.00110126</v>
      </c>
      <c r="Q31" s="88">
        <f t="shared" si="40"/>
        <v>727673851.32747936</v>
      </c>
      <c r="R31" s="88">
        <f t="shared" si="40"/>
        <v>791960474.57351828</v>
      </c>
      <c r="S31" s="88">
        <f t="shared" si="40"/>
        <v>863097532.21315765</v>
      </c>
      <c r="T31" s="88">
        <f t="shared" si="40"/>
        <v>941883176.68114257</v>
      </c>
      <c r="U31" s="88">
        <f t="shared" si="40"/>
        <v>1029211843.7327876</v>
      </c>
      <c r="V31" s="88">
        <f t="shared" si="40"/>
        <v>1126086012.5631001</v>
      </c>
      <c r="W31" s="88">
        <f t="shared" si="40"/>
        <v>1233629408.5057459</v>
      </c>
      <c r="X31" s="88">
        <f t="shared" si="40"/>
        <v>1353101825.5295744</v>
      </c>
      <c r="Y31" s="2"/>
      <c r="Z31" s="2"/>
      <c r="AA31" s="2"/>
      <c r="AB31" s="2"/>
      <c r="AC31" s="21" t="s">
        <v>47</v>
      </c>
      <c r="AD31" s="21" t="s">
        <v>48</v>
      </c>
      <c r="AE31" s="21" t="s">
        <v>49</v>
      </c>
      <c r="AF31" s="21" t="s">
        <v>50</v>
      </c>
      <c r="AG31" s="21" t="s">
        <v>49</v>
      </c>
      <c r="AH31" s="21" t="s">
        <v>50</v>
      </c>
      <c r="AI31" s="2"/>
      <c r="AJ31" s="2"/>
      <c r="AK31" s="2"/>
      <c r="AL31" s="2"/>
      <c r="AM31" s="2"/>
      <c r="AN31" s="2"/>
    </row>
    <row r="32" spans="1:41">
      <c r="E32" s="88" t="s">
        <v>51</v>
      </c>
      <c r="F32" s="88">
        <v>9000</v>
      </c>
      <c r="G32" s="88">
        <v>9000</v>
      </c>
      <c r="H32" s="88">
        <v>9000</v>
      </c>
      <c r="I32" s="88">
        <v>9000</v>
      </c>
      <c r="J32" s="88"/>
      <c r="K32" s="88"/>
      <c r="L32" s="88"/>
      <c r="M32" s="90"/>
      <c r="N32" s="88">
        <v>9000</v>
      </c>
      <c r="O32" s="88">
        <v>9000</v>
      </c>
      <c r="P32" s="88">
        <v>9000</v>
      </c>
      <c r="Q32" s="88">
        <v>9000</v>
      </c>
      <c r="R32" s="88">
        <v>9000</v>
      </c>
      <c r="S32" s="88">
        <v>9000</v>
      </c>
      <c r="T32" s="88">
        <v>9000</v>
      </c>
      <c r="U32" s="88">
        <v>9000</v>
      </c>
      <c r="V32" s="88">
        <v>9000</v>
      </c>
      <c r="W32" s="88">
        <v>9000</v>
      </c>
      <c r="X32" s="88">
        <v>9000</v>
      </c>
      <c r="Y32" s="2"/>
      <c r="Z32" s="2"/>
      <c r="AA32" s="2"/>
      <c r="AB32" s="2"/>
      <c r="AC32" s="83">
        <v>0.74615135699249802</v>
      </c>
      <c r="AD32" s="84">
        <f>NPV(AC32,$F$49:$I$49)</f>
        <v>68716187.18867597</v>
      </c>
      <c r="AE32" s="85">
        <f>$AF$16/(1+AC32)^4</f>
        <v>7148793.925936901</v>
      </c>
      <c r="AF32" s="85">
        <f>$AD$25/(1+AC32)^4</f>
        <v>24136545.856494591</v>
      </c>
      <c r="AG32" s="84">
        <f>AE32+AD32</f>
        <v>75864981.114612877</v>
      </c>
      <c r="AH32" s="84">
        <f>AF32+AE32</f>
        <v>31285339.782431491</v>
      </c>
      <c r="AI32" s="2"/>
      <c r="AJ32" s="2"/>
      <c r="AK32" s="2"/>
      <c r="AL32" s="2"/>
      <c r="AM32" s="2"/>
      <c r="AN32" s="2"/>
    </row>
    <row r="33" spans="2:40">
      <c r="E33" s="88" t="s">
        <v>52</v>
      </c>
      <c r="F33" s="88">
        <v>54005000</v>
      </c>
      <c r="G33" s="88">
        <v>54883000</v>
      </c>
      <c r="H33" s="88">
        <v>55679000</v>
      </c>
      <c r="I33" s="88">
        <v>56396000</v>
      </c>
      <c r="J33" s="88">
        <f>(G33-F33)/F33</f>
        <v>1.6257753911674847E-2</v>
      </c>
      <c r="K33" s="88">
        <f t="shared" ref="K33:L35" si="41">(H33-G33)/G33</f>
        <v>1.4503580343640108E-2</v>
      </c>
      <c r="L33" s="88">
        <f t="shared" si="41"/>
        <v>1.2877386447314069E-2</v>
      </c>
      <c r="M33" s="90">
        <f t="shared" si="36"/>
        <v>1.4546240234209674E-2</v>
      </c>
      <c r="N33" s="88">
        <f t="shared" si="31"/>
        <v>57216349.764248483</v>
      </c>
      <c r="O33" s="88">
        <f>N33*(1+$M$33)</f>
        <v>58048632.533243805</v>
      </c>
      <c r="P33" s="88">
        <f t="shared" ref="P33:X33" si="42">O33*(1+$M$33)</f>
        <v>58893021.887339726</v>
      </c>
      <c r="Q33" s="88">
        <f t="shared" si="42"/>
        <v>59749693.931831531</v>
      </c>
      <c r="R33" s="88">
        <f t="shared" si="42"/>
        <v>60618827.333684444</v>
      </c>
      <c r="S33" s="88">
        <f t="shared" si="42"/>
        <v>61500603.358796291</v>
      </c>
      <c r="T33" s="88">
        <f t="shared" si="42"/>
        <v>62395205.909802176</v>
      </c>
      <c r="U33" s="88">
        <f t="shared" si="42"/>
        <v>63302821.564429134</v>
      </c>
      <c r="V33" s="88">
        <f t="shared" si="42"/>
        <v>64223639.61440862</v>
      </c>
      <c r="W33" s="88">
        <f t="shared" si="42"/>
        <v>65157852.104955107</v>
      </c>
      <c r="X33" s="88">
        <f t="shared" si="42"/>
        <v>66105653.874818884</v>
      </c>
      <c r="Y33" s="2"/>
      <c r="Z33" s="2"/>
      <c r="AA33" s="2"/>
      <c r="AB33" s="2"/>
      <c r="AC33" s="86">
        <v>0.75615135699249791</v>
      </c>
      <c r="AD33" s="84">
        <f t="shared" ref="AD33:AD35" si="43">NPV(AC33,$F$49:$I$49)</f>
        <v>68247769.271550775</v>
      </c>
      <c r="AE33" s="85">
        <f>$AF$16/(1+AC33)^4</f>
        <v>6987350.7878827089</v>
      </c>
      <c r="AF33" s="85">
        <f t="shared" ref="AF33:AF35" si="44">$AD$25/(1+AC33)^4</f>
        <v>23591463.742611907</v>
      </c>
      <c r="AG33" s="87">
        <f t="shared" ref="AG33:AG35" si="45">AE33+AD33</f>
        <v>75235120.05943349</v>
      </c>
      <c r="AH33" s="87">
        <f t="shared" ref="AH33:AH35" si="46">AF33+AE33</f>
        <v>30578814.530494615</v>
      </c>
      <c r="AI33" s="2"/>
      <c r="AJ33" s="2"/>
      <c r="AK33" s="2"/>
      <c r="AL33" s="2"/>
      <c r="AM33" s="2"/>
      <c r="AN33" s="2"/>
    </row>
    <row r="34" spans="2:40">
      <c r="E34" s="88" t="s">
        <v>53</v>
      </c>
      <c r="F34" s="88">
        <v>100100000</v>
      </c>
      <c r="G34" s="88">
        <v>106465000</v>
      </c>
      <c r="H34" s="88">
        <v>112947000</v>
      </c>
      <c r="I34" s="88">
        <v>131811000</v>
      </c>
      <c r="J34" s="88">
        <f>(G34-F34)/F34</f>
        <v>6.3586413586413593E-2</v>
      </c>
      <c r="K34" s="88">
        <f t="shared" si="41"/>
        <v>6.0883858545061759E-2</v>
      </c>
      <c r="L34" s="88">
        <f t="shared" si="41"/>
        <v>0.16701638821748255</v>
      </c>
      <c r="M34" s="90">
        <f t="shared" si="36"/>
        <v>9.7162220116319295E-2</v>
      </c>
      <c r="N34" s="88">
        <f t="shared" si="31"/>
        <v>144618049.39575216</v>
      </c>
      <c r="O34" s="88">
        <f>N34*(1+$M$34)</f>
        <v>158669460.14393497</v>
      </c>
      <c r="P34" s="88">
        <f t="shared" ref="P34:X34" si="47">O34*(1+$M$34)</f>
        <v>174086137.15617755</v>
      </c>
      <c r="Q34" s="88">
        <f t="shared" si="47"/>
        <v>191000732.73374584</v>
      </c>
      <c r="R34" s="88">
        <f t="shared" si="47"/>
        <v>209558787.97000036</v>
      </c>
      <c r="S34" s="88">
        <f t="shared" si="47"/>
        <v>229919985.05405062</v>
      </c>
      <c r="T34" s="88">
        <f t="shared" si="47"/>
        <v>252259521.25101316</v>
      </c>
      <c r="U34" s="88">
        <f t="shared" si="47"/>
        <v>276769616.38124144</v>
      </c>
      <c r="V34" s="88">
        <f t="shared" si="47"/>
        <v>303661166.76958489</v>
      </c>
      <c r="W34" s="88">
        <f t="shared" si="47"/>
        <v>333165559.89602965</v>
      </c>
      <c r="X34" s="88">
        <f t="shared" si="47"/>
        <v>365536665.36182445</v>
      </c>
      <c r="Y34" s="2"/>
      <c r="Z34" s="2"/>
      <c r="AA34" s="2"/>
      <c r="AB34" s="2"/>
      <c r="AC34" s="83">
        <v>0.76615135699249803</v>
      </c>
      <c r="AD34" s="84">
        <f t="shared" si="43"/>
        <v>67786321.523889899</v>
      </c>
      <c r="AE34" s="85">
        <f t="shared" ref="AE34:AE35" si="48">$AF$16/(1+AC34)^4</f>
        <v>6830439.420691886</v>
      </c>
      <c r="AF34" s="85">
        <f t="shared" si="44"/>
        <v>23061682.292923495</v>
      </c>
      <c r="AG34" s="84">
        <f t="shared" si="45"/>
        <v>74616760.944581792</v>
      </c>
      <c r="AH34" s="84">
        <f t="shared" si="46"/>
        <v>29892121.71361538</v>
      </c>
      <c r="AI34" s="2"/>
      <c r="AJ34" s="2"/>
      <c r="AK34" s="2"/>
      <c r="AL34" s="2"/>
      <c r="AM34" s="2"/>
      <c r="AN34" s="2"/>
    </row>
    <row r="35" spans="2:40">
      <c r="E35" s="88" t="s">
        <v>54</v>
      </c>
      <c r="F35" s="88">
        <v>78982000</v>
      </c>
      <c r="G35" s="88">
        <v>79062000</v>
      </c>
      <c r="H35" s="88">
        <v>84729000</v>
      </c>
      <c r="I35" s="88">
        <v>99223000</v>
      </c>
      <c r="J35" s="88">
        <f>(G35-F35)/F35</f>
        <v>1.0128890126864349E-3</v>
      </c>
      <c r="K35" s="88">
        <f t="shared" si="41"/>
        <v>7.1677923654853148E-2</v>
      </c>
      <c r="L35" s="88">
        <f t="shared" si="41"/>
        <v>0.17106303626857391</v>
      </c>
      <c r="M35" s="90">
        <f t="shared" si="36"/>
        <v>8.12512829787045E-2</v>
      </c>
      <c r="N35" s="88">
        <f t="shared" si="31"/>
        <v>107284996.05099599</v>
      </c>
      <c r="O35" s="88">
        <f>N35*(1+$M$35)</f>
        <v>116002039.62450466</v>
      </c>
      <c r="P35" s="88">
        <f t="shared" ref="P35:X35" si="49">O35*(1+$M$35)</f>
        <v>125427354.17214216</v>
      </c>
      <c r="Q35" s="88">
        <f t="shared" si="49"/>
        <v>135618487.61925307</v>
      </c>
      <c r="R35" s="88">
        <f t="shared" si="49"/>
        <v>146637663.73394892</v>
      </c>
      <c r="S35" s="88">
        <f t="shared" si="49"/>
        <v>158552162.0453321</v>
      </c>
      <c r="T35" s="88">
        <f t="shared" si="49"/>
        <v>171434728.63056278</v>
      </c>
      <c r="U35" s="88">
        <f t="shared" si="49"/>
        <v>185364020.27890205</v>
      </c>
      <c r="V35" s="88">
        <f t="shared" si="49"/>
        <v>200425084.74465343</v>
      </c>
      <c r="W35" s="88">
        <f t="shared" si="49"/>
        <v>216709880.02127209</v>
      </c>
      <c r="X35" s="88">
        <f t="shared" si="49"/>
        <v>234317835.80716157</v>
      </c>
      <c r="Y35" s="2"/>
      <c r="Z35" s="2"/>
      <c r="AA35" s="2"/>
      <c r="AB35" s="2"/>
      <c r="AC35" s="83">
        <v>0.77615135699249804</v>
      </c>
      <c r="AD35" s="84">
        <f t="shared" si="43"/>
        <v>67331679.584075078</v>
      </c>
      <c r="AE35" s="85">
        <f t="shared" si="48"/>
        <v>6677908.027495469</v>
      </c>
      <c r="AF35" s="85">
        <f t="shared" si="44"/>
        <v>22546688.994112208</v>
      </c>
      <c r="AG35" s="84">
        <f t="shared" si="45"/>
        <v>74009587.611570552</v>
      </c>
      <c r="AH35" s="84">
        <f t="shared" si="46"/>
        <v>29224597.021607678</v>
      </c>
      <c r="AI35" s="2"/>
      <c r="AJ35" s="2"/>
      <c r="AK35" s="2"/>
      <c r="AL35" s="2"/>
      <c r="AM35" s="2"/>
      <c r="AN35" s="2"/>
    </row>
    <row r="36" spans="2:40">
      <c r="E36" s="88" t="s">
        <v>41</v>
      </c>
      <c r="F36" s="88">
        <f>SUM(F31:F35)</f>
        <v>658441000</v>
      </c>
      <c r="G36" s="88">
        <f t="shared" ref="G36:I36" si="50">SUM(G31:G35)</f>
        <v>644848000</v>
      </c>
      <c r="H36" s="88">
        <f t="shared" si="50"/>
        <v>680638000</v>
      </c>
      <c r="I36" s="88">
        <f t="shared" si="50"/>
        <v>813322000</v>
      </c>
      <c r="J36" s="88"/>
      <c r="K36" s="88"/>
      <c r="L36" s="88"/>
      <c r="M36" s="88"/>
      <c r="N36" s="88">
        <f>SUM(N31:N35)</f>
        <v>878295610.39277864</v>
      </c>
      <c r="O36" s="88">
        <f t="shared" ref="O36:W36" si="51">SUM(O31:O35)</f>
        <v>949608139.23583329</v>
      </c>
      <c r="P36" s="88">
        <f t="shared" si="51"/>
        <v>1027940831.2167606</v>
      </c>
      <c r="Q36" s="88">
        <f t="shared" si="51"/>
        <v>1114051765.6123097</v>
      </c>
      <c r="R36" s="88">
        <f t="shared" si="51"/>
        <v>1208784753.6111519</v>
      </c>
      <c r="S36" s="88">
        <f t="shared" si="51"/>
        <v>1313079282.6713367</v>
      </c>
      <c r="T36" s="88">
        <f t="shared" si="51"/>
        <v>1427981632.4725208</v>
      </c>
      <c r="U36" s="88">
        <f t="shared" si="51"/>
        <v>1554657301.9573603</v>
      </c>
      <c r="V36" s="88">
        <f t="shared" si="51"/>
        <v>1694404903.6917472</v>
      </c>
      <c r="W36" s="88">
        <f t="shared" si="51"/>
        <v>1848671700.528003</v>
      </c>
      <c r="X36" s="88">
        <f>SUM(X31:X35)</f>
        <v>2019070980.5733793</v>
      </c>
      <c r="Y36" s="2"/>
      <c r="Z36" s="2"/>
      <c r="AA36" s="2"/>
      <c r="AB36" s="2"/>
      <c r="AC36" s="2"/>
      <c r="AD36" s="2"/>
      <c r="AE36" s="2"/>
      <c r="AF36" s="2"/>
      <c r="AG36" s="2"/>
      <c r="AH36" s="2"/>
      <c r="AI36" s="2"/>
      <c r="AJ36" s="2"/>
      <c r="AK36" s="2"/>
      <c r="AL36" s="2"/>
      <c r="AM36" s="2"/>
      <c r="AN36" s="2"/>
    </row>
    <row r="37" spans="2:40">
      <c r="Y37" s="2"/>
      <c r="Z37" s="2"/>
      <c r="AA37" s="2"/>
      <c r="AB37" s="2"/>
      <c r="AC37" s="2"/>
      <c r="AD37" s="2"/>
      <c r="AE37" s="2"/>
      <c r="AF37" s="2"/>
      <c r="AG37" s="2"/>
      <c r="AH37" s="2"/>
      <c r="AI37" s="2"/>
      <c r="AJ37" s="2"/>
      <c r="AK37" s="2"/>
      <c r="AL37" s="2"/>
      <c r="AM37" s="2"/>
      <c r="AN37" s="2"/>
    </row>
    <row r="38" spans="2:40">
      <c r="Y38" s="2"/>
      <c r="Z38" s="2"/>
      <c r="AA38" s="2"/>
      <c r="AB38" s="2"/>
      <c r="AC38" s="2"/>
      <c r="AD38" s="2"/>
      <c r="AE38" s="2"/>
      <c r="AF38" s="2"/>
      <c r="AG38" s="2"/>
      <c r="AH38" s="2"/>
      <c r="AI38" s="2"/>
      <c r="AJ38" s="2"/>
      <c r="AK38" s="2"/>
      <c r="AL38" s="2"/>
      <c r="AM38" s="2"/>
      <c r="AN38" s="2"/>
    </row>
    <row r="39" spans="2:40">
      <c r="B39" s="4"/>
      <c r="Y39" s="2"/>
      <c r="Z39" s="2"/>
      <c r="AA39" s="2"/>
      <c r="AB39" s="2"/>
      <c r="AC39" s="2"/>
      <c r="AD39" s="2"/>
      <c r="AE39" s="2"/>
      <c r="AF39" s="2"/>
      <c r="AG39" s="2"/>
      <c r="AH39" s="2"/>
      <c r="AI39" s="2"/>
      <c r="AJ39" s="2"/>
      <c r="AK39" s="2"/>
      <c r="AL39" s="2"/>
      <c r="AM39" s="2"/>
      <c r="AN39" s="2"/>
    </row>
    <row r="40" spans="2:40">
      <c r="F40" s="1" t="s">
        <v>55</v>
      </c>
      <c r="Y40" s="2"/>
      <c r="Z40" s="2"/>
      <c r="AA40" s="2"/>
      <c r="AB40" s="2"/>
      <c r="AC40" s="2"/>
      <c r="AD40" s="2"/>
      <c r="AE40" s="2"/>
      <c r="AF40" s="2"/>
      <c r="AG40" s="2"/>
      <c r="AH40" s="2"/>
      <c r="AI40" s="2"/>
      <c r="AJ40" s="2"/>
      <c r="AK40" s="2"/>
      <c r="AL40" s="2"/>
      <c r="AM40" s="2"/>
    </row>
    <row r="41" spans="2:40">
      <c r="Y41" s="2"/>
      <c r="Z41" s="2"/>
      <c r="AA41" s="2"/>
      <c r="AB41" s="2"/>
      <c r="AC41" s="2"/>
      <c r="AD41" s="2"/>
      <c r="AE41" s="2"/>
      <c r="AF41" s="2"/>
      <c r="AG41" s="2"/>
      <c r="AH41" s="2"/>
      <c r="AI41" s="2"/>
      <c r="AJ41" s="2"/>
      <c r="AK41" s="2"/>
      <c r="AL41" s="2"/>
      <c r="AM41" s="2"/>
      <c r="AN41" s="2"/>
    </row>
    <row r="42" spans="2:40">
      <c r="B42" s="4"/>
      <c r="E42" s="88" t="s">
        <v>56</v>
      </c>
      <c r="F42" s="88">
        <v>2018</v>
      </c>
      <c r="G42" s="88">
        <v>2019</v>
      </c>
      <c r="H42" s="88">
        <v>2020</v>
      </c>
      <c r="I42" s="88">
        <v>2021</v>
      </c>
      <c r="J42">
        <v>2022</v>
      </c>
      <c r="K42">
        <v>2023</v>
      </c>
      <c r="L42">
        <v>2024</v>
      </c>
      <c r="M42">
        <v>2025</v>
      </c>
      <c r="N42">
        <v>2026</v>
      </c>
      <c r="O42">
        <v>2027</v>
      </c>
      <c r="P42">
        <v>2028</v>
      </c>
      <c r="Q42">
        <v>2029</v>
      </c>
      <c r="R42">
        <v>2030</v>
      </c>
      <c r="S42">
        <v>2031</v>
      </c>
      <c r="T42">
        <v>2032</v>
      </c>
      <c r="Z42">
        <v>2018</v>
      </c>
      <c r="AA42">
        <v>2019</v>
      </c>
      <c r="AB42">
        <v>2020</v>
      </c>
      <c r="AC42">
        <v>2021</v>
      </c>
      <c r="AD42">
        <v>2022</v>
      </c>
      <c r="AE42">
        <v>2023</v>
      </c>
      <c r="AF42">
        <v>2024</v>
      </c>
      <c r="AG42">
        <v>2025</v>
      </c>
      <c r="AH42">
        <v>2026</v>
      </c>
      <c r="AI42">
        <v>2027</v>
      </c>
      <c r="AJ42">
        <v>2028</v>
      </c>
      <c r="AK42">
        <v>2029</v>
      </c>
      <c r="AL42">
        <v>2030</v>
      </c>
      <c r="AM42">
        <v>2031</v>
      </c>
      <c r="AN42">
        <v>2032</v>
      </c>
    </row>
    <row r="43" spans="2:40">
      <c r="E43" s="88" t="s">
        <v>57</v>
      </c>
      <c r="F43" s="88">
        <f>F8</f>
        <v>16944766.112198979</v>
      </c>
      <c r="G43" s="88">
        <f>G8</f>
        <v>18478000</v>
      </c>
      <c r="H43" s="88">
        <f>H8</f>
        <v>28947000</v>
      </c>
      <c r="I43" s="88">
        <f>I8</f>
        <v>39052000</v>
      </c>
      <c r="J43">
        <f t="shared" ref="J43:T43" si="52">N9</f>
        <v>4215890.9392581973</v>
      </c>
      <c r="K43">
        <f t="shared" si="52"/>
        <v>4215890.9392581973</v>
      </c>
      <c r="L43">
        <f t="shared" si="52"/>
        <v>4215890.9392581973</v>
      </c>
      <c r="M43">
        <f t="shared" si="52"/>
        <v>4215890.9392581973</v>
      </c>
      <c r="N43">
        <f t="shared" si="52"/>
        <v>4215890.9392581973</v>
      </c>
      <c r="O43">
        <f t="shared" si="52"/>
        <v>4215890.9392581973</v>
      </c>
      <c r="P43">
        <f t="shared" si="52"/>
        <v>4215890.9392581973</v>
      </c>
      <c r="Q43">
        <f t="shared" si="52"/>
        <v>4215890.9392581973</v>
      </c>
      <c r="R43">
        <f t="shared" si="52"/>
        <v>4215890.9392581973</v>
      </c>
      <c r="S43">
        <f t="shared" si="52"/>
        <v>4215890.9392581973</v>
      </c>
      <c r="T43">
        <f t="shared" si="52"/>
        <v>4215890.9392581973</v>
      </c>
    </row>
    <row r="44" spans="2:40">
      <c r="E44" s="88" t="s">
        <v>23</v>
      </c>
      <c r="F44" s="88">
        <f>F43*A13</f>
        <v>2745158.0064791548</v>
      </c>
      <c r="G44" s="88">
        <f>G43*B13</f>
        <v>3696298.4030993101</v>
      </c>
      <c r="H44" s="88">
        <f>H43*C13</f>
        <v>7005364.2118759518</v>
      </c>
      <c r="I44" s="88">
        <f>I43*D13</f>
        <v>7810688.8034314448</v>
      </c>
      <c r="J44">
        <f>J43*$A$15</f>
        <v>847455.22223696986</v>
      </c>
      <c r="K44">
        <f t="shared" ref="K44:T44" si="53">K43*$A$15</f>
        <v>847455.22223696986</v>
      </c>
      <c r="L44">
        <f t="shared" si="53"/>
        <v>847455.22223696986</v>
      </c>
      <c r="M44">
        <f t="shared" si="53"/>
        <v>847455.22223696986</v>
      </c>
      <c r="N44">
        <f t="shared" si="53"/>
        <v>847455.22223696986</v>
      </c>
      <c r="O44">
        <f t="shared" si="53"/>
        <v>847455.22223696986</v>
      </c>
      <c r="P44">
        <f t="shared" si="53"/>
        <v>847455.22223696986</v>
      </c>
      <c r="Q44">
        <f t="shared" si="53"/>
        <v>847455.22223696986</v>
      </c>
      <c r="R44">
        <f t="shared" si="53"/>
        <v>847455.22223696986</v>
      </c>
      <c r="S44">
        <f t="shared" si="53"/>
        <v>847455.22223696986</v>
      </c>
      <c r="T44">
        <f t="shared" si="53"/>
        <v>847455.22223696986</v>
      </c>
      <c r="Y44" s="88" t="s">
        <v>58</v>
      </c>
      <c r="Z44" s="88">
        <v>0</v>
      </c>
      <c r="AA44" s="88">
        <f>Z45</f>
        <v>-101762000</v>
      </c>
      <c r="AB44" s="88">
        <f>AA45</f>
        <v>-104996000</v>
      </c>
      <c r="AC44" s="88">
        <f>AB45</f>
        <v>-72869000</v>
      </c>
      <c r="AD44" s="88">
        <f>AC45</f>
        <v>-92245000</v>
      </c>
      <c r="AE44" s="88">
        <f>AD45</f>
        <v>-76815521.500134051</v>
      </c>
      <c r="AF44" s="88">
        <f t="shared" ref="AF44:AN44" si="54">AE45</f>
        <v>-51987169.143066347</v>
      </c>
      <c r="AG44" s="88">
        <f>AF45</f>
        <v>-14502120.876019597</v>
      </c>
      <c r="AH44" s="88">
        <f t="shared" si="54"/>
        <v>39887108.391551912</v>
      </c>
      <c r="AI44" s="88">
        <f t="shared" si="54"/>
        <v>116704435.69571328</v>
      </c>
      <c r="AJ44" s="88">
        <f t="shared" si="54"/>
        <v>223118501.08650887</v>
      </c>
      <c r="AK44" s="88">
        <f t="shared" si="54"/>
        <v>368415468.78278697</v>
      </c>
      <c r="AL44" s="88">
        <f t="shared" si="54"/>
        <v>564605785.89161336</v>
      </c>
      <c r="AM44" s="88">
        <f t="shared" si="54"/>
        <v>827202618.07231152</v>
      </c>
      <c r="AN44" s="88">
        <f t="shared" si="54"/>
        <v>1176220273.9253821</v>
      </c>
    </row>
    <row r="45" spans="2:40">
      <c r="E45" s="88" t="s">
        <v>59</v>
      </c>
      <c r="F45" s="88">
        <f>F43-F44</f>
        <v>14199608.105719823</v>
      </c>
      <c r="G45" s="88">
        <f>G43-G44</f>
        <v>14781701.59690069</v>
      </c>
      <c r="H45" s="88">
        <f>H43-H44</f>
        <v>21941635.788124047</v>
      </c>
      <c r="I45" s="88">
        <f>I43-I44</f>
        <v>31241311.196568556</v>
      </c>
      <c r="J45">
        <f t="shared" ref="J45:T45" si="55">J43-J44</f>
        <v>3368435.7170212273</v>
      </c>
      <c r="K45">
        <f t="shared" si="55"/>
        <v>3368435.7170212273</v>
      </c>
      <c r="L45">
        <f t="shared" si="55"/>
        <v>3368435.7170212273</v>
      </c>
      <c r="M45">
        <f t="shared" si="55"/>
        <v>3368435.7170212273</v>
      </c>
      <c r="N45">
        <f t="shared" si="55"/>
        <v>3368435.7170212273</v>
      </c>
      <c r="O45">
        <f t="shared" si="55"/>
        <v>3368435.7170212273</v>
      </c>
      <c r="P45">
        <f t="shared" si="55"/>
        <v>3368435.7170212273</v>
      </c>
      <c r="Q45">
        <f t="shared" si="55"/>
        <v>3368435.7170212273</v>
      </c>
      <c r="R45">
        <f t="shared" si="55"/>
        <v>3368435.7170212273</v>
      </c>
      <c r="S45">
        <f t="shared" si="55"/>
        <v>3368435.7170212273</v>
      </c>
      <c r="T45">
        <f t="shared" si="55"/>
        <v>3368435.7170212273</v>
      </c>
      <c r="Y45" s="88" t="s">
        <v>60</v>
      </c>
      <c r="Z45" s="88">
        <f>F23-F29</f>
        <v>-101762000</v>
      </c>
      <c r="AA45" s="88">
        <f>G23-G29</f>
        <v>-104996000</v>
      </c>
      <c r="AB45" s="88">
        <f>H23-H29</f>
        <v>-72869000</v>
      </c>
      <c r="AC45" s="88">
        <f>I23-I29</f>
        <v>-92245000</v>
      </c>
      <c r="AD45" s="88">
        <f t="shared" ref="AD45:AN45" si="56">N23-N29</f>
        <v>-76815521.500134051</v>
      </c>
      <c r="AE45" s="88">
        <f t="shared" si="56"/>
        <v>-51987169.143066347</v>
      </c>
      <c r="AF45" s="88">
        <f>P23-P29</f>
        <v>-14502120.876019597</v>
      </c>
      <c r="AG45" s="88">
        <f t="shared" si="56"/>
        <v>39887108.391551912</v>
      </c>
      <c r="AH45" s="88">
        <f t="shared" si="56"/>
        <v>116704435.69571328</v>
      </c>
      <c r="AI45" s="88">
        <f t="shared" si="56"/>
        <v>223118501.08650887</v>
      </c>
      <c r="AJ45" s="88">
        <f t="shared" si="56"/>
        <v>368415468.78278697</v>
      </c>
      <c r="AK45" s="88">
        <f t="shared" si="56"/>
        <v>564605785.89161336</v>
      </c>
      <c r="AL45" s="88">
        <f t="shared" si="56"/>
        <v>827202618.07231152</v>
      </c>
      <c r="AM45" s="88">
        <f t="shared" si="56"/>
        <v>1176220273.9253821</v>
      </c>
      <c r="AN45" s="88">
        <f t="shared" si="56"/>
        <v>1637454493.3682451</v>
      </c>
    </row>
    <row r="46" spans="2:40">
      <c r="E46" s="88" t="s">
        <v>61</v>
      </c>
      <c r="F46" s="88">
        <f>F7</f>
        <v>1328000</v>
      </c>
      <c r="G46" s="88">
        <f>G7</f>
        <v>1704000</v>
      </c>
      <c r="H46" s="88">
        <f>H7</f>
        <v>1902000</v>
      </c>
      <c r="I46" s="88">
        <f>I7</f>
        <v>2015000</v>
      </c>
      <c r="J46">
        <f t="shared" ref="J46:T46" si="57">N8</f>
        <v>49557867.594672903</v>
      </c>
      <c r="K46">
        <f t="shared" si="57"/>
        <v>62173855.506835118</v>
      </c>
      <c r="L46">
        <f t="shared" si="57"/>
        <v>77307264.240411848</v>
      </c>
      <c r="M46">
        <f t="shared" si="57"/>
        <v>95443425.059392095</v>
      </c>
      <c r="N46">
        <f t="shared" si="57"/>
        <v>117160618.34741816</v>
      </c>
      <c r="O46">
        <f t="shared" si="57"/>
        <v>143147841.58741134</v>
      </c>
      <c r="P46">
        <f t="shared" si="57"/>
        <v>174225970.99975425</v>
      </c>
      <c r="Q46">
        <f t="shared" si="57"/>
        <v>211372964.70957831</v>
      </c>
      <c r="R46">
        <f t="shared" si="57"/>
        <v>255753878.95834056</v>
      </c>
      <c r="S46">
        <f t="shared" si="57"/>
        <v>308756616.11210877</v>
      </c>
      <c r="T46">
        <f t="shared" si="57"/>
        <v>372034498.54993254</v>
      </c>
      <c r="Y46" s="88" t="s">
        <v>62</v>
      </c>
      <c r="Z46" s="88">
        <f>Z45-Z44</f>
        <v>-101762000</v>
      </c>
      <c r="AA46" s="88">
        <f>AA45-AA44</f>
        <v>-3234000</v>
      </c>
      <c r="AB46" s="88">
        <f>AB45-AB44</f>
        <v>32127000</v>
      </c>
      <c r="AC46" s="88">
        <f>AC45-AC44</f>
        <v>-19376000</v>
      </c>
      <c r="AD46" s="88">
        <f t="shared" ref="AD46:AN46" si="58">AD45-AD44</f>
        <v>15429478.499865949</v>
      </c>
      <c r="AE46" s="88">
        <f t="shared" si="58"/>
        <v>24828352.357067704</v>
      </c>
      <c r="AF46" s="88">
        <f t="shared" si="58"/>
        <v>37485048.26704675</v>
      </c>
      <c r="AG46" s="88">
        <f t="shared" si="58"/>
        <v>54389229.267571509</v>
      </c>
      <c r="AH46" s="88">
        <f t="shared" si="58"/>
        <v>76817327.30416137</v>
      </c>
      <c r="AI46" s="88">
        <f t="shared" si="58"/>
        <v>106414065.39079559</v>
      </c>
      <c r="AJ46" s="88">
        <f t="shared" si="58"/>
        <v>145296967.6962781</v>
      </c>
      <c r="AK46" s="88">
        <f t="shared" si="58"/>
        <v>196190317.1088264</v>
      </c>
      <c r="AL46" s="88">
        <f t="shared" si="58"/>
        <v>262596832.18069816</v>
      </c>
      <c r="AM46" s="88">
        <f t="shared" si="58"/>
        <v>349017655.85307062</v>
      </c>
      <c r="AN46" s="88">
        <f t="shared" si="58"/>
        <v>461234219.44286299</v>
      </c>
    </row>
    <row r="47" spans="2:40">
      <c r="E47" s="88" t="s">
        <v>63</v>
      </c>
      <c r="F47" s="88">
        <v>7982000</v>
      </c>
      <c r="G47" s="88">
        <v>8443000</v>
      </c>
      <c r="H47" s="88">
        <v>6309000</v>
      </c>
      <c r="I47" s="88">
        <v>4667000</v>
      </c>
      <c r="J47" s="2">
        <v>3958764.1939139301</v>
      </c>
      <c r="K47" s="2">
        <v>3358005.9873612616</v>
      </c>
      <c r="L47" s="2">
        <v>2848415.2272796989</v>
      </c>
      <c r="M47" s="2">
        <v>2416156.8911836473</v>
      </c>
      <c r="N47" s="2">
        <v>2049495.4762580285</v>
      </c>
      <c r="O47" s="2">
        <v>1738476.3889005487</v>
      </c>
      <c r="P47" s="2">
        <v>1474655.6846677267</v>
      </c>
      <c r="Q47" s="2">
        <v>1250870.8212586732</v>
      </c>
      <c r="R47" s="2">
        <v>1061046.2006450712</v>
      </c>
      <c r="S47" s="2">
        <v>900028.22095610108</v>
      </c>
      <c r="T47" s="2">
        <v>763445.35989566485</v>
      </c>
      <c r="Y47" s="2"/>
      <c r="Z47" s="2"/>
      <c r="AA47" s="2"/>
      <c r="AB47" s="2"/>
      <c r="AC47" s="2"/>
      <c r="AD47" s="2"/>
      <c r="AE47" s="2"/>
      <c r="AF47" s="2"/>
      <c r="AG47" s="2"/>
      <c r="AH47" s="2"/>
      <c r="AI47" s="2"/>
      <c r="AJ47" s="2"/>
      <c r="AK47" s="2"/>
      <c r="AL47" s="2"/>
      <c r="AM47" s="2"/>
      <c r="AN47" s="2"/>
    </row>
    <row r="48" spans="2:40">
      <c r="E48" s="88" t="s">
        <v>64</v>
      </c>
      <c r="F48" s="88">
        <f t="shared" ref="F48:G48" si="59">Z46</f>
        <v>-101762000</v>
      </c>
      <c r="G48" s="88">
        <f t="shared" si="59"/>
        <v>-3234000</v>
      </c>
      <c r="H48" s="88">
        <f t="shared" ref="H48:T48" si="60">AB46</f>
        <v>32127000</v>
      </c>
      <c r="I48" s="88">
        <f t="shared" si="60"/>
        <v>-19376000</v>
      </c>
      <c r="J48">
        <f t="shared" si="60"/>
        <v>15429478.499865949</v>
      </c>
      <c r="K48">
        <f t="shared" si="60"/>
        <v>24828352.357067704</v>
      </c>
      <c r="L48">
        <f t="shared" si="60"/>
        <v>37485048.26704675</v>
      </c>
      <c r="M48">
        <f t="shared" si="60"/>
        <v>54389229.267571509</v>
      </c>
      <c r="N48">
        <f t="shared" si="60"/>
        <v>76817327.30416137</v>
      </c>
      <c r="O48">
        <f t="shared" si="60"/>
        <v>106414065.39079559</v>
      </c>
      <c r="P48">
        <f t="shared" si="60"/>
        <v>145296967.6962781</v>
      </c>
      <c r="Q48">
        <f t="shared" si="60"/>
        <v>196190317.1088264</v>
      </c>
      <c r="R48">
        <f t="shared" si="60"/>
        <v>262596832.18069816</v>
      </c>
      <c r="S48">
        <f t="shared" si="60"/>
        <v>349017655.85307062</v>
      </c>
      <c r="T48">
        <f t="shared" si="60"/>
        <v>461234219.44286299</v>
      </c>
      <c r="Y48" s="2"/>
      <c r="Z48" s="2"/>
      <c r="AA48" s="2"/>
      <c r="AB48" s="2"/>
      <c r="AC48" s="2"/>
      <c r="AD48" s="2"/>
      <c r="AE48" s="2"/>
      <c r="AF48" s="2"/>
      <c r="AG48" s="2"/>
      <c r="AH48" s="2"/>
      <c r="AI48" s="2"/>
      <c r="AJ48" s="2"/>
      <c r="AK48" s="2"/>
      <c r="AL48" s="2"/>
      <c r="AM48" s="2"/>
      <c r="AN48" s="2"/>
    </row>
    <row r="49" spans="1:40">
      <c r="E49" s="88" t="s">
        <v>65</v>
      </c>
      <c r="F49" s="88">
        <f>F45+F46-F47-F48</f>
        <v>109307608.10571982</v>
      </c>
      <c r="G49" s="88">
        <f>G45+G46-G47-G48</f>
        <v>11276701.59690069</v>
      </c>
      <c r="H49" s="88">
        <f>H45+H46-H47-H48</f>
        <v>-14592364.211875953</v>
      </c>
      <c r="I49" s="88">
        <f>I45+I46-I47-I48</f>
        <v>47965311.196568556</v>
      </c>
      <c r="J49">
        <f>J45+J46-J47-J48</f>
        <v>33538060.617914252</v>
      </c>
      <c r="K49">
        <f t="shared" ref="K49:T49" si="61">K45+K46-K47-K48</f>
        <v>37355932.879427381</v>
      </c>
      <c r="L49">
        <f t="shared" si="61"/>
        <v>40342236.463106632</v>
      </c>
      <c r="M49">
        <f t="shared" si="61"/>
        <v>42006474.617658168</v>
      </c>
      <c r="N49">
        <f t="shared" si="61"/>
        <v>41662231.284019992</v>
      </c>
      <c r="O49">
        <f t="shared" si="61"/>
        <v>38363735.524736434</v>
      </c>
      <c r="P49">
        <f t="shared" si="61"/>
        <v>30822783.335829645</v>
      </c>
      <c r="Q49">
        <f t="shared" si="61"/>
        <v>17300212.496514469</v>
      </c>
      <c r="R49">
        <f t="shared" si="61"/>
        <v>-4535563.7059814334</v>
      </c>
      <c r="S49">
        <f t="shared" si="61"/>
        <v>-37792632.24489671</v>
      </c>
      <c r="T49">
        <f>T45+T46-T47-T48</f>
        <v>-86594730.535804868</v>
      </c>
      <c r="Y49" s="2"/>
      <c r="Z49" s="2"/>
      <c r="AA49" s="2"/>
      <c r="AB49" s="2"/>
      <c r="AC49" s="2"/>
      <c r="AD49" s="2"/>
      <c r="AE49" s="2"/>
      <c r="AF49" s="2"/>
      <c r="AG49" s="2"/>
      <c r="AH49" s="2"/>
      <c r="AI49" s="2"/>
      <c r="AJ49" s="2"/>
      <c r="AK49" s="2"/>
      <c r="AL49" s="2"/>
      <c r="AM49" s="2"/>
      <c r="AN49" s="2"/>
    </row>
    <row r="50" spans="1:40">
      <c r="E50" s="88" t="s">
        <v>66</v>
      </c>
      <c r="F50" s="88">
        <f>F49</f>
        <v>109307608.10571982</v>
      </c>
      <c r="G50" s="88">
        <f t="shared" ref="G50:H50" si="62">G49</f>
        <v>11276701.59690069</v>
      </c>
      <c r="H50" s="88">
        <f t="shared" si="62"/>
        <v>-14592364.211875953</v>
      </c>
      <c r="I50" s="88">
        <f>I49+AD25</f>
        <v>272354879.05437201</v>
      </c>
      <c r="J50">
        <f>J49</f>
        <v>33538060.617914252</v>
      </c>
      <c r="K50">
        <f t="shared" ref="K50:T50" si="63">K49</f>
        <v>37355932.879427381</v>
      </c>
      <c r="L50">
        <f t="shared" si="63"/>
        <v>40342236.463106632</v>
      </c>
      <c r="M50">
        <f t="shared" si="63"/>
        <v>42006474.617658168</v>
      </c>
      <c r="N50">
        <f t="shared" si="63"/>
        <v>41662231.284019992</v>
      </c>
      <c r="O50">
        <f t="shared" si="63"/>
        <v>38363735.524736434</v>
      </c>
      <c r="P50">
        <f t="shared" si="63"/>
        <v>30822783.335829645</v>
      </c>
      <c r="Q50">
        <f t="shared" si="63"/>
        <v>17300212.496514469</v>
      </c>
      <c r="R50">
        <f t="shared" si="63"/>
        <v>-4535563.7059814334</v>
      </c>
      <c r="S50">
        <f t="shared" si="63"/>
        <v>-37792632.24489671</v>
      </c>
      <c r="T50">
        <f>T49</f>
        <v>-86594730.535804868</v>
      </c>
      <c r="Y50" s="2"/>
      <c r="Z50" s="2"/>
      <c r="AA50" s="2"/>
      <c r="AB50" s="2"/>
      <c r="AC50" s="2"/>
      <c r="AD50" s="2"/>
      <c r="AE50" s="2"/>
      <c r="AF50" s="2"/>
      <c r="AG50" s="2"/>
      <c r="AH50" s="2"/>
      <c r="AI50" s="2"/>
      <c r="AJ50" s="2"/>
      <c r="AK50" s="2"/>
      <c r="AL50" s="2"/>
      <c r="AM50" s="2"/>
    </row>
    <row r="51" spans="1:40">
      <c r="Y51" s="2"/>
      <c r="Z51" s="2"/>
      <c r="AA51" s="2"/>
      <c r="AB51" s="2"/>
      <c r="AC51" s="2"/>
      <c r="AD51" s="2"/>
      <c r="AE51" s="2"/>
      <c r="AF51" s="2"/>
      <c r="AG51" s="2"/>
      <c r="AH51" s="2"/>
      <c r="AI51" s="2"/>
      <c r="AJ51" s="2"/>
      <c r="AK51" s="2"/>
      <c r="AL51" s="2"/>
      <c r="AM51" s="2"/>
      <c r="AN51" s="2"/>
    </row>
    <row r="52" spans="1:40">
      <c r="Y52" s="2"/>
      <c r="Z52" s="2"/>
      <c r="AA52" s="2"/>
      <c r="AB52" s="2"/>
      <c r="AC52" s="2"/>
      <c r="AD52" s="2"/>
      <c r="AE52" s="2"/>
      <c r="AF52" s="2"/>
      <c r="AG52" s="2"/>
      <c r="AH52" s="2"/>
      <c r="AI52" s="2"/>
      <c r="AJ52" s="2"/>
      <c r="AK52" s="2"/>
      <c r="AL52" s="2"/>
      <c r="AM52" s="2"/>
      <c r="AN52" s="2"/>
    </row>
    <row r="53" spans="1:40">
      <c r="D53" t="s">
        <v>577</v>
      </c>
      <c r="Y53" s="2"/>
      <c r="Z53" s="2"/>
      <c r="AA53" s="2"/>
      <c r="AB53" s="2"/>
      <c r="AC53" s="2"/>
      <c r="AD53" s="2"/>
      <c r="AE53" s="2"/>
      <c r="AF53" s="2"/>
      <c r="AG53" s="2"/>
      <c r="AH53" s="2"/>
      <c r="AI53" s="2"/>
      <c r="AJ53" s="2"/>
      <c r="AK53" s="2"/>
      <c r="AL53" s="2"/>
      <c r="AM53" s="2"/>
      <c r="AN53" s="2"/>
    </row>
    <row r="54" spans="1:40" ht="14.4" customHeight="1">
      <c r="A54" s="100" t="s">
        <v>576</v>
      </c>
      <c r="B54" s="100"/>
      <c r="C54" s="100"/>
      <c r="D54" s="100"/>
      <c r="E54" s="100"/>
      <c r="F54" s="1" t="s">
        <v>67</v>
      </c>
      <c r="G54" s="98">
        <f>NPV(AC33,F50:I50)</f>
        <v>91839233.014162689</v>
      </c>
      <c r="Y54" s="2"/>
      <c r="Z54" s="2"/>
      <c r="AA54" s="2"/>
      <c r="AB54" s="2"/>
      <c r="AC54" s="2"/>
      <c r="AD54" s="2"/>
      <c r="AE54" s="2"/>
      <c r="AF54" s="2"/>
      <c r="AG54" s="2"/>
      <c r="AH54" s="2"/>
      <c r="AI54" s="2"/>
      <c r="AJ54" s="2"/>
      <c r="AK54" s="2"/>
      <c r="AL54" s="2"/>
      <c r="AM54" s="2"/>
      <c r="AN54" s="2"/>
    </row>
    <row r="55" spans="1:40">
      <c r="A55" s="100"/>
      <c r="B55" s="100"/>
      <c r="C55" s="100"/>
      <c r="D55" s="100"/>
      <c r="E55" s="100"/>
      <c r="F55" s="3"/>
      <c r="G55" s="3"/>
      <c r="Y55" s="2"/>
      <c r="Z55" s="2"/>
      <c r="AA55" s="2"/>
      <c r="AB55" s="2"/>
      <c r="AC55" s="2"/>
      <c r="AD55" s="2"/>
      <c r="AE55" s="2"/>
      <c r="AF55" s="2"/>
      <c r="AG55" s="2"/>
      <c r="AH55" s="2"/>
      <c r="AI55" s="2"/>
      <c r="AJ55" s="2"/>
      <c r="AK55" s="2"/>
      <c r="AL55" s="2"/>
      <c r="AM55" s="2"/>
      <c r="AN55" s="2"/>
    </row>
    <row r="56" spans="1:40">
      <c r="Y56" s="2"/>
      <c r="Z56" s="2"/>
      <c r="AA56" s="2"/>
      <c r="AB56" s="2"/>
      <c r="AC56" s="2"/>
      <c r="AD56" s="2"/>
      <c r="AE56" s="2"/>
      <c r="AF56" s="2"/>
      <c r="AG56" s="2"/>
      <c r="AH56" s="2"/>
      <c r="AI56" s="2"/>
      <c r="AJ56" s="2"/>
      <c r="AK56" s="2"/>
      <c r="AL56" s="2"/>
      <c r="AM56" s="2"/>
      <c r="AN56" s="2"/>
    </row>
    <row r="57" spans="1:40">
      <c r="Y57" s="2"/>
      <c r="Z57" s="2"/>
      <c r="AA57" s="2"/>
      <c r="AB57" s="2"/>
      <c r="AC57" s="2"/>
      <c r="AD57" s="2"/>
      <c r="AE57" s="2"/>
      <c r="AF57" s="2"/>
      <c r="AG57" s="2"/>
      <c r="AH57" s="2"/>
      <c r="AI57" s="2"/>
      <c r="AJ57" s="2"/>
      <c r="AK57" s="2"/>
      <c r="AL57" s="2"/>
      <c r="AM57" s="2"/>
      <c r="AN57" s="2"/>
    </row>
    <row r="58" spans="1:40">
      <c r="G58" s="78"/>
      <c r="Y58" s="2"/>
      <c r="Z58" s="2"/>
      <c r="AA58" s="2"/>
      <c r="AB58" s="2"/>
      <c r="AC58" s="2"/>
      <c r="AD58" s="2"/>
      <c r="AE58" s="2"/>
      <c r="AF58" s="2"/>
      <c r="AG58" s="2"/>
      <c r="AH58" s="2"/>
      <c r="AI58" s="2"/>
      <c r="AJ58" s="2"/>
      <c r="AK58" s="2"/>
      <c r="AL58" s="2"/>
      <c r="AM58" s="2"/>
      <c r="AN58" s="2"/>
    </row>
    <row r="59" spans="1:40">
      <c r="G59" s="79"/>
      <c r="Y59" s="2"/>
      <c r="Z59" s="2"/>
      <c r="AA59" s="2"/>
      <c r="AB59" s="2"/>
      <c r="AC59" s="2"/>
      <c r="AD59" s="2"/>
      <c r="AE59" s="2"/>
      <c r="AF59" s="2"/>
      <c r="AG59" s="2"/>
      <c r="AH59" s="2"/>
      <c r="AI59" s="2"/>
      <c r="AJ59" s="2"/>
      <c r="AK59" s="2"/>
      <c r="AL59" s="2"/>
      <c r="AM59" s="2"/>
      <c r="AN59" s="2"/>
    </row>
    <row r="60" spans="1:40">
      <c r="Y60" s="2"/>
      <c r="Z60" s="2"/>
      <c r="AA60" s="2"/>
      <c r="AB60" s="2"/>
      <c r="AC60" s="2"/>
      <c r="AD60" s="2"/>
      <c r="AE60" s="2"/>
      <c r="AF60" s="2"/>
      <c r="AG60" s="2"/>
      <c r="AH60" s="2"/>
      <c r="AI60" s="2"/>
      <c r="AJ60" s="2"/>
      <c r="AK60" s="2"/>
      <c r="AL60" s="2"/>
      <c r="AM60" s="2"/>
      <c r="AN60" s="2"/>
    </row>
    <row r="61" spans="1:40">
      <c r="Y61" s="2"/>
      <c r="Z61" s="2"/>
      <c r="AA61" s="2"/>
      <c r="AB61" s="2"/>
      <c r="AC61" s="2"/>
      <c r="AD61" s="2"/>
      <c r="AE61" s="2"/>
      <c r="AF61" s="2"/>
      <c r="AG61" s="2"/>
      <c r="AH61" s="2"/>
      <c r="AI61" s="2"/>
      <c r="AJ61" s="2"/>
      <c r="AK61" s="2"/>
      <c r="AL61" s="2"/>
      <c r="AM61" s="2"/>
      <c r="AN61" s="2"/>
    </row>
    <row r="62" spans="1:40">
      <c r="Y62" s="2"/>
      <c r="Z62" s="2"/>
      <c r="AA62" s="2"/>
      <c r="AB62" s="2"/>
      <c r="AC62" s="2"/>
      <c r="AD62" s="2"/>
      <c r="AE62" s="2"/>
      <c r="AF62" s="2"/>
      <c r="AG62" s="2"/>
      <c r="AH62" s="2"/>
      <c r="AI62" s="2"/>
      <c r="AJ62" s="2"/>
      <c r="AK62" s="2"/>
      <c r="AL62" s="2"/>
      <c r="AM62" s="2"/>
      <c r="AN62" s="2"/>
    </row>
    <row r="63" spans="1:40">
      <c r="Y63" s="2"/>
      <c r="Z63" s="2"/>
      <c r="AA63" s="2"/>
      <c r="AB63" s="2"/>
      <c r="AC63" s="2"/>
      <c r="AD63" s="2"/>
      <c r="AE63" s="2"/>
      <c r="AF63" s="2"/>
      <c r="AG63" s="2"/>
      <c r="AH63" s="2"/>
      <c r="AI63" s="2"/>
      <c r="AJ63" s="2"/>
      <c r="AK63" s="2"/>
      <c r="AL63" s="2"/>
      <c r="AM63" s="2"/>
      <c r="AN63" s="2"/>
    </row>
    <row r="64" spans="1:40">
      <c r="Y64" s="2"/>
      <c r="Z64" s="2"/>
      <c r="AA64" s="2"/>
      <c r="AB64" s="2"/>
      <c r="AC64" s="2"/>
      <c r="AD64" s="2"/>
      <c r="AE64" s="2"/>
      <c r="AF64" s="2"/>
      <c r="AG64" s="2"/>
      <c r="AH64" s="2"/>
      <c r="AI64" s="2"/>
      <c r="AJ64" s="2"/>
      <c r="AK64" s="2"/>
      <c r="AL64" s="2"/>
      <c r="AM64" s="2"/>
      <c r="AN64" s="2"/>
    </row>
    <row r="65" spans="1:40">
      <c r="Y65" s="2"/>
      <c r="Z65" s="2"/>
      <c r="AA65" s="2"/>
      <c r="AB65" s="2"/>
      <c r="AC65" s="2"/>
      <c r="AD65" s="2"/>
      <c r="AE65" s="2"/>
      <c r="AF65" s="2"/>
      <c r="AG65" s="2"/>
      <c r="AH65" s="2"/>
      <c r="AI65" s="2"/>
      <c r="AJ65" s="2"/>
      <c r="AK65" s="2"/>
      <c r="AL65" s="2"/>
      <c r="AM65" s="2"/>
      <c r="AN65" s="2"/>
    </row>
    <row r="66" spans="1:40">
      <c r="Y66" s="2"/>
      <c r="Z66" s="2"/>
      <c r="AA66" s="2"/>
      <c r="AB66" s="2"/>
      <c r="AC66" s="2"/>
      <c r="AD66" s="2"/>
      <c r="AE66" s="2"/>
      <c r="AF66" s="2"/>
      <c r="AG66" s="2"/>
      <c r="AH66" s="2"/>
      <c r="AI66" s="2"/>
      <c r="AJ66" s="2"/>
      <c r="AK66" s="2"/>
      <c r="AL66" s="2"/>
      <c r="AM66" s="2"/>
      <c r="AN66" s="2"/>
    </row>
    <row r="67" spans="1:40" ht="18">
      <c r="A67" s="57"/>
      <c r="B67" s="58"/>
      <c r="C67" s="58"/>
      <c r="D67" s="58"/>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1:40" ht="15.6">
      <c r="A68" s="59"/>
      <c r="B68" s="55"/>
      <c r="C68" s="55"/>
      <c r="D68" s="55"/>
      <c r="E68" s="2"/>
      <c r="F68" s="2"/>
      <c r="G68" s="2"/>
      <c r="H68" s="2"/>
      <c r="I68" s="2"/>
      <c r="J68" s="2"/>
      <c r="K68" s="2"/>
      <c r="L68" s="2"/>
      <c r="M68" s="2"/>
      <c r="N68" s="2"/>
      <c r="O68" s="2"/>
      <c r="P68" s="2"/>
      <c r="Q68" s="2"/>
      <c r="R68" s="2"/>
      <c r="S68" s="2"/>
      <c r="T68" s="2"/>
      <c r="U68" s="2"/>
      <c r="V68" s="2"/>
      <c r="W68" s="2"/>
      <c r="X68" s="2"/>
    </row>
    <row r="69" spans="1:40" ht="15.6">
      <c r="A69" s="60"/>
      <c r="B69" s="55"/>
      <c r="C69" s="55"/>
      <c r="D69" s="55"/>
      <c r="E69" s="2"/>
      <c r="F69" s="2"/>
      <c r="G69" s="2"/>
      <c r="H69" s="2"/>
      <c r="I69" s="2"/>
      <c r="J69" s="2"/>
      <c r="K69" s="2"/>
      <c r="L69" s="2"/>
      <c r="M69" s="2"/>
      <c r="N69" s="2"/>
      <c r="O69" s="2"/>
      <c r="P69" s="2"/>
      <c r="Q69" s="2"/>
      <c r="R69" s="2"/>
      <c r="S69" s="2"/>
      <c r="T69" s="2"/>
      <c r="U69" s="2"/>
      <c r="V69" s="2"/>
      <c r="W69" s="2"/>
      <c r="X69" s="2"/>
    </row>
    <row r="70" spans="1:40" ht="15.6">
      <c r="A70" s="55"/>
      <c r="B70" s="55"/>
      <c r="C70" s="55"/>
      <c r="D70" s="55"/>
      <c r="E70" s="2"/>
      <c r="F70" s="2"/>
      <c r="G70" s="2"/>
      <c r="H70" s="2"/>
      <c r="I70" s="2"/>
      <c r="J70" s="2"/>
      <c r="K70" s="2"/>
      <c r="L70" s="2"/>
      <c r="M70" s="2"/>
      <c r="N70" s="2"/>
      <c r="O70" s="2"/>
      <c r="P70" s="2"/>
      <c r="Q70" s="2"/>
      <c r="R70" s="2"/>
      <c r="S70" s="2"/>
      <c r="T70" s="2"/>
      <c r="U70" s="2"/>
      <c r="V70" s="2"/>
      <c r="W70" s="2"/>
      <c r="X70" s="2"/>
    </row>
    <row r="71" spans="1:40" ht="15.6">
      <c r="A71" s="61"/>
      <c r="B71" s="55"/>
      <c r="C71" s="55"/>
      <c r="D71" s="55"/>
      <c r="E71" s="2"/>
      <c r="F71" s="2"/>
      <c r="G71" s="2"/>
      <c r="H71" s="2"/>
      <c r="I71" s="2"/>
      <c r="J71" s="2"/>
      <c r="K71" s="2"/>
      <c r="L71" s="2"/>
      <c r="M71" s="2"/>
      <c r="N71" s="2"/>
      <c r="O71" s="2"/>
      <c r="P71" s="2"/>
      <c r="Q71" s="2"/>
      <c r="R71" s="2"/>
      <c r="S71" s="2"/>
      <c r="T71" s="2"/>
      <c r="U71" s="2"/>
      <c r="V71" s="2"/>
      <c r="W71" s="2"/>
      <c r="X71" s="2"/>
    </row>
    <row r="72" spans="1:40" ht="15.6">
      <c r="A72" s="59"/>
      <c r="B72" s="55"/>
      <c r="C72" s="55"/>
      <c r="D72" s="55"/>
      <c r="E72" s="2"/>
      <c r="F72" s="2"/>
      <c r="G72" s="2"/>
      <c r="H72" s="2"/>
      <c r="I72" s="2"/>
      <c r="J72" s="2"/>
      <c r="K72" s="2"/>
      <c r="L72" s="2"/>
      <c r="M72" s="2"/>
      <c r="N72" s="2"/>
      <c r="O72" s="2"/>
      <c r="P72" s="2"/>
      <c r="Q72" s="2"/>
      <c r="R72" s="2"/>
      <c r="S72" s="2"/>
      <c r="T72" s="2"/>
      <c r="U72" s="2"/>
      <c r="V72" s="2"/>
      <c r="W72" s="2"/>
      <c r="X72" s="2"/>
    </row>
    <row r="73" spans="1:40" ht="15.6">
      <c r="A73" s="60"/>
      <c r="B73" s="55"/>
      <c r="C73" s="55"/>
      <c r="D73" s="55"/>
    </row>
    <row r="74" spans="1:40" ht="23.4">
      <c r="A74" s="56"/>
      <c r="B74" s="55"/>
      <c r="C74" s="55"/>
      <c r="D74" s="55"/>
    </row>
    <row r="75" spans="1:40" ht="15.6">
      <c r="A75" s="60"/>
      <c r="B75" s="55"/>
      <c r="C75" s="55"/>
      <c r="D75" s="55"/>
    </row>
    <row r="76" spans="1:40" ht="15.6">
      <c r="A76" s="55"/>
      <c r="B76" s="62"/>
      <c r="C76" s="62"/>
      <c r="D76" s="62"/>
    </row>
    <row r="77" spans="1:40" ht="15.6">
      <c r="A77" s="63"/>
      <c r="B77" s="55"/>
      <c r="C77" s="55"/>
      <c r="D77" s="55"/>
    </row>
    <row r="78" spans="1:40" ht="15.6">
      <c r="A78" s="55"/>
      <c r="B78" s="55"/>
      <c r="C78" s="55"/>
      <c r="D78" s="55"/>
    </row>
    <row r="79" spans="1:40" ht="15.6">
      <c r="A79" s="60"/>
      <c r="B79" s="64"/>
      <c r="C79" s="64"/>
      <c r="D79" s="64"/>
    </row>
    <row r="80" spans="1:40" ht="15.6">
      <c r="A80" s="55"/>
      <c r="B80" s="55"/>
      <c r="C80" s="55"/>
      <c r="D80" s="55"/>
    </row>
    <row r="81" spans="1:4" ht="15.6">
      <c r="A81" s="59"/>
      <c r="B81" s="55"/>
      <c r="C81" s="55"/>
      <c r="D81" s="55"/>
    </row>
    <row r="82" spans="1:4" ht="15.6">
      <c r="A82" s="55"/>
      <c r="B82" s="55"/>
      <c r="C82" s="55"/>
      <c r="D82" s="55"/>
    </row>
    <row r="83" spans="1:4" ht="25.8">
      <c r="A83" s="65"/>
      <c r="B83" s="55"/>
      <c r="C83" s="55"/>
      <c r="D83" s="55"/>
    </row>
    <row r="84" spans="1:4" ht="15.6">
      <c r="A84" s="55"/>
      <c r="B84" s="55"/>
      <c r="C84" s="55"/>
      <c r="D84" s="55"/>
    </row>
    <row r="85" spans="1:4" ht="15.6">
      <c r="A85" s="55"/>
      <c r="B85" s="62"/>
      <c r="C85" s="62"/>
      <c r="D85" s="62"/>
    </row>
    <row r="86" spans="1:4" ht="15.6">
      <c r="A86" s="55"/>
      <c r="B86" s="55"/>
      <c r="C86" s="55"/>
      <c r="D86" s="55"/>
    </row>
    <row r="87" spans="1:4" ht="15.6">
      <c r="A87" s="59"/>
      <c r="B87" s="55"/>
      <c r="C87" s="55"/>
      <c r="D87" s="55"/>
    </row>
    <row r="88" spans="1:4" ht="15.6">
      <c r="A88" s="55"/>
      <c r="B88" s="55"/>
      <c r="C88" s="55"/>
      <c r="D88" s="55"/>
    </row>
    <row r="89" spans="1:4" ht="15.6">
      <c r="A89" s="55"/>
      <c r="B89" s="62"/>
      <c r="C89" s="62"/>
      <c r="D89" s="62"/>
    </row>
    <row r="90" spans="1:4" ht="15.6">
      <c r="A90" s="55"/>
      <c r="B90" s="55"/>
      <c r="C90" s="55"/>
      <c r="D90" s="55"/>
    </row>
    <row r="91" spans="1:4" ht="15.6">
      <c r="A91" s="59"/>
      <c r="B91" s="55"/>
      <c r="C91" s="55"/>
      <c r="D91" s="55"/>
    </row>
    <row r="92" spans="1:4" ht="15.6">
      <c r="A92" s="55"/>
      <c r="B92" s="55"/>
      <c r="C92" s="55"/>
      <c r="D92" s="55"/>
    </row>
    <row r="93" spans="1:4" ht="15.6">
      <c r="A93" s="55"/>
      <c r="B93" s="55"/>
      <c r="C93" s="55"/>
      <c r="D93" s="55"/>
    </row>
    <row r="94" spans="1:4" ht="15.6">
      <c r="A94" s="55"/>
      <c r="B94" s="55"/>
      <c r="C94" s="55"/>
      <c r="D94" s="55"/>
    </row>
    <row r="95" spans="1:4" ht="15.6">
      <c r="A95" s="55"/>
      <c r="B95" s="55"/>
      <c r="C95" s="55"/>
      <c r="D95" s="55"/>
    </row>
  </sheetData>
  <mergeCells count="5">
    <mergeCell ref="AD5:AG5"/>
    <mergeCell ref="AD13:AG13"/>
    <mergeCell ref="AE30:AF30"/>
    <mergeCell ref="AG30:AH30"/>
    <mergeCell ref="A54:E5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5CEF-13FA-4290-9B35-10B4014529C4}">
  <dimension ref="A1:F36"/>
  <sheetViews>
    <sheetView workbookViewId="0"/>
  </sheetViews>
  <sheetFormatPr defaultRowHeight="14.4"/>
  <cols>
    <col min="1" max="1" width="41.88671875" customWidth="1"/>
    <col min="2" max="2" width="93.33203125" bestFit="1" customWidth="1"/>
  </cols>
  <sheetData>
    <row r="1" spans="1:6">
      <c r="A1" s="74"/>
      <c r="B1" s="2"/>
      <c r="C1" s="2"/>
      <c r="D1" s="2"/>
      <c r="E1" s="2"/>
      <c r="F1" s="2"/>
    </row>
    <row r="2" spans="1:6">
      <c r="A2" s="74"/>
      <c r="B2" s="8" t="s">
        <v>70</v>
      </c>
      <c r="C2" s="2"/>
      <c r="D2" s="2"/>
      <c r="E2" s="2"/>
      <c r="F2" s="2"/>
    </row>
    <row r="3" spans="1:6">
      <c r="A3" s="74"/>
      <c r="B3" s="8" t="s">
        <v>565</v>
      </c>
      <c r="C3" s="2"/>
      <c r="D3" s="2"/>
      <c r="E3" s="2"/>
      <c r="F3" s="2"/>
    </row>
    <row r="4" spans="1:6" ht="22.8">
      <c r="A4" s="73"/>
      <c r="B4" s="55"/>
      <c r="C4" s="55"/>
      <c r="D4" s="55"/>
      <c r="E4" s="2"/>
      <c r="F4" s="2"/>
    </row>
    <row r="5" spans="1:6" ht="23.4">
      <c r="A5" s="72" t="s">
        <v>71</v>
      </c>
      <c r="B5" s="55"/>
      <c r="C5" s="55"/>
      <c r="D5" s="55"/>
      <c r="E5" s="2"/>
      <c r="F5" s="2"/>
    </row>
    <row r="6" spans="1:6" ht="15.6">
      <c r="A6" s="71" t="s">
        <v>72</v>
      </c>
      <c r="B6" s="55"/>
      <c r="C6" s="55"/>
      <c r="D6" s="55"/>
      <c r="E6" s="2"/>
      <c r="F6" s="2"/>
    </row>
    <row r="7" spans="1:6" ht="15.6">
      <c r="A7" s="70"/>
      <c r="B7" s="55"/>
      <c r="C7" s="55"/>
      <c r="D7" s="55"/>
      <c r="E7" s="2"/>
      <c r="F7" s="2"/>
    </row>
    <row r="8" spans="1:6" ht="18">
      <c r="A8" s="57" t="s">
        <v>73</v>
      </c>
      <c r="B8" s="58" t="s">
        <v>564</v>
      </c>
      <c r="C8" s="66"/>
      <c r="D8" s="58"/>
      <c r="E8" s="2"/>
      <c r="F8" s="2"/>
    </row>
    <row r="9" spans="1:6" ht="187.2">
      <c r="A9" s="69" t="s">
        <v>566</v>
      </c>
      <c r="B9" s="55"/>
      <c r="C9" s="55"/>
      <c r="D9" s="55"/>
      <c r="E9" s="2"/>
      <c r="F9" s="2"/>
    </row>
    <row r="10" spans="1:6" ht="15.6">
      <c r="A10" s="60"/>
      <c r="B10" s="55"/>
      <c r="C10" s="55"/>
      <c r="D10" s="55"/>
      <c r="E10" s="2"/>
      <c r="F10" s="2"/>
    </row>
    <row r="11" spans="1:6" ht="15.6">
      <c r="A11" s="70" t="s">
        <v>74</v>
      </c>
      <c r="B11" s="62" t="s">
        <v>564</v>
      </c>
      <c r="C11" s="55" t="s">
        <v>75</v>
      </c>
      <c r="D11" s="55" t="s">
        <v>76</v>
      </c>
      <c r="E11" s="2"/>
      <c r="F11" s="2"/>
    </row>
    <row r="12" spans="1:6" ht="15.6">
      <c r="A12" s="68"/>
      <c r="B12" s="55"/>
      <c r="C12" s="55"/>
      <c r="D12" s="55"/>
      <c r="E12" s="2"/>
      <c r="F12" s="2"/>
    </row>
    <row r="13" spans="1:6" ht="78">
      <c r="A13" s="59" t="s">
        <v>77</v>
      </c>
      <c r="B13" s="55"/>
      <c r="C13" s="55"/>
      <c r="D13" s="55"/>
      <c r="E13" s="2"/>
      <c r="F13" s="2"/>
    </row>
    <row r="14" spans="1:6" ht="15.6">
      <c r="A14" s="60"/>
      <c r="B14" s="55"/>
      <c r="C14" s="55"/>
      <c r="D14" s="55"/>
    </row>
    <row r="15" spans="1:6" ht="21">
      <c r="A15" s="75" t="s">
        <v>78</v>
      </c>
      <c r="B15" s="55"/>
      <c r="C15" s="55"/>
      <c r="D15" s="55"/>
    </row>
    <row r="16" spans="1:6" ht="15.6">
      <c r="A16" s="60"/>
      <c r="B16" s="55"/>
      <c r="C16" s="55"/>
      <c r="D16" s="55"/>
    </row>
    <row r="17" spans="1:4" ht="15.6">
      <c r="A17" s="70" t="s">
        <v>79</v>
      </c>
      <c r="B17" s="62">
        <v>0.92</v>
      </c>
      <c r="C17" s="62"/>
      <c r="D17" s="62"/>
    </row>
    <row r="18" spans="1:4" ht="72.599999999999994">
      <c r="A18" s="63" t="s">
        <v>563</v>
      </c>
      <c r="B18" s="55"/>
      <c r="C18" s="55"/>
      <c r="D18" s="55"/>
    </row>
    <row r="19" spans="1:4" ht="15.6">
      <c r="A19" s="70"/>
      <c r="B19" s="55"/>
      <c r="C19" s="55"/>
      <c r="D19" s="55"/>
    </row>
    <row r="20" spans="1:4" ht="15.6">
      <c r="A20" s="76" t="s">
        <v>80</v>
      </c>
      <c r="B20" s="64">
        <v>11.12</v>
      </c>
      <c r="C20" s="64"/>
      <c r="D20" s="64"/>
    </row>
    <row r="21" spans="1:4" ht="15.6">
      <c r="A21" s="70"/>
      <c r="B21" s="55"/>
      <c r="C21" s="55"/>
      <c r="D21" s="55"/>
    </row>
    <row r="22" spans="1:4" ht="109.2">
      <c r="A22" s="69" t="s">
        <v>81</v>
      </c>
      <c r="B22" s="55"/>
      <c r="C22" s="55"/>
      <c r="D22" s="55"/>
    </row>
    <row r="23" spans="1:4" ht="15.6">
      <c r="A23" s="70"/>
      <c r="B23" s="55"/>
      <c r="C23" s="55"/>
      <c r="D23" s="55"/>
    </row>
    <row r="24" spans="1:4" ht="25.8">
      <c r="A24" s="67" t="s">
        <v>82</v>
      </c>
      <c r="B24" s="55"/>
      <c r="C24" s="55"/>
      <c r="D24" s="55"/>
    </row>
    <row r="25" spans="1:4" ht="15.6">
      <c r="A25" s="70"/>
      <c r="B25" s="55"/>
      <c r="C25" s="55"/>
      <c r="D25" s="55"/>
    </row>
    <row r="26" spans="1:4" ht="15.6">
      <c r="A26" s="70" t="s">
        <v>83</v>
      </c>
      <c r="B26" s="62" t="s">
        <v>84</v>
      </c>
      <c r="C26" s="62"/>
      <c r="D26" s="62"/>
    </row>
    <row r="27" spans="1:4" ht="15.6">
      <c r="A27" s="70"/>
      <c r="B27" s="55"/>
      <c r="C27" s="55"/>
      <c r="D27" s="55"/>
    </row>
    <row r="28" spans="1:4" ht="124.8">
      <c r="A28" s="69" t="s">
        <v>561</v>
      </c>
      <c r="B28" s="55"/>
      <c r="C28" s="55"/>
      <c r="D28" s="55"/>
    </row>
    <row r="29" spans="1:4" ht="15.6">
      <c r="A29" s="70"/>
      <c r="B29" s="55"/>
      <c r="C29" s="55"/>
      <c r="D29" s="55"/>
    </row>
    <row r="30" spans="1:4" ht="15.6">
      <c r="A30" s="70" t="s">
        <v>85</v>
      </c>
      <c r="B30" s="62" t="s">
        <v>86</v>
      </c>
      <c r="C30" s="62"/>
      <c r="D30" s="62"/>
    </row>
    <row r="31" spans="1:4" ht="15.6">
      <c r="A31" s="70"/>
      <c r="B31" s="55"/>
      <c r="C31" s="55"/>
      <c r="D31" s="55"/>
    </row>
    <row r="32" spans="1:4" ht="156">
      <c r="A32" s="69" t="s">
        <v>562</v>
      </c>
      <c r="B32" s="55"/>
      <c r="C32" s="55"/>
      <c r="D32" s="55"/>
    </row>
    <row r="33" spans="1:4" ht="15.6">
      <c r="A33" s="70"/>
      <c r="B33" s="55"/>
      <c r="C33" s="55"/>
      <c r="D33" s="55"/>
    </row>
    <row r="34" spans="1:4" ht="15.6">
      <c r="A34" s="70"/>
      <c r="B34" s="55"/>
      <c r="C34" s="55"/>
      <c r="D34" s="55"/>
    </row>
    <row r="35" spans="1:4" ht="15.6">
      <c r="A35" s="70"/>
      <c r="B35" s="55"/>
      <c r="C35" s="55"/>
      <c r="D35" s="55"/>
    </row>
    <row r="36" spans="1:4" ht="15.6">
      <c r="A36" s="70"/>
      <c r="B36" s="55"/>
      <c r="C36" s="55"/>
      <c r="D36" s="55"/>
    </row>
  </sheetData>
  <hyperlinks>
    <hyperlink ref="B2" r:id="rId1" xr:uid="{4D4F69AF-E3D3-443A-83B9-E5392A7744A6}"/>
    <hyperlink ref="B3" r:id="rId2" display="https://www.macrotrends.net/stocks/charts/GS/goldman-sachs/current-ratio" xr:uid="{C71B4AF0-8E5F-4655-B85A-BB9188E55F4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A8D2C-03FA-4250-8F87-E839E3789A6F}">
  <dimension ref="A1:W81"/>
  <sheetViews>
    <sheetView topLeftCell="A6" workbookViewId="0">
      <selection activeCell="A6" sqref="A6"/>
    </sheetView>
  </sheetViews>
  <sheetFormatPr defaultRowHeight="14.4"/>
  <cols>
    <col min="2" max="2" width="23.44140625" customWidth="1"/>
    <col min="3" max="3" width="30" customWidth="1"/>
    <col min="4" max="4" width="20.88671875" bestFit="1" customWidth="1"/>
    <col min="5" max="5" width="13.33203125" bestFit="1" customWidth="1"/>
    <col min="7" max="7" width="21.33203125" bestFit="1" customWidth="1"/>
    <col min="9" max="9" width="27" bestFit="1" customWidth="1"/>
    <col min="10" max="10" width="25.77734375" bestFit="1" customWidth="1"/>
    <col min="12" max="12" width="28" bestFit="1" customWidth="1"/>
    <col min="13" max="13" width="11.44140625" bestFit="1" customWidth="1"/>
    <col min="14" max="14" width="12.44140625" bestFit="1" customWidth="1"/>
    <col min="17" max="17" width="27" bestFit="1" customWidth="1"/>
    <col min="18" max="18" width="16.5546875" bestFit="1" customWidth="1"/>
    <col min="19" max="19" width="12" bestFit="1" customWidth="1"/>
    <col min="20" max="20" width="13.5546875" customWidth="1"/>
    <col min="21" max="21" width="12" bestFit="1" customWidth="1"/>
  </cols>
  <sheetData>
    <row r="1" spans="1:8">
      <c r="A1" s="105" t="s">
        <v>87</v>
      </c>
      <c r="B1" s="105"/>
      <c r="C1" s="105"/>
      <c r="D1" s="105"/>
      <c r="E1" s="105"/>
      <c r="F1" s="105"/>
      <c r="G1" s="105"/>
      <c r="H1" s="105"/>
    </row>
    <row r="2" spans="1:8">
      <c r="A2" s="105"/>
      <c r="B2" s="105"/>
      <c r="C2" s="105"/>
      <c r="D2" s="105"/>
      <c r="E2" s="105"/>
      <c r="F2" s="105"/>
      <c r="G2" s="105"/>
      <c r="H2" s="105"/>
    </row>
    <row r="3" spans="1:8">
      <c r="A3" s="104" t="s">
        <v>88</v>
      </c>
      <c r="B3" s="104"/>
      <c r="C3" s="104"/>
      <c r="D3" s="104"/>
      <c r="E3" s="104"/>
      <c r="F3" s="104"/>
      <c r="G3" s="104"/>
      <c r="H3" s="104"/>
    </row>
    <row r="4" spans="1:8">
      <c r="A4" s="104" t="s">
        <v>89</v>
      </c>
      <c r="B4" s="104"/>
      <c r="C4" s="104"/>
      <c r="D4" s="104"/>
      <c r="E4" s="104"/>
      <c r="F4" s="104"/>
      <c r="G4" s="104"/>
      <c r="H4" s="104"/>
    </row>
    <row r="5" spans="1:8">
      <c r="A5" s="2"/>
      <c r="B5" s="2"/>
      <c r="C5" s="2"/>
      <c r="D5" s="2"/>
      <c r="E5" s="2"/>
    </row>
    <row r="6" spans="1:8">
      <c r="A6" s="2"/>
      <c r="B6" s="2"/>
      <c r="C6" s="2"/>
      <c r="D6" s="2"/>
      <c r="E6" s="2"/>
    </row>
    <row r="7" spans="1:8">
      <c r="A7" s="105" t="s">
        <v>90</v>
      </c>
      <c r="B7" s="105"/>
      <c r="C7" s="105"/>
      <c r="D7" s="105"/>
      <c r="E7" s="105"/>
      <c r="F7" s="105"/>
      <c r="G7" s="105"/>
    </row>
    <row r="8" spans="1:8">
      <c r="A8" s="2"/>
      <c r="B8" s="21"/>
      <c r="C8" s="21"/>
      <c r="D8" s="21"/>
      <c r="E8" s="21"/>
    </row>
    <row r="9" spans="1:8">
      <c r="A9" s="22" t="s">
        <v>91</v>
      </c>
      <c r="B9" s="2"/>
      <c r="C9" s="2"/>
      <c r="D9" s="2"/>
      <c r="E9" s="2"/>
    </row>
    <row r="10" spans="1:8">
      <c r="A10" s="22" t="s">
        <v>92</v>
      </c>
      <c r="B10" s="2"/>
      <c r="C10" s="2"/>
      <c r="D10" s="2"/>
      <c r="E10" s="2"/>
    </row>
    <row r="11" spans="1:8">
      <c r="A11" s="22" t="s">
        <v>93</v>
      </c>
      <c r="B11" s="2"/>
      <c r="C11" s="2"/>
      <c r="D11" s="2"/>
      <c r="E11" s="2"/>
    </row>
    <row r="12" spans="1:8">
      <c r="A12" s="2"/>
      <c r="B12" s="2"/>
      <c r="C12" s="2"/>
      <c r="D12" s="2"/>
      <c r="E12" s="2"/>
    </row>
    <row r="13" spans="1:8">
      <c r="A13" s="2"/>
      <c r="B13" s="2"/>
      <c r="C13" s="2"/>
      <c r="D13" s="2"/>
      <c r="E13" s="2"/>
    </row>
    <row r="14" spans="1:8">
      <c r="A14" s="2"/>
      <c r="B14" s="2"/>
      <c r="C14" s="2"/>
      <c r="D14" s="2"/>
      <c r="E14" s="2"/>
    </row>
    <row r="15" spans="1:8">
      <c r="A15" s="105" t="s">
        <v>94</v>
      </c>
      <c r="B15" s="105"/>
      <c r="C15" s="105"/>
      <c r="D15" s="105"/>
      <c r="E15" s="105"/>
      <c r="F15" s="105"/>
      <c r="G15" s="105"/>
    </row>
    <row r="16" spans="1:8">
      <c r="A16" s="2" t="s">
        <v>95</v>
      </c>
      <c r="B16" s="2"/>
      <c r="C16" s="2"/>
      <c r="D16" s="2"/>
      <c r="E16" s="2"/>
    </row>
    <row r="17" spans="1:23">
      <c r="A17" s="2" t="s">
        <v>96</v>
      </c>
      <c r="B17" s="2"/>
      <c r="C17" s="2"/>
      <c r="D17" s="2"/>
      <c r="E17" s="2"/>
    </row>
    <row r="18" spans="1:23">
      <c r="A18" s="2" t="s">
        <v>97</v>
      </c>
      <c r="B18" s="2"/>
      <c r="C18" s="2"/>
      <c r="D18" s="2"/>
      <c r="E18" s="2"/>
    </row>
    <row r="19" spans="1:23">
      <c r="N19" s="2"/>
      <c r="O19" s="2"/>
      <c r="P19" s="2"/>
      <c r="Q19" s="2"/>
      <c r="R19" s="2"/>
    </row>
    <row r="20" spans="1:23">
      <c r="A20" t="s">
        <v>98</v>
      </c>
    </row>
    <row r="23" spans="1:23">
      <c r="A23" t="s">
        <v>99</v>
      </c>
      <c r="Q23" s="103" t="s">
        <v>573</v>
      </c>
      <c r="R23" s="103"/>
      <c r="S23" s="103"/>
      <c r="T23" s="103"/>
      <c r="U23" s="21"/>
      <c r="V23" s="21"/>
      <c r="W23" s="21"/>
    </row>
    <row r="24" spans="1:23">
      <c r="C24" s="88"/>
      <c r="D24" s="88">
        <v>2018</v>
      </c>
      <c r="E24" s="88">
        <v>2019</v>
      </c>
      <c r="F24" s="88">
        <v>2020</v>
      </c>
      <c r="G24" s="88">
        <v>2021</v>
      </c>
      <c r="Q24" s="2"/>
      <c r="R24" s="2"/>
      <c r="S24" s="2"/>
      <c r="T24" s="2"/>
      <c r="U24" s="2"/>
    </row>
    <row r="25" spans="1:23">
      <c r="C25" s="88" t="s">
        <v>100</v>
      </c>
      <c r="D25" s="88">
        <v>390</v>
      </c>
      <c r="E25" s="88">
        <v>376</v>
      </c>
      <c r="F25" s="88">
        <v>360</v>
      </c>
      <c r="G25" s="88">
        <v>356</v>
      </c>
      <c r="Q25" s="101" t="s">
        <v>567</v>
      </c>
      <c r="R25" s="101"/>
      <c r="S25" s="101"/>
      <c r="T25" s="101"/>
      <c r="U25" s="2"/>
    </row>
    <row r="26" spans="1:23">
      <c r="C26" s="88" t="s">
        <v>104</v>
      </c>
      <c r="D26" s="88">
        <f>D27/D25</f>
        <v>159.32820512820513</v>
      </c>
      <c r="E26" s="88">
        <f t="shared" ref="E26:G26" si="0">E27/E25</f>
        <v>216.52925531914894</v>
      </c>
      <c r="F26" s="88">
        <f t="shared" si="0"/>
        <v>252.03888888888889</v>
      </c>
      <c r="G26" s="88">
        <f t="shared" si="0"/>
        <v>359.76123595505618</v>
      </c>
      <c r="Q26" s="90" t="s">
        <v>575</v>
      </c>
      <c r="R26" s="90" t="s">
        <v>101</v>
      </c>
      <c r="S26" s="30" t="s">
        <v>102</v>
      </c>
      <c r="T26" s="29" t="s">
        <v>103</v>
      </c>
      <c r="U26" s="2"/>
    </row>
    <row r="27" spans="1:23">
      <c r="C27" s="88" t="s">
        <v>106</v>
      </c>
      <c r="D27" s="88">
        <v>62138</v>
      </c>
      <c r="E27" s="88">
        <v>81415</v>
      </c>
      <c r="F27" s="88">
        <v>90734</v>
      </c>
      <c r="G27" s="88">
        <v>128075</v>
      </c>
      <c r="Q27" s="90" t="s">
        <v>105</v>
      </c>
      <c r="R27" s="90">
        <f>S27*T27</f>
        <v>98.654399999999995</v>
      </c>
      <c r="S27" s="89">
        <v>8.16</v>
      </c>
      <c r="T27" s="29">
        <v>12.09</v>
      </c>
      <c r="U27" s="2"/>
    </row>
    <row r="28" spans="1:23">
      <c r="C28" s="88" t="s">
        <v>108</v>
      </c>
      <c r="D28" s="88">
        <v>841.61099999999999</v>
      </c>
      <c r="E28" s="88">
        <v>902.70299999999997</v>
      </c>
      <c r="F28" s="88">
        <v>1067.0899999999999</v>
      </c>
      <c r="G28" s="88">
        <v>1336.933</v>
      </c>
      <c r="Q28" s="90" t="s">
        <v>107</v>
      </c>
      <c r="R28" s="94">
        <f t="shared" ref="R28:R29" si="1">S28*T28</f>
        <v>154.82340000000002</v>
      </c>
      <c r="S28" s="95">
        <v>15.39</v>
      </c>
      <c r="T28" s="32">
        <v>10.06</v>
      </c>
      <c r="U28" s="2"/>
    </row>
    <row r="29" spans="1:23">
      <c r="C29" s="88" t="s">
        <v>110</v>
      </c>
      <c r="D29" s="88">
        <v>405.09</v>
      </c>
      <c r="E29" s="88">
        <v>355.30799999999999</v>
      </c>
      <c r="F29" s="88">
        <v>406.06200000000001</v>
      </c>
      <c r="G29" s="88">
        <v>611.56299999999999</v>
      </c>
      <c r="Q29" s="92" t="s">
        <v>109</v>
      </c>
      <c r="R29" s="90">
        <f t="shared" si="1"/>
        <v>42.911999999999999</v>
      </c>
      <c r="S29" s="90">
        <v>3.6</v>
      </c>
      <c r="T29" s="30">
        <v>11.92</v>
      </c>
      <c r="U29" s="2"/>
    </row>
    <row r="30" spans="1:23">
      <c r="C30" s="88" t="s">
        <v>111</v>
      </c>
      <c r="D30" s="88">
        <f>D27+D29-D28</f>
        <v>61701.478999999999</v>
      </c>
      <c r="E30" s="88">
        <f t="shared" ref="E30:G30" si="2">E27+E29-E28</f>
        <v>80867.60500000001</v>
      </c>
      <c r="F30" s="88">
        <f t="shared" si="2"/>
        <v>90072.972000000009</v>
      </c>
      <c r="G30" s="88">
        <f t="shared" si="2"/>
        <v>127349.62999999999</v>
      </c>
      <c r="Q30" s="33" t="s">
        <v>69</v>
      </c>
      <c r="R30" s="96"/>
      <c r="S30" s="97"/>
      <c r="T30" s="93">
        <f ca="1">AVERAGE(T27:T30)</f>
        <v>11.356666666666667</v>
      </c>
      <c r="U30" s="2"/>
    </row>
    <row r="31" spans="1:23">
      <c r="Q31" s="2"/>
      <c r="R31" s="2"/>
      <c r="S31" s="2"/>
      <c r="T31" s="2"/>
      <c r="U31" s="2"/>
    </row>
    <row r="32" spans="1:23">
      <c r="Q32" s="2"/>
      <c r="R32" s="2"/>
      <c r="S32" s="2"/>
      <c r="T32" s="2"/>
      <c r="U32" s="2"/>
    </row>
    <row r="33" spans="1:21">
      <c r="Q33" s="102" t="s">
        <v>568</v>
      </c>
      <c r="R33" s="102"/>
      <c r="S33" s="102"/>
      <c r="T33" s="102"/>
    </row>
    <row r="34" spans="1:21" ht="28.8">
      <c r="A34" t="s">
        <v>98</v>
      </c>
      <c r="C34" s="8" t="s">
        <v>116</v>
      </c>
      <c r="Q34" s="31"/>
      <c r="R34" s="31" t="s">
        <v>112</v>
      </c>
      <c r="S34" s="31" t="s">
        <v>113</v>
      </c>
      <c r="T34" s="31" t="s">
        <v>114</v>
      </c>
      <c r="U34" s="31" t="s">
        <v>115</v>
      </c>
    </row>
    <row r="35" spans="1:21">
      <c r="A35" s="16"/>
      <c r="D35" t="s">
        <v>117</v>
      </c>
      <c r="Q35" t="s">
        <v>117</v>
      </c>
      <c r="R35" s="29">
        <v>60.25</v>
      </c>
      <c r="S35" s="29">
        <f ca="1">T30*R35</f>
        <v>684.23916666666673</v>
      </c>
      <c r="T35" s="29">
        <v>351</v>
      </c>
      <c r="U35" s="29">
        <f ca="1">T35*S35</f>
        <v>240167.94750000001</v>
      </c>
    </row>
    <row r="36" spans="1:21">
      <c r="Q36" s="2"/>
      <c r="R36" s="2"/>
      <c r="S36" s="2"/>
      <c r="T36" s="2"/>
      <c r="U36" s="2"/>
    </row>
    <row r="37" spans="1:21">
      <c r="C37" s="88" t="s">
        <v>122</v>
      </c>
      <c r="D37" s="90" t="s">
        <v>574</v>
      </c>
      <c r="E37" s="90" t="s">
        <v>127</v>
      </c>
      <c r="F37" s="88" t="s">
        <v>123</v>
      </c>
      <c r="H37" t="s">
        <v>118</v>
      </c>
    </row>
    <row r="38" spans="1:21">
      <c r="C38" s="88">
        <v>2018</v>
      </c>
      <c r="D38" s="88">
        <f>E38/F38</f>
        <v>1868.0435664547381</v>
      </c>
      <c r="E38" s="88">
        <f>D30</f>
        <v>61701.478999999999</v>
      </c>
      <c r="F38" s="88">
        <v>33.03</v>
      </c>
      <c r="I38" t="s">
        <v>119</v>
      </c>
      <c r="J38" t="s">
        <v>120</v>
      </c>
      <c r="K38" t="s">
        <v>15</v>
      </c>
      <c r="L38" t="s">
        <v>121</v>
      </c>
    </row>
    <row r="39" spans="1:21">
      <c r="C39" s="88">
        <v>2019</v>
      </c>
      <c r="D39" s="88">
        <f>E39/F39</f>
        <v>1939.2711031175061</v>
      </c>
      <c r="E39" s="88">
        <f>E30</f>
        <v>80867.60500000001</v>
      </c>
      <c r="F39" s="88">
        <v>41.7</v>
      </c>
      <c r="I39">
        <v>2022</v>
      </c>
      <c r="J39">
        <f>F42</f>
        <v>32.977500000000006</v>
      </c>
      <c r="K39" s="2">
        <v>51824805.100000001</v>
      </c>
      <c r="L39">
        <f>PRODUCT(J39:K39)</f>
        <v>1709052510.1852503</v>
      </c>
    </row>
    <row r="40" spans="1:21">
      <c r="C40" s="88">
        <v>2020</v>
      </c>
      <c r="D40" s="88">
        <f>E40/F40</f>
        <v>2563.9900939368063</v>
      </c>
      <c r="E40" s="88">
        <f>F30</f>
        <v>90072.972000000009</v>
      </c>
      <c r="F40" s="88">
        <v>35.130000000000003</v>
      </c>
    </row>
    <row r="41" spans="1:21">
      <c r="C41" s="88">
        <v>2021</v>
      </c>
      <c r="D41" s="88">
        <f>E41/F41</f>
        <v>5775.4934240362809</v>
      </c>
      <c r="E41" s="88">
        <f>G30</f>
        <v>127349.62999999999</v>
      </c>
      <c r="F41" s="88">
        <v>22.05</v>
      </c>
    </row>
    <row r="42" spans="1:21">
      <c r="C42" t="s">
        <v>124</v>
      </c>
      <c r="F42">
        <f>AVERAGE(F38:F41)</f>
        <v>32.977500000000006</v>
      </c>
    </row>
    <row r="44" spans="1:21">
      <c r="A44" s="2"/>
      <c r="B44" s="2" t="s">
        <v>105</v>
      </c>
      <c r="C44" s="2"/>
      <c r="D44" s="2"/>
      <c r="E44" s="2"/>
      <c r="F44" s="2"/>
      <c r="G44" s="2"/>
      <c r="H44" s="2"/>
      <c r="I44" s="2"/>
      <c r="J44" s="2"/>
    </row>
    <row r="45" spans="1:21">
      <c r="A45" s="2" t="s">
        <v>125</v>
      </c>
      <c r="B45" s="2" t="s">
        <v>126</v>
      </c>
      <c r="C45" s="2" t="s">
        <v>127</v>
      </c>
      <c r="D45" s="2" t="s">
        <v>128</v>
      </c>
      <c r="E45" s="2"/>
      <c r="F45" s="2"/>
      <c r="G45" s="2" t="s">
        <v>129</v>
      </c>
      <c r="H45" s="2"/>
      <c r="I45" t="s">
        <v>572</v>
      </c>
      <c r="J45" s="2"/>
    </row>
    <row r="46" spans="1:21">
      <c r="A46" s="2"/>
      <c r="B46" s="2"/>
      <c r="C46" s="2"/>
      <c r="D46" s="2"/>
      <c r="E46" s="2"/>
      <c r="F46" s="2"/>
      <c r="G46" s="2" t="s">
        <v>105</v>
      </c>
      <c r="H46" s="2" t="s">
        <v>107</v>
      </c>
      <c r="I46" s="2" t="s">
        <v>109</v>
      </c>
      <c r="J46" s="2" t="s">
        <v>69</v>
      </c>
    </row>
    <row r="47" spans="1:21">
      <c r="A47" s="2">
        <v>2018</v>
      </c>
      <c r="B47" s="34">
        <v>13.081</v>
      </c>
      <c r="C47" s="34">
        <f>D47*B47</f>
        <v>178.55564999999999</v>
      </c>
      <c r="D47" s="34">
        <v>13.65</v>
      </c>
      <c r="E47" s="2"/>
      <c r="F47" s="2" t="s">
        <v>121</v>
      </c>
      <c r="G47" s="40">
        <v>178.55564999999999</v>
      </c>
      <c r="H47" s="34">
        <v>422.04579999999999</v>
      </c>
      <c r="I47" s="34">
        <v>235.65949999999998</v>
      </c>
      <c r="J47" s="34">
        <f t="shared" ref="J47:J48" si="3">AVERAGE(G47:I47)</f>
        <v>278.75364999999999</v>
      </c>
    </row>
    <row r="48" spans="1:21">
      <c r="A48" s="2">
        <v>2019</v>
      </c>
      <c r="B48" s="34">
        <v>13.944000000000001</v>
      </c>
      <c r="C48" s="34">
        <f t="shared" ref="C48:C49" si="4">D48*B48</f>
        <v>209.57831999999999</v>
      </c>
      <c r="D48" s="34">
        <v>15.03</v>
      </c>
      <c r="E48" s="2"/>
      <c r="F48" s="2" t="s">
        <v>15</v>
      </c>
      <c r="G48" s="34">
        <v>13.081</v>
      </c>
      <c r="H48" s="34">
        <v>46.79</v>
      </c>
      <c r="I48" s="34">
        <v>36.65</v>
      </c>
      <c r="J48" s="34">
        <f t="shared" si="3"/>
        <v>32.173666666666662</v>
      </c>
    </row>
    <row r="49" spans="1:10">
      <c r="A49" s="2">
        <v>2020</v>
      </c>
      <c r="B49" s="34">
        <v>18.187000000000001</v>
      </c>
      <c r="C49" s="34">
        <f t="shared" si="4"/>
        <v>248.98003</v>
      </c>
      <c r="D49" s="35">
        <v>13.69</v>
      </c>
      <c r="E49" s="2"/>
      <c r="F49" s="2" t="s">
        <v>130</v>
      </c>
      <c r="G49" s="34">
        <f>G47/G48</f>
        <v>13.649999999999999</v>
      </c>
      <c r="H49" s="34">
        <f t="shared" ref="H49:I49" si="5">H47/H48</f>
        <v>9.02</v>
      </c>
      <c r="I49" s="34">
        <f t="shared" si="5"/>
        <v>6.43</v>
      </c>
      <c r="J49" s="34">
        <f>AVERAGE(G49:I49)</f>
        <v>9.6999999999999993</v>
      </c>
    </row>
    <row r="50" spans="1:10">
      <c r="A50" s="2">
        <v>2021</v>
      </c>
      <c r="B50" s="35">
        <v>23.599</v>
      </c>
      <c r="C50" s="34">
        <f>D50*B50</f>
        <v>289.79571999999996</v>
      </c>
      <c r="D50" s="35">
        <v>12.28</v>
      </c>
      <c r="E50" s="2"/>
      <c r="F50" s="2"/>
      <c r="G50" s="2"/>
      <c r="H50" s="2"/>
      <c r="I50" s="2"/>
      <c r="J50" s="2"/>
    </row>
    <row r="51" spans="1:10">
      <c r="A51" s="2"/>
      <c r="B51" s="2"/>
      <c r="C51" s="2"/>
      <c r="D51" s="2"/>
      <c r="E51" s="2"/>
      <c r="F51" s="2"/>
      <c r="G51" s="2" t="s">
        <v>131</v>
      </c>
      <c r="H51" s="2"/>
      <c r="I51" s="2"/>
      <c r="J51" s="2"/>
    </row>
    <row r="52" spans="1:10">
      <c r="A52" s="2"/>
      <c r="B52" s="2"/>
      <c r="C52" s="2"/>
      <c r="D52" s="2"/>
      <c r="E52" s="2"/>
      <c r="F52" s="2"/>
      <c r="G52" s="2" t="s">
        <v>105</v>
      </c>
      <c r="H52" s="2" t="s">
        <v>107</v>
      </c>
      <c r="I52" s="2" t="s">
        <v>109</v>
      </c>
      <c r="J52" s="2" t="s">
        <v>69</v>
      </c>
    </row>
    <row r="53" spans="1:10">
      <c r="A53" s="2"/>
      <c r="B53" s="2"/>
      <c r="C53" s="2"/>
      <c r="D53" s="2"/>
      <c r="E53" s="2"/>
      <c r="F53" s="2" t="s">
        <v>121</v>
      </c>
      <c r="G53" s="40">
        <v>209.57831999999999</v>
      </c>
      <c r="H53" s="34">
        <v>773.80799999999999</v>
      </c>
      <c r="I53" s="34">
        <v>356.52319999999997</v>
      </c>
      <c r="J53" s="34">
        <f t="shared" ref="J53:J54" si="6">AVERAGE(G53:I53)</f>
        <v>446.63650666666666</v>
      </c>
    </row>
    <row r="54" spans="1:10">
      <c r="A54" s="2"/>
      <c r="B54" s="2" t="s">
        <v>107</v>
      </c>
      <c r="C54" s="2"/>
      <c r="D54" s="2"/>
      <c r="E54" s="2"/>
      <c r="F54" s="2" t="s">
        <v>15</v>
      </c>
      <c r="G54" s="34">
        <v>13.944000000000001</v>
      </c>
      <c r="H54" s="37">
        <v>51.45</v>
      </c>
      <c r="I54" s="34">
        <v>34.479999999999997</v>
      </c>
      <c r="J54" s="34">
        <f t="shared" si="6"/>
        <v>33.291333333333334</v>
      </c>
    </row>
    <row r="55" spans="1:10">
      <c r="A55" s="2" t="s">
        <v>125</v>
      </c>
      <c r="B55" s="2" t="s">
        <v>126</v>
      </c>
      <c r="C55" s="2" t="s">
        <v>127</v>
      </c>
      <c r="D55" s="2" t="s">
        <v>132</v>
      </c>
      <c r="E55" s="2"/>
      <c r="F55" s="2" t="s">
        <v>130</v>
      </c>
      <c r="G55" s="34">
        <f>G53/G54</f>
        <v>15.029999999999998</v>
      </c>
      <c r="H55" s="34">
        <f t="shared" ref="H55" si="7">H53/H54</f>
        <v>15.04</v>
      </c>
      <c r="I55" s="34">
        <f t="shared" ref="I55" si="8">I53/I54</f>
        <v>10.34</v>
      </c>
      <c r="J55" s="34">
        <f>AVERAGE(G55:I55)</f>
        <v>13.469999999999999</v>
      </c>
    </row>
    <row r="56" spans="1:10">
      <c r="A56" s="2"/>
      <c r="B56" s="2"/>
      <c r="C56" s="2"/>
      <c r="D56" s="2"/>
      <c r="E56" s="2"/>
      <c r="F56" s="2"/>
      <c r="G56" s="23"/>
      <c r="H56" s="2"/>
      <c r="I56" s="2"/>
      <c r="J56" s="2"/>
    </row>
    <row r="57" spans="1:10">
      <c r="A57" s="2">
        <v>2018</v>
      </c>
      <c r="B57" s="36">
        <v>46.79</v>
      </c>
      <c r="C57" s="37">
        <f>D57*B57</f>
        <v>422.04579999999999</v>
      </c>
      <c r="D57" s="37">
        <v>9.02</v>
      </c>
      <c r="E57" s="2"/>
      <c r="F57" s="2"/>
      <c r="G57" s="2" t="s">
        <v>133</v>
      </c>
      <c r="H57" s="2"/>
      <c r="I57" s="2"/>
      <c r="J57" s="2"/>
    </row>
    <row r="58" spans="1:10">
      <c r="A58" s="2">
        <v>2019</v>
      </c>
      <c r="B58" s="37">
        <v>51.45</v>
      </c>
      <c r="C58" s="37">
        <f t="shared" ref="C58:C60" si="9">D58*B58</f>
        <v>773.80799999999999</v>
      </c>
      <c r="D58" s="36">
        <v>15.04</v>
      </c>
      <c r="E58" s="2"/>
      <c r="F58" s="2"/>
      <c r="G58" s="2" t="s">
        <v>105</v>
      </c>
      <c r="H58" s="2" t="s">
        <v>107</v>
      </c>
      <c r="I58" s="2" t="s">
        <v>109</v>
      </c>
      <c r="J58" s="2" t="s">
        <v>69</v>
      </c>
    </row>
    <row r="59" spans="1:10">
      <c r="A59" s="2">
        <v>2020</v>
      </c>
      <c r="B59" s="37">
        <v>42.71</v>
      </c>
      <c r="C59" s="37">
        <f t="shared" si="9"/>
        <v>457.42410000000007</v>
      </c>
      <c r="D59" s="38">
        <v>10.71</v>
      </c>
      <c r="E59" s="2"/>
      <c r="F59" s="2" t="s">
        <v>121</v>
      </c>
      <c r="G59" s="40">
        <v>248.98003</v>
      </c>
      <c r="H59" s="34">
        <v>457.42410000000007</v>
      </c>
      <c r="I59" s="34">
        <v>93.78</v>
      </c>
      <c r="J59" s="34">
        <f t="shared" ref="J59:J60" si="10">AVERAGE(G59:I59)</f>
        <v>266.72804333333335</v>
      </c>
    </row>
    <row r="60" spans="1:10">
      <c r="A60" s="2">
        <v>2021</v>
      </c>
      <c r="B60" s="37">
        <v>65.66</v>
      </c>
      <c r="C60" s="37">
        <f t="shared" si="9"/>
        <v>311.88499999999999</v>
      </c>
      <c r="D60" s="37">
        <v>4.75</v>
      </c>
      <c r="E60" s="2"/>
      <c r="F60" s="2" t="s">
        <v>15</v>
      </c>
      <c r="G60" s="34">
        <v>18.187000000000001</v>
      </c>
      <c r="H60" s="37">
        <v>42.71</v>
      </c>
      <c r="I60" s="34">
        <v>20.84</v>
      </c>
      <c r="J60" s="34">
        <f t="shared" si="10"/>
        <v>27.245666666666668</v>
      </c>
    </row>
    <row r="61" spans="1:10">
      <c r="A61" s="2"/>
      <c r="B61" s="2"/>
      <c r="C61" s="2"/>
      <c r="D61" s="2"/>
      <c r="E61" s="2"/>
      <c r="F61" s="2" t="s">
        <v>130</v>
      </c>
      <c r="G61" s="34">
        <f>G59/G60</f>
        <v>13.69</v>
      </c>
      <c r="H61" s="34">
        <f t="shared" ref="H61" si="11">H59/H60</f>
        <v>10.71</v>
      </c>
      <c r="I61" s="34">
        <f t="shared" ref="I61" si="12">I59/I60</f>
        <v>4.5</v>
      </c>
      <c r="J61" s="34">
        <f>AVERAGE(G61:I61)</f>
        <v>9.6333333333333329</v>
      </c>
    </row>
    <row r="62" spans="1:10">
      <c r="A62" s="2"/>
      <c r="B62" s="2"/>
      <c r="C62" s="2"/>
      <c r="D62" s="2"/>
      <c r="E62" s="2"/>
      <c r="F62" s="2"/>
      <c r="G62" s="2"/>
      <c r="H62" s="2"/>
      <c r="I62" s="2"/>
      <c r="J62" s="2"/>
    </row>
    <row r="63" spans="1:10">
      <c r="A63" s="2"/>
      <c r="C63" s="2"/>
      <c r="D63" s="2"/>
      <c r="E63" s="2"/>
      <c r="F63" s="2"/>
      <c r="G63" s="2" t="s">
        <v>134</v>
      </c>
      <c r="H63" s="2"/>
      <c r="I63" s="2"/>
      <c r="J63" s="2"/>
    </row>
    <row r="64" spans="1:10">
      <c r="A64" s="2"/>
      <c r="B64" s="2" t="s">
        <v>109</v>
      </c>
      <c r="C64" s="2"/>
      <c r="D64" s="2"/>
      <c r="E64" s="2"/>
      <c r="F64" s="2"/>
      <c r="G64" s="2" t="s">
        <v>105</v>
      </c>
      <c r="H64" s="2" t="s">
        <v>107</v>
      </c>
      <c r="I64" s="2" t="s">
        <v>109</v>
      </c>
      <c r="J64" s="2" t="s">
        <v>69</v>
      </c>
    </row>
    <row r="65" spans="1:10">
      <c r="A65" s="2" t="s">
        <v>125</v>
      </c>
      <c r="B65" s="2" t="s">
        <v>126</v>
      </c>
      <c r="C65" s="2" t="s">
        <v>127</v>
      </c>
      <c r="D65" s="2" t="s">
        <v>132</v>
      </c>
      <c r="E65" s="2"/>
      <c r="F65" s="2" t="s">
        <v>121</v>
      </c>
      <c r="G65" s="40">
        <v>289.79571999999996</v>
      </c>
      <c r="H65" s="34">
        <v>311.88499999999999</v>
      </c>
      <c r="I65" s="34">
        <v>322.11259999999999</v>
      </c>
      <c r="J65" s="34">
        <f t="shared" ref="J65:J66" si="13">AVERAGE(G65:I65)</f>
        <v>307.93110666666666</v>
      </c>
    </row>
    <row r="66" spans="1:10">
      <c r="A66" s="2"/>
      <c r="B66" s="2"/>
      <c r="C66" s="2"/>
      <c r="D66" s="2"/>
      <c r="E66" s="2"/>
      <c r="F66" s="2" t="s">
        <v>15</v>
      </c>
      <c r="G66" s="35">
        <v>23.599</v>
      </c>
      <c r="H66" s="34">
        <v>46.79</v>
      </c>
      <c r="I66" s="34">
        <v>35.869999999999997</v>
      </c>
      <c r="J66" s="34">
        <f t="shared" si="13"/>
        <v>35.419666666666664</v>
      </c>
    </row>
    <row r="67" spans="1:10">
      <c r="A67" s="2">
        <v>2018</v>
      </c>
      <c r="B67" s="34">
        <v>36.65</v>
      </c>
      <c r="C67" s="39">
        <f>D67*B67</f>
        <v>235.65949999999998</v>
      </c>
      <c r="D67" s="35">
        <v>6.43</v>
      </c>
      <c r="E67" s="2"/>
      <c r="F67" s="2" t="s">
        <v>130</v>
      </c>
      <c r="G67" s="34">
        <f>G65/G66</f>
        <v>12.279999999999998</v>
      </c>
      <c r="H67" s="37">
        <v>65.66</v>
      </c>
      <c r="I67" s="34">
        <f t="shared" ref="I67" si="14">I65/I66</f>
        <v>8.98</v>
      </c>
      <c r="J67" s="34">
        <f>AVERAGE(G67:I67)</f>
        <v>28.973333333333333</v>
      </c>
    </row>
    <row r="68" spans="1:10">
      <c r="A68" s="2">
        <v>2019</v>
      </c>
      <c r="B68" s="34">
        <v>34.479999999999997</v>
      </c>
      <c r="C68" s="39">
        <f t="shared" ref="C68:C70" si="15">D68*B68</f>
        <v>356.52319999999997</v>
      </c>
      <c r="D68" s="35">
        <v>10.34</v>
      </c>
      <c r="E68" s="2"/>
      <c r="F68" s="2"/>
      <c r="G68" s="2"/>
      <c r="H68" s="2"/>
      <c r="I68" s="2"/>
      <c r="J68" s="2"/>
    </row>
    <row r="69" spans="1:10">
      <c r="A69" s="2">
        <v>2020</v>
      </c>
      <c r="B69" s="34">
        <v>20.84</v>
      </c>
      <c r="C69" s="39">
        <f t="shared" si="15"/>
        <v>93.78</v>
      </c>
      <c r="D69" s="34">
        <v>4.5</v>
      </c>
      <c r="E69" s="2"/>
      <c r="F69" s="2"/>
      <c r="G69" s="2"/>
      <c r="H69" s="2"/>
      <c r="I69" s="2"/>
      <c r="J69" s="2"/>
    </row>
    <row r="70" spans="1:10">
      <c r="A70" s="2">
        <v>2021</v>
      </c>
      <c r="B70" s="34">
        <v>35.869999999999997</v>
      </c>
      <c r="C70" s="39">
        <f t="shared" si="15"/>
        <v>322.11259999999999</v>
      </c>
      <c r="D70" s="34">
        <v>8.98</v>
      </c>
      <c r="E70" s="2"/>
      <c r="F70" s="2"/>
      <c r="G70" s="2"/>
      <c r="H70" s="2"/>
      <c r="I70" s="2"/>
      <c r="J70" s="2"/>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104"/>
      <c r="B74" s="104"/>
      <c r="C74" s="104"/>
      <c r="D74" s="104"/>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sheetData>
  <mergeCells count="10">
    <mergeCell ref="Q25:T25"/>
    <mergeCell ref="Q33:T33"/>
    <mergeCell ref="Q23:T23"/>
    <mergeCell ref="A74:D74"/>
    <mergeCell ref="A1:H1"/>
    <mergeCell ref="A2:H2"/>
    <mergeCell ref="A3:H3"/>
    <mergeCell ref="A4:H4"/>
    <mergeCell ref="A7:G7"/>
    <mergeCell ref="A15:G15"/>
  </mergeCells>
  <hyperlinks>
    <hyperlink ref="C34" r:id="rId1" xr:uid="{6BE572CB-5DBB-474A-B136-C29EB02A10A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92C5F-390F-4FE7-8A08-8AD4F3C70787}">
  <dimension ref="A1:I83"/>
  <sheetViews>
    <sheetView workbookViewId="0">
      <selection activeCell="A32" sqref="A32"/>
    </sheetView>
  </sheetViews>
  <sheetFormatPr defaultColWidth="8.88671875" defaultRowHeight="14.4"/>
  <cols>
    <col min="1" max="1" width="19.109375" bestFit="1" customWidth="1"/>
    <col min="3" max="3" width="14" bestFit="1" customWidth="1"/>
    <col min="6" max="6" width="12.88671875" bestFit="1" customWidth="1"/>
    <col min="8" max="8" width="12.88671875" bestFit="1" customWidth="1"/>
    <col min="9" max="9" width="12.5546875" bestFit="1" customWidth="1"/>
  </cols>
  <sheetData>
    <row r="1" spans="1:9">
      <c r="A1" t="s">
        <v>135</v>
      </c>
    </row>
    <row r="2" spans="1:9" ht="15" thickBot="1"/>
    <row r="3" spans="1:9">
      <c r="A3" s="11" t="s">
        <v>136</v>
      </c>
      <c r="B3" s="11"/>
    </row>
    <row r="4" spans="1:9">
      <c r="A4" t="s">
        <v>137</v>
      </c>
      <c r="B4">
        <v>0.78858972307287134</v>
      </c>
    </row>
    <row r="5" spans="1:9">
      <c r="A5" t="s">
        <v>138</v>
      </c>
      <c r="B5">
        <v>0.62187375133614786</v>
      </c>
    </row>
    <row r="6" spans="1:9">
      <c r="A6" t="s">
        <v>139</v>
      </c>
      <c r="B6">
        <v>0.61523995749993987</v>
      </c>
    </row>
    <row r="7" spans="1:9">
      <c r="A7" t="s">
        <v>140</v>
      </c>
      <c r="B7">
        <v>5.2718003761375851E-2</v>
      </c>
    </row>
    <row r="8" spans="1:9" ht="15" thickBot="1">
      <c r="A8" s="9" t="s">
        <v>141</v>
      </c>
      <c r="B8" s="9">
        <v>59</v>
      </c>
    </row>
    <row r="10" spans="1:9" ht="15" thickBot="1">
      <c r="A10" t="s">
        <v>142</v>
      </c>
    </row>
    <row r="11" spans="1:9">
      <c r="A11" s="10"/>
      <c r="B11" s="10" t="s">
        <v>143</v>
      </c>
      <c r="C11" s="10" t="s">
        <v>144</v>
      </c>
      <c r="D11" s="10" t="s">
        <v>145</v>
      </c>
      <c r="E11" s="10" t="s">
        <v>146</v>
      </c>
      <c r="F11" s="10" t="s">
        <v>147</v>
      </c>
    </row>
    <row r="12" spans="1:9">
      <c r="A12" t="s">
        <v>148</v>
      </c>
      <c r="B12">
        <v>1</v>
      </c>
      <c r="C12">
        <v>0.2605302577250278</v>
      </c>
      <c r="D12">
        <v>0.2605302577250278</v>
      </c>
      <c r="E12">
        <v>93.743303860589833</v>
      </c>
      <c r="F12">
        <v>1.212066547484424E-13</v>
      </c>
    </row>
    <row r="13" spans="1:9">
      <c r="A13" t="s">
        <v>149</v>
      </c>
      <c r="B13">
        <v>57</v>
      </c>
      <c r="C13">
        <v>0.15841371147331298</v>
      </c>
      <c r="D13">
        <v>2.7791879205844383E-3</v>
      </c>
    </row>
    <row r="14" spans="1:9" ht="15" thickBot="1">
      <c r="A14" s="9" t="s">
        <v>41</v>
      </c>
      <c r="B14" s="9">
        <v>58</v>
      </c>
      <c r="C14" s="9">
        <v>0.41894396919834076</v>
      </c>
      <c r="D14" s="9"/>
      <c r="E14" s="9"/>
      <c r="F14" s="9"/>
    </row>
    <row r="15" spans="1:9" ht="15" thickBot="1"/>
    <row r="16" spans="1:9">
      <c r="A16" s="10"/>
      <c r="B16" s="10" t="s">
        <v>150</v>
      </c>
      <c r="C16" s="10" t="s">
        <v>140</v>
      </c>
      <c r="D16" s="10" t="s">
        <v>151</v>
      </c>
      <c r="E16" s="10" t="s">
        <v>152</v>
      </c>
      <c r="F16" s="10" t="s">
        <v>153</v>
      </c>
      <c r="G16" s="10" t="s">
        <v>154</v>
      </c>
      <c r="H16" s="10" t="s">
        <v>155</v>
      </c>
      <c r="I16" s="10" t="s">
        <v>156</v>
      </c>
    </row>
    <row r="17" spans="1:9">
      <c r="A17" t="s">
        <v>157</v>
      </c>
      <c r="B17">
        <v>-7.8959410089568492E-3</v>
      </c>
      <c r="C17">
        <v>7.0606452747451059E-3</v>
      </c>
      <c r="D17">
        <v>-1.118303030630851</v>
      </c>
      <c r="E17">
        <v>0.26812862608806426</v>
      </c>
      <c r="F17">
        <v>-2.2034639291940182E-2</v>
      </c>
      <c r="G17">
        <v>6.2427572740264836E-3</v>
      </c>
      <c r="H17">
        <v>-2.2034639291940182E-2</v>
      </c>
      <c r="I17">
        <v>6.2427572740264836E-3</v>
      </c>
    </row>
    <row r="18" spans="1:9" ht="15" thickBot="1">
      <c r="A18" s="9" t="s">
        <v>158</v>
      </c>
      <c r="B18" s="9">
        <v>1.467719059656716</v>
      </c>
      <c r="C18" s="9">
        <v>0.15159078648519531</v>
      </c>
      <c r="D18" s="9">
        <v>9.68211257219156</v>
      </c>
      <c r="E18" s="9">
        <v>1.2120665474844195E-13</v>
      </c>
      <c r="F18" s="9">
        <v>1.1641637457733545</v>
      </c>
      <c r="G18" s="9">
        <v>1.7712743735400776</v>
      </c>
      <c r="H18" s="9">
        <v>1.1641637457733545</v>
      </c>
      <c r="I18" s="9">
        <v>1.7712743735400776</v>
      </c>
    </row>
    <row r="22" spans="1:9">
      <c r="A22" t="s">
        <v>159</v>
      </c>
    </row>
    <row r="23" spans="1:9" ht="15" thickBot="1"/>
    <row r="24" spans="1:9">
      <c r="A24" s="10" t="s">
        <v>160</v>
      </c>
      <c r="B24" s="10" t="s">
        <v>161</v>
      </c>
      <c r="C24" s="10" t="s">
        <v>162</v>
      </c>
    </row>
    <row r="25" spans="1:9">
      <c r="A25">
        <v>1</v>
      </c>
      <c r="B25">
        <v>5.3871227812340109E-3</v>
      </c>
      <c r="C25">
        <v>-3.1495345878003039E-2</v>
      </c>
    </row>
    <row r="26" spans="1:9">
      <c r="A26">
        <v>2</v>
      </c>
      <c r="B26">
        <v>8.9970920368566479E-3</v>
      </c>
      <c r="C26">
        <v>-6.6660430226825773E-2</v>
      </c>
    </row>
    <row r="27" spans="1:9">
      <c r="A27">
        <v>3</v>
      </c>
      <c r="B27">
        <v>-8.4753937554515792E-4</v>
      </c>
      <c r="C27">
        <v>5.3345736348051724E-2</v>
      </c>
    </row>
    <row r="28" spans="1:9">
      <c r="A28">
        <v>4</v>
      </c>
      <c r="B28">
        <v>2.0231370563218845E-2</v>
      </c>
      <c r="C28">
        <v>-4.8922520450152118E-3</v>
      </c>
    </row>
    <row r="29" spans="1:9">
      <c r="A29">
        <v>5</v>
      </c>
      <c r="B29">
        <v>-7.0940628920908785E-3</v>
      </c>
      <c r="C29">
        <v>1.2862229075230776E-5</v>
      </c>
    </row>
    <row r="30" spans="1:9">
      <c r="A30">
        <v>6</v>
      </c>
      <c r="B30">
        <v>2.0165316879012581E-2</v>
      </c>
      <c r="C30">
        <v>4.1620905133870109E-2</v>
      </c>
    </row>
    <row r="31" spans="1:9">
      <c r="A31">
        <v>7</v>
      </c>
      <c r="B31">
        <v>2.4314032740312606E-2</v>
      </c>
      <c r="C31">
        <v>-2.2564257543071613E-3</v>
      </c>
    </row>
    <row r="32" spans="1:9">
      <c r="A32">
        <v>8</v>
      </c>
      <c r="B32">
        <v>3.2753294708850994E-2</v>
      </c>
      <c r="C32">
        <v>-1.169629925584385E-2</v>
      </c>
    </row>
    <row r="33" spans="1:3">
      <c r="A33">
        <v>9</v>
      </c>
      <c r="B33">
        <v>6.4636409136080934E-3</v>
      </c>
      <c r="C33">
        <v>2.5019671958032445E-2</v>
      </c>
    </row>
    <row r="34" spans="1:3">
      <c r="A34">
        <v>10</v>
      </c>
      <c r="B34">
        <v>7.232579282867968E-2</v>
      </c>
      <c r="C34">
        <v>-2.2071241761833012E-2</v>
      </c>
    </row>
    <row r="35" spans="1:3">
      <c r="A35">
        <v>11</v>
      </c>
      <c r="B35">
        <v>-6.6202718093924334E-2</v>
      </c>
      <c r="C35">
        <v>4.7514055092961194E-2</v>
      </c>
    </row>
    <row r="36" spans="1:3">
      <c r="A36">
        <v>12</v>
      </c>
      <c r="B36">
        <v>-4.7894973694779547E-2</v>
      </c>
      <c r="C36">
        <v>7.6838577334688851E-3</v>
      </c>
    </row>
    <row r="37" spans="1:3">
      <c r="A37">
        <v>13</v>
      </c>
      <c r="B37">
        <v>-3.9109197485978674E-3</v>
      </c>
      <c r="C37">
        <v>-5.1306156456134816E-2</v>
      </c>
    </row>
    <row r="38" spans="1:3">
      <c r="A38">
        <v>14</v>
      </c>
      <c r="B38">
        <v>2.3481254118593305E-2</v>
      </c>
      <c r="C38">
        <v>-7.7133764406458416E-2</v>
      </c>
    </row>
    <row r="39" spans="1:3">
      <c r="A39">
        <v>15</v>
      </c>
      <c r="B39">
        <v>-8.0581073795981534E-4</v>
      </c>
      <c r="C39">
        <v>-1.9452690237698817E-2</v>
      </c>
    </row>
    <row r="40" spans="1:3">
      <c r="A40">
        <v>16</v>
      </c>
      <c r="B40">
        <v>4.404367168574165E-2</v>
      </c>
      <c r="C40">
        <v>2.9613875495843184E-2</v>
      </c>
    </row>
    <row r="41" spans="1:3">
      <c r="A41">
        <v>17</v>
      </c>
      <c r="B41">
        <v>3.5863107146850356E-2</v>
      </c>
      <c r="C41">
        <v>-3.426392164847563E-2</v>
      </c>
    </row>
    <row r="42" spans="1:3">
      <c r="A42">
        <v>18</v>
      </c>
      <c r="B42">
        <v>-1.6066082028773085E-3</v>
      </c>
      <c r="C42">
        <v>-5.3842353104959169E-2</v>
      </c>
    </row>
    <row r="43" spans="1:3">
      <c r="A43">
        <v>19</v>
      </c>
      <c r="B43">
        <v>-0.11346801756665013</v>
      </c>
      <c r="C43">
        <v>0.11849447869935426</v>
      </c>
    </row>
    <row r="44" spans="1:3">
      <c r="A44">
        <v>20</v>
      </c>
      <c r="B44">
        <v>1.8085294130448418E-2</v>
      </c>
      <c r="C44">
        <v>-0.18517952789829539</v>
      </c>
    </row>
    <row r="45" spans="1:3">
      <c r="A45">
        <v>21</v>
      </c>
      <c r="B45">
        <v>-0.14918633769548323</v>
      </c>
      <c r="C45">
        <v>2.087180550599585E-2</v>
      </c>
    </row>
    <row r="46" spans="1:3">
      <c r="A46">
        <v>22</v>
      </c>
      <c r="B46">
        <v>0.10327226325211999</v>
      </c>
      <c r="C46">
        <v>6.6751961962254802E-2</v>
      </c>
    </row>
    <row r="47" spans="1:3">
      <c r="A47">
        <v>23</v>
      </c>
      <c r="B47">
        <v>3.5101759181558834E-2</v>
      </c>
      <c r="C47">
        <v>-4.1739435718533058E-2</v>
      </c>
    </row>
    <row r="48" spans="1:3">
      <c r="A48">
        <v>24</v>
      </c>
      <c r="B48">
        <v>1.8178883350366055E-2</v>
      </c>
      <c r="C48">
        <v>-3.8385167192731724E-2</v>
      </c>
    </row>
    <row r="49" spans="1:3">
      <c r="A49">
        <v>25</v>
      </c>
      <c r="B49">
        <v>4.8699799735342372E-2</v>
      </c>
      <c r="C49">
        <v>2.1344733416584855E-2</v>
      </c>
    </row>
    <row r="50" spans="1:3">
      <c r="A50">
        <v>26</v>
      </c>
      <c r="B50">
        <v>-0.10776085041478901</v>
      </c>
      <c r="C50">
        <v>-1.3031787971117079E-2</v>
      </c>
    </row>
    <row r="51" spans="1:3">
      <c r="A51">
        <v>27</v>
      </c>
      <c r="B51">
        <v>8.9939745056136888E-2</v>
      </c>
      <c r="C51">
        <v>2.8919076366737753E-2</v>
      </c>
    </row>
    <row r="52" spans="1:3">
      <c r="A52">
        <v>28</v>
      </c>
      <c r="B52">
        <v>1.1247177401851317E-2</v>
      </c>
      <c r="C52">
        <v>6.1914174430462932E-2</v>
      </c>
    </row>
    <row r="53" spans="1:3">
      <c r="A53">
        <v>29</v>
      </c>
      <c r="B53">
        <v>-3.4692539520096689E-2</v>
      </c>
      <c r="C53">
        <v>-4.1847038871545179E-2</v>
      </c>
    </row>
    <row r="54" spans="1:3">
      <c r="A54">
        <v>30</v>
      </c>
      <c r="B54">
        <v>1.710700619348134E-2</v>
      </c>
      <c r="C54">
        <v>5.2999588352223952E-3</v>
      </c>
    </row>
    <row r="55" spans="1:3">
      <c r="A55">
        <v>31</v>
      </c>
      <c r="B55">
        <v>2.1789879890089063E-2</v>
      </c>
      <c r="C55">
        <v>7.4555042886951112E-3</v>
      </c>
    </row>
    <row r="56" spans="1:3">
      <c r="A56">
        <v>32</v>
      </c>
      <c r="B56">
        <v>4.124372106487996E-2</v>
      </c>
      <c r="C56">
        <v>-4.5730737687345244E-3</v>
      </c>
    </row>
    <row r="57" spans="1:3">
      <c r="A57">
        <v>33</v>
      </c>
      <c r="B57">
        <v>3.3477211442507315E-2</v>
      </c>
      <c r="C57">
        <v>1.017476843428787E-2</v>
      </c>
    </row>
    <row r="58" spans="1:3">
      <c r="A58">
        <v>34</v>
      </c>
      <c r="B58">
        <v>-1.0287466793659645E-2</v>
      </c>
      <c r="C58">
        <v>4.3732385330230841E-2</v>
      </c>
    </row>
    <row r="59" spans="1:3">
      <c r="A59">
        <v>35</v>
      </c>
      <c r="B59">
        <v>-0.13684903445933297</v>
      </c>
      <c r="C59">
        <v>-3.2210735257520495E-2</v>
      </c>
    </row>
    <row r="60" spans="1:3">
      <c r="A60">
        <v>36</v>
      </c>
      <c r="B60">
        <v>-0.20408267263463781</v>
      </c>
      <c r="C60">
        <v>-5.1205225612420857E-2</v>
      </c>
    </row>
    <row r="61" spans="1:3">
      <c r="A61">
        <v>37</v>
      </c>
      <c r="B61">
        <v>0.1673803845199707</v>
      </c>
      <c r="C61">
        <v>3.621771082947256E-3</v>
      </c>
    </row>
    <row r="62" spans="1:3">
      <c r="A62">
        <v>38</v>
      </c>
      <c r="B62">
        <v>5.7104184787693857E-2</v>
      </c>
      <c r="C62">
        <v>1.1728782392694495E-2</v>
      </c>
    </row>
    <row r="63" spans="1:3">
      <c r="A63">
        <v>39</v>
      </c>
      <c r="B63">
        <v>1.8847927183974104E-2</v>
      </c>
      <c r="C63">
        <v>-6.8819455032595768E-3</v>
      </c>
    </row>
    <row r="64" spans="1:3">
      <c r="A64">
        <v>40</v>
      </c>
      <c r="B64">
        <v>7.0827780960881118E-2</v>
      </c>
      <c r="C64">
        <v>-6.9108797773265618E-2</v>
      </c>
    </row>
    <row r="65" spans="1:3">
      <c r="A65">
        <v>41</v>
      </c>
      <c r="B65">
        <v>9.1496675830866792E-2</v>
      </c>
      <c r="C65">
        <v>-5.7186156863260285E-2</v>
      </c>
    </row>
    <row r="66" spans="1:3">
      <c r="A66">
        <v>42</v>
      </c>
      <c r="B66">
        <v>-6.6631273870883384E-2</v>
      </c>
      <c r="C66">
        <v>5.3447521943668024E-2</v>
      </c>
    </row>
    <row r="67" spans="1:3">
      <c r="A67">
        <v>43</v>
      </c>
      <c r="B67">
        <v>-4.9073797775154943E-2</v>
      </c>
      <c r="C67">
        <v>-1.2123255948254481E-2</v>
      </c>
    </row>
    <row r="68" spans="1:3">
      <c r="A68">
        <v>44</v>
      </c>
      <c r="B68">
        <v>0.14202634806420383</v>
      </c>
      <c r="C68">
        <v>5.6612942305987346E-2</v>
      </c>
    </row>
    <row r="69" spans="1:3">
      <c r="A69">
        <v>45</v>
      </c>
      <c r="B69">
        <v>4.5600947008995293E-2</v>
      </c>
      <c r="C69">
        <v>8.8651283911137344E-2</v>
      </c>
    </row>
    <row r="70" spans="1:3">
      <c r="A70">
        <v>46</v>
      </c>
      <c r="B70">
        <v>-2.4333098219843627E-2</v>
      </c>
      <c r="C70">
        <v>5.766481485960312E-2</v>
      </c>
    </row>
    <row r="71" spans="1:3">
      <c r="A71">
        <v>47</v>
      </c>
      <c r="B71">
        <v>2.9907951550149105E-2</v>
      </c>
      <c r="C71">
        <v>0.13404076961934724</v>
      </c>
    </row>
    <row r="72" spans="1:3">
      <c r="A72">
        <v>48</v>
      </c>
      <c r="B72">
        <v>5.3106585489146124E-2</v>
      </c>
      <c r="C72">
        <v>-2.9841192979844906E-2</v>
      </c>
    </row>
    <row r="73" spans="1:3">
      <c r="A73">
        <v>49</v>
      </c>
      <c r="B73">
        <v>6.7100572555610943E-2</v>
      </c>
      <c r="C73">
        <v>3.5434490607089142E-4</v>
      </c>
    </row>
    <row r="74" spans="1:3">
      <c r="A74">
        <v>50</v>
      </c>
      <c r="B74">
        <v>1.3469344248266159E-4</v>
      </c>
      <c r="C74">
        <v>6.5318232966216333E-2</v>
      </c>
    </row>
    <row r="75" spans="1:3">
      <c r="A75">
        <v>51</v>
      </c>
      <c r="B75">
        <v>2.4351079683023875E-2</v>
      </c>
      <c r="C75">
        <v>-9.9349013112118995E-4</v>
      </c>
    </row>
    <row r="76" spans="1:3">
      <c r="A76">
        <v>52</v>
      </c>
      <c r="B76">
        <v>2.5117800269716054E-2</v>
      </c>
      <c r="C76">
        <v>-3.7445433080265822E-2</v>
      </c>
    </row>
    <row r="77" spans="1:3">
      <c r="A77">
        <v>53</v>
      </c>
      <c r="B77">
        <v>3.4048609085629289E-2</v>
      </c>
      <c r="C77">
        <v>6.4027133531952954E-2</v>
      </c>
    </row>
    <row r="78" spans="1:3">
      <c r="A78">
        <v>54</v>
      </c>
      <c r="B78">
        <v>-7.9429284666519218E-2</v>
      </c>
      <c r="C78">
        <v>-5.4315780467675268E-3</v>
      </c>
    </row>
    <row r="79" spans="1:3">
      <c r="A79">
        <v>55</v>
      </c>
      <c r="B79">
        <v>9.0233127806350025E-2</v>
      </c>
      <c r="C79">
        <v>-9.119535689227215E-4</v>
      </c>
    </row>
    <row r="80" spans="1:3">
      <c r="A80">
        <v>56</v>
      </c>
      <c r="B80">
        <v>-2.0178769733494979E-2</v>
      </c>
      <c r="C80">
        <v>-6.1342811616266792E-2</v>
      </c>
    </row>
    <row r="81" spans="1:3">
      <c r="A81">
        <v>57</v>
      </c>
      <c r="B81">
        <v>5.4758947397631375E-2</v>
      </c>
      <c r="C81">
        <v>-5.0672769964052143E-2</v>
      </c>
    </row>
    <row r="82" spans="1:3">
      <c r="A82">
        <v>58</v>
      </c>
      <c r="B82">
        <v>-8.7179409133237878E-2</v>
      </c>
      <c r="C82">
        <v>1.6799385212549298E-2</v>
      </c>
    </row>
    <row r="83" spans="1:3" ht="15" thickBot="1">
      <c r="A83" s="9">
        <v>59</v>
      </c>
      <c r="B83" s="9">
        <v>-1.1628853930887709E-2</v>
      </c>
      <c r="C83" s="9">
        <v>-2.6854535451569496E-2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3594-F7AF-4429-8A65-3CDB70B41007}">
  <dimension ref="A1:N28"/>
  <sheetViews>
    <sheetView workbookViewId="0">
      <selection activeCell="J24" sqref="J24"/>
    </sheetView>
  </sheetViews>
  <sheetFormatPr defaultColWidth="8.88671875" defaultRowHeight="14.4"/>
  <cols>
    <col min="2" max="2" width="11.6640625" bestFit="1" customWidth="1"/>
    <col min="3" max="3" width="12" bestFit="1" customWidth="1"/>
    <col min="4" max="4" width="12.88671875" customWidth="1"/>
    <col min="5" max="5" width="11.6640625" bestFit="1" customWidth="1"/>
    <col min="10" max="11" width="10.5546875" customWidth="1"/>
    <col min="12" max="12" width="10.88671875" customWidth="1"/>
    <col min="13" max="13" width="12.5546875" customWidth="1"/>
    <col min="14" max="14" width="10.6640625" customWidth="1"/>
  </cols>
  <sheetData>
    <row r="1" spans="1:14">
      <c r="A1" t="s">
        <v>163</v>
      </c>
      <c r="C1">
        <v>59339000</v>
      </c>
    </row>
    <row r="2" spans="1:14">
      <c r="A2" t="s">
        <v>164</v>
      </c>
      <c r="C2">
        <v>41067000</v>
      </c>
    </row>
    <row r="3" spans="1:14">
      <c r="A3" t="s">
        <v>165</v>
      </c>
      <c r="C3">
        <v>6680647.0199999996</v>
      </c>
    </row>
    <row r="4" spans="1:14">
      <c r="A4" t="s">
        <v>166</v>
      </c>
      <c r="B4" s="3">
        <v>0.2</v>
      </c>
    </row>
    <row r="5" spans="1:14">
      <c r="D5" s="3"/>
      <c r="E5" s="3"/>
      <c r="F5" s="3"/>
      <c r="G5" s="3"/>
      <c r="H5" s="3"/>
      <c r="J5" s="14">
        <v>6680647.0196716459</v>
      </c>
      <c r="K5" s="12">
        <v>33256000</v>
      </c>
      <c r="L5" s="12">
        <v>33274000</v>
      </c>
      <c r="M5" s="12">
        <v>44559000</v>
      </c>
      <c r="N5" s="12">
        <v>59339000</v>
      </c>
    </row>
    <row r="6" spans="1:14">
      <c r="J6" s="13">
        <v>2470405.5764762438</v>
      </c>
      <c r="K6">
        <f t="dataTable" ref="K6:N9" dt2D="1" dtr="1" r1="C1" r2="C3"/>
        <v>6680647.0196716459</v>
      </c>
      <c r="L6">
        <v>6680647.0196716459</v>
      </c>
      <c r="M6">
        <v>6680647.0196716459</v>
      </c>
      <c r="N6">
        <v>6680647.0196716459</v>
      </c>
    </row>
    <row r="7" spans="1:14">
      <c r="J7" s="13">
        <v>881558.34829443449</v>
      </c>
      <c r="K7">
        <v>6680647.0196716459</v>
      </c>
      <c r="L7">
        <v>6680647.0196716459</v>
      </c>
      <c r="M7">
        <v>6680647.0196716459</v>
      </c>
      <c r="N7">
        <v>6680647.0196716459</v>
      </c>
    </row>
    <row r="8" spans="1:14">
      <c r="J8" s="13">
        <v>15166690.520073723</v>
      </c>
      <c r="K8">
        <v>6680647.0196716459</v>
      </c>
      <c r="L8">
        <v>6680647.0196716459</v>
      </c>
      <c r="M8">
        <v>6680647.0196716459</v>
      </c>
      <c r="N8">
        <v>6680647.0196716459</v>
      </c>
    </row>
    <row r="9" spans="1:14">
      <c r="J9" s="13">
        <v>26721352.980328355</v>
      </c>
      <c r="K9">
        <v>6680647.0196716459</v>
      </c>
      <c r="L9">
        <v>6680647.0196716459</v>
      </c>
      <c r="M9">
        <v>6680647.0196716459</v>
      </c>
      <c r="N9">
        <v>6680647.0196716459</v>
      </c>
    </row>
    <row r="13" spans="1:14">
      <c r="A13" t="s">
        <v>167</v>
      </c>
      <c r="E13" t="s">
        <v>67</v>
      </c>
      <c r="F13">
        <v>-990059008.95034695</v>
      </c>
    </row>
    <row r="14" spans="1:14">
      <c r="C14" t="s">
        <v>67</v>
      </c>
      <c r="J14" s="15" t="s">
        <v>168</v>
      </c>
      <c r="K14" s="17"/>
    </row>
    <row r="15" spans="1:14">
      <c r="B15" t="s">
        <v>169</v>
      </c>
      <c r="C15">
        <f>F13</f>
        <v>-990059008.95034695</v>
      </c>
      <c r="J15" s="18" t="s">
        <v>170</v>
      </c>
      <c r="K15" s="16">
        <v>31340766.109999999</v>
      </c>
    </row>
    <row r="16" spans="1:14">
      <c r="B16">
        <v>23256000</v>
      </c>
      <c r="C16">
        <v>-990059008.95034695</v>
      </c>
      <c r="J16" s="18" t="s">
        <v>67</v>
      </c>
      <c r="K16" s="16">
        <v>0</v>
      </c>
    </row>
    <row r="17" spans="2:11">
      <c r="B17">
        <v>28256000</v>
      </c>
      <c r="C17">
        <v>-990059008.95034695</v>
      </c>
      <c r="J17" s="18" t="s">
        <v>68</v>
      </c>
      <c r="K17" s="19">
        <v>0</v>
      </c>
    </row>
    <row r="18" spans="2:11">
      <c r="B18">
        <v>33256000</v>
      </c>
      <c r="C18">
        <v>-990059008.95034695</v>
      </c>
    </row>
    <row r="19" spans="2:11">
      <c r="B19">
        <v>38256000</v>
      </c>
      <c r="C19">
        <v>-990059008.95034695</v>
      </c>
    </row>
    <row r="20" spans="2:11">
      <c r="B20">
        <v>43256000</v>
      </c>
      <c r="C20">
        <v>-990059008.95034695</v>
      </c>
    </row>
    <row r="22" spans="2:11">
      <c r="C22" t="s">
        <v>67</v>
      </c>
    </row>
    <row r="23" spans="2:11">
      <c r="B23" t="s">
        <v>171</v>
      </c>
      <c r="C23">
        <f>F13</f>
        <v>-990059008.95034695</v>
      </c>
    </row>
    <row r="24" spans="2:11">
      <c r="B24">
        <v>1970405.5759999999</v>
      </c>
      <c r="C24">
        <v>-990059008.95034695</v>
      </c>
    </row>
    <row r="25" spans="2:11">
      <c r="B25">
        <v>2220405.5759999999</v>
      </c>
      <c r="C25">
        <v>-990059008.95034695</v>
      </c>
    </row>
    <row r="26" spans="2:11">
      <c r="B26">
        <v>2470405.5759999999</v>
      </c>
      <c r="C26">
        <v>-990059008.95034695</v>
      </c>
    </row>
    <row r="27" spans="2:11">
      <c r="B27">
        <v>2720405.5759999999</v>
      </c>
      <c r="C27">
        <v>-990059008.95034695</v>
      </c>
    </row>
    <row r="28" spans="2:11">
      <c r="B28">
        <v>2970405.5759999999</v>
      </c>
      <c r="C28">
        <v>-990059008.95034695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E6884-09DE-4F2A-A284-7CE5A992B0CE}">
  <dimension ref="A1:G71"/>
  <sheetViews>
    <sheetView workbookViewId="0">
      <selection activeCell="C22" sqref="C22"/>
    </sheetView>
  </sheetViews>
  <sheetFormatPr defaultColWidth="8.88671875" defaultRowHeight="14.4"/>
  <cols>
    <col min="2" max="2" width="37.33203125" customWidth="1"/>
    <col min="3" max="3" width="12" bestFit="1" customWidth="1"/>
    <col min="4" max="4" width="21.6640625" bestFit="1" customWidth="1"/>
    <col min="5" max="6" width="12.6640625" bestFit="1" customWidth="1"/>
  </cols>
  <sheetData>
    <row r="1" spans="1:7">
      <c r="A1" s="8" t="s">
        <v>172</v>
      </c>
    </row>
    <row r="2" spans="1:7">
      <c r="B2" s="6" t="s">
        <v>173</v>
      </c>
      <c r="C2" s="20">
        <v>1.9550000000000001E-2</v>
      </c>
      <c r="D2" s="6" t="s">
        <v>174</v>
      </c>
    </row>
    <row r="4" spans="1:7">
      <c r="E4" t="s">
        <v>175</v>
      </c>
    </row>
    <row r="5" spans="1:7">
      <c r="B5" t="s">
        <v>176</v>
      </c>
      <c r="E5" s="5">
        <v>110.91</v>
      </c>
    </row>
    <row r="6" spans="1:7">
      <c r="B6" t="s">
        <v>177</v>
      </c>
      <c r="E6" s="5">
        <v>586.22</v>
      </c>
    </row>
    <row r="9" spans="1:7">
      <c r="B9" t="s">
        <v>178</v>
      </c>
      <c r="C9" s="4">
        <f>E6/(E5+E6)</f>
        <v>0.84090485275343196</v>
      </c>
    </row>
    <row r="10" spans="1:7">
      <c r="B10" t="s">
        <v>179</v>
      </c>
      <c r="C10" s="4">
        <f>E5/(E6+E5)</f>
        <v>0.15909514724656806</v>
      </c>
    </row>
    <row r="12" spans="1:7">
      <c r="B12" t="s">
        <v>180</v>
      </c>
      <c r="C12" s="7">
        <v>1.467719</v>
      </c>
    </row>
    <row r="14" spans="1:7">
      <c r="B14" t="s">
        <v>181</v>
      </c>
      <c r="C14" s="4">
        <f>C2+C12*E14</f>
        <v>8.1194198000000009E-2</v>
      </c>
      <c r="D14" t="s">
        <v>182</v>
      </c>
      <c r="E14" s="4">
        <v>4.2000000000000003E-2</v>
      </c>
    </row>
    <row r="16" spans="1:7">
      <c r="B16" t="s">
        <v>183</v>
      </c>
      <c r="C16" s="51">
        <v>0.88385000000000002</v>
      </c>
      <c r="D16" t="s">
        <v>184</v>
      </c>
      <c r="E16" s="2" t="s">
        <v>185</v>
      </c>
      <c r="G16" s="8" t="s">
        <v>186</v>
      </c>
    </row>
    <row r="18" spans="2:6">
      <c r="B18" t="s">
        <v>187</v>
      </c>
      <c r="C18" s="4">
        <f>C16*(1-0.2)</f>
        <v>0.70708000000000004</v>
      </c>
      <c r="E18" t="s">
        <v>188</v>
      </c>
      <c r="F18" s="3">
        <v>0.2</v>
      </c>
    </row>
    <row r="19" spans="2:6">
      <c r="C19" s="4"/>
    </row>
    <row r="21" spans="2:6">
      <c r="B21" t="s">
        <v>189</v>
      </c>
      <c r="C21" s="52">
        <f>C9*C16+C10*C14</f>
        <v>0.75615135699249791</v>
      </c>
    </row>
    <row r="23" spans="2:6" ht="14.4" customHeight="1"/>
    <row r="24" spans="2:6" ht="14.4" customHeight="1"/>
    <row r="25" spans="2:6" ht="14.4" customHeight="1"/>
    <row r="26" spans="2:6" ht="14.4" customHeight="1"/>
    <row r="27" spans="2:6" ht="14.4" customHeight="1"/>
    <row r="28" spans="2:6" ht="14.4" customHeight="1"/>
    <row r="29" spans="2:6" ht="14.4" customHeight="1"/>
    <row r="30" spans="2:6" ht="14.4" customHeight="1"/>
    <row r="31" spans="2:6" ht="14.4" customHeight="1"/>
    <row r="32" spans="2:6" ht="14.4" customHeight="1"/>
    <row r="33" ht="14.4" customHeight="1"/>
    <row r="34" ht="14.4" customHeight="1"/>
    <row r="35" ht="14.4" customHeight="1"/>
    <row r="36" ht="14.4" customHeight="1"/>
    <row r="37" ht="14.4" customHeight="1"/>
    <row r="38" ht="14.4" customHeight="1"/>
    <row r="39" ht="14.4" customHeight="1"/>
    <row r="40" ht="14.4" customHeight="1"/>
    <row r="41" ht="14.4" customHeight="1"/>
    <row r="42" ht="14.4" customHeight="1"/>
    <row r="49" ht="14.4" customHeight="1"/>
    <row r="50" ht="14.4" customHeight="1"/>
    <row r="51" ht="14.4" customHeight="1"/>
    <row r="52" ht="14.4" customHeight="1"/>
    <row r="53" ht="14.4" customHeight="1"/>
    <row r="54" ht="14.4" customHeight="1"/>
    <row r="55" ht="14.4" customHeight="1"/>
    <row r="56" ht="14.4" customHeight="1"/>
    <row r="57" ht="14.4" customHeight="1"/>
    <row r="58" ht="14.4" customHeight="1"/>
    <row r="59" ht="14.4" customHeight="1"/>
    <row r="60" ht="14.4" customHeight="1"/>
    <row r="61" ht="14.4" customHeight="1"/>
    <row r="62" ht="14.4" customHeight="1"/>
    <row r="63" ht="14.4" customHeight="1"/>
    <row r="64" ht="14.4" customHeight="1"/>
    <row r="65" ht="14.4" customHeight="1"/>
    <row r="66" ht="14.4" customHeight="1"/>
    <row r="67" ht="14.4" customHeight="1"/>
    <row r="68" ht="14.4" customHeight="1"/>
    <row r="69" ht="14.4" customHeight="1"/>
    <row r="70" ht="14.4" customHeight="1"/>
    <row r="71" ht="14.4" customHeight="1"/>
  </sheetData>
  <hyperlinks>
    <hyperlink ref="G16" r:id="rId1" xr:uid="{9BDFBBAA-A2AF-4F30-B5E4-D3D0BD6CD9DC}"/>
    <hyperlink ref="A1" r:id="rId2" xr:uid="{AFBE8CAB-48C6-40F2-9423-3DA59BF2A753}"/>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BE51-4C10-443F-953A-DA0E42607A4B}">
  <dimension ref="A1:J62"/>
  <sheetViews>
    <sheetView workbookViewId="0">
      <selection activeCell="G3" sqref="G3"/>
    </sheetView>
  </sheetViews>
  <sheetFormatPr defaultRowHeight="14.4"/>
  <cols>
    <col min="1" max="1" width="11.109375" bestFit="1" customWidth="1"/>
    <col min="2" max="2" width="9.109375" bestFit="1" customWidth="1"/>
    <col min="5" max="5" width="10.44140625" bestFit="1" customWidth="1"/>
  </cols>
  <sheetData>
    <row r="1" spans="1:10" ht="27.6">
      <c r="A1" s="43" t="s">
        <v>190</v>
      </c>
      <c r="B1" s="44" t="s">
        <v>195</v>
      </c>
      <c r="E1" t="s">
        <v>190</v>
      </c>
      <c r="F1" t="s">
        <v>232</v>
      </c>
    </row>
    <row r="2" spans="1:10">
      <c r="A2" s="45">
        <v>42795</v>
      </c>
      <c r="B2" s="46">
        <v>2362.7199999999998</v>
      </c>
      <c r="C2" t="s">
        <v>233</v>
      </c>
      <c r="E2" s="47">
        <v>42795</v>
      </c>
      <c r="F2">
        <v>209.722916</v>
      </c>
      <c r="G2" t="s">
        <v>234</v>
      </c>
    </row>
    <row r="3" spans="1:10">
      <c r="A3" s="45">
        <v>42825</v>
      </c>
      <c r="B3" s="46">
        <v>2384.1999999999998</v>
      </c>
      <c r="D3">
        <f>LN(B3/B2)</f>
        <v>9.0501405584374091E-3</v>
      </c>
      <c r="E3" s="47">
        <v>42826</v>
      </c>
      <c r="F3">
        <v>204.31828300000001</v>
      </c>
      <c r="G3">
        <f>LN(F3/F2)</f>
        <v>-2.6108223096769027E-2</v>
      </c>
      <c r="I3" t="s">
        <v>235</v>
      </c>
      <c r="J3">
        <f>_xlfn.COVARIANCE.P(D3:D61,G3:G61)/_xlfn.VAR.P(D3:D61)</f>
        <v>1.467719059656716</v>
      </c>
    </row>
    <row r="4" spans="1:10">
      <c r="A4" s="45">
        <v>42855</v>
      </c>
      <c r="B4" s="46">
        <v>2411.8000000000002</v>
      </c>
      <c r="D4">
        <f t="shared" ref="D4:D61" si="0">LN(B4/B3)</f>
        <v>1.1509718385591177E-2</v>
      </c>
      <c r="E4" s="47">
        <v>42856</v>
      </c>
      <c r="F4">
        <v>192.86985799999999</v>
      </c>
      <c r="G4">
        <f t="shared" ref="G4:G61" si="1">LN(F4/F3)</f>
        <v>-5.7663338189969118E-2</v>
      </c>
    </row>
    <row r="5" spans="1:10">
      <c r="A5" s="45">
        <v>42886</v>
      </c>
      <c r="B5" s="46">
        <v>2423.41</v>
      </c>
      <c r="D5">
        <f t="shared" si="0"/>
        <v>4.802282553352028E-3</v>
      </c>
      <c r="E5" s="47">
        <v>42887</v>
      </c>
      <c r="F5">
        <v>203.265671</v>
      </c>
      <c r="G5">
        <f>LN(F5/F4)</f>
        <v>5.2498196972506565E-2</v>
      </c>
    </row>
    <row r="6" spans="1:10">
      <c r="A6" s="45">
        <v>42916</v>
      </c>
      <c r="B6" s="46">
        <v>2470.3000000000002</v>
      </c>
      <c r="D6">
        <f t="shared" si="0"/>
        <v>1.9163961513693484E-2</v>
      </c>
      <c r="E6" s="47">
        <v>42917</v>
      </c>
      <c r="F6">
        <v>206.407623</v>
      </c>
      <c r="G6">
        <f t="shared" si="1"/>
        <v>1.5339118518203633E-2</v>
      </c>
    </row>
    <row r="7" spans="1:10">
      <c r="A7" s="45">
        <v>42947</v>
      </c>
      <c r="B7" s="46">
        <v>2471.65</v>
      </c>
      <c r="D7">
        <f t="shared" si="0"/>
        <v>5.4634305631591474E-4</v>
      </c>
      <c r="E7" s="47">
        <v>42948</v>
      </c>
      <c r="F7">
        <v>204.95117200000001</v>
      </c>
      <c r="G7">
        <f t="shared" si="1"/>
        <v>-7.0812006630156478E-3</v>
      </c>
    </row>
    <row r="8" spans="1:10">
      <c r="A8" s="45">
        <v>42978</v>
      </c>
      <c r="B8" s="46">
        <v>2519.36</v>
      </c>
      <c r="D8">
        <f t="shared" si="0"/>
        <v>1.9118957203248872E-2</v>
      </c>
      <c r="E8" s="47">
        <v>42979</v>
      </c>
      <c r="F8">
        <v>218.01371800000001</v>
      </c>
      <c r="G8">
        <f t="shared" si="1"/>
        <v>6.178622201288269E-2</v>
      </c>
    </row>
    <row r="9" spans="1:10">
      <c r="A9" s="45">
        <v>43008</v>
      </c>
      <c r="B9" s="46">
        <v>2575.2600000000002</v>
      </c>
      <c r="D9">
        <f t="shared" si="0"/>
        <v>2.1945598878305109E-2</v>
      </c>
      <c r="E9" s="47">
        <v>43009</v>
      </c>
      <c r="F9">
        <v>222.87600699999999</v>
      </c>
      <c r="G9">
        <f t="shared" si="1"/>
        <v>2.2057606986005444E-2</v>
      </c>
    </row>
    <row r="10" spans="1:10">
      <c r="A10" s="45">
        <v>43039</v>
      </c>
      <c r="B10" s="46">
        <v>2647.58</v>
      </c>
      <c r="D10">
        <f t="shared" si="0"/>
        <v>2.7695515330648682E-2</v>
      </c>
      <c r="E10" s="47">
        <v>43040</v>
      </c>
      <c r="F10">
        <v>227.618866</v>
      </c>
      <c r="G10">
        <f t="shared" si="1"/>
        <v>2.1056995453007144E-2</v>
      </c>
    </row>
    <row r="11" spans="1:10">
      <c r="A11" s="45">
        <v>43070</v>
      </c>
      <c r="B11" s="46">
        <v>2673.61</v>
      </c>
      <c r="D11">
        <f t="shared" si="0"/>
        <v>9.783603904362663E-3</v>
      </c>
      <c r="E11" s="47">
        <v>43070</v>
      </c>
      <c r="F11">
        <v>234.89906300000001</v>
      </c>
      <c r="G11">
        <f t="shared" si="1"/>
        <v>3.1483312871640537E-2</v>
      </c>
    </row>
    <row r="12" spans="1:10">
      <c r="A12" s="45">
        <v>43101</v>
      </c>
      <c r="B12" s="46">
        <v>2823.81</v>
      </c>
      <c r="D12">
        <f t="shared" si="0"/>
        <v>5.4657417787024952E-2</v>
      </c>
      <c r="E12" s="47">
        <v>43101</v>
      </c>
      <c r="F12">
        <v>247.00546299999999</v>
      </c>
      <c r="G12">
        <f t="shared" si="1"/>
        <v>5.0254551066846669E-2</v>
      </c>
    </row>
    <row r="13" spans="1:10">
      <c r="A13" s="45">
        <v>43132</v>
      </c>
      <c r="B13" s="46">
        <v>2713.83</v>
      </c>
      <c r="D13">
        <f t="shared" si="0"/>
        <v>-3.9726115635920697E-2</v>
      </c>
      <c r="E13" s="47">
        <v>43132</v>
      </c>
      <c r="F13">
        <v>242.432129</v>
      </c>
      <c r="G13">
        <f t="shared" si="1"/>
        <v>-1.868866300096314E-2</v>
      </c>
    </row>
    <row r="14" spans="1:10">
      <c r="A14" s="45">
        <v>43160</v>
      </c>
      <c r="B14" s="46">
        <v>2640.87</v>
      </c>
      <c r="D14">
        <f t="shared" si="0"/>
        <v>-2.725251295379243E-2</v>
      </c>
      <c r="E14" s="47">
        <v>43160</v>
      </c>
      <c r="F14">
        <v>232.87706</v>
      </c>
      <c r="G14">
        <f t="shared" si="1"/>
        <v>-4.0211115961310662E-2</v>
      </c>
    </row>
    <row r="15" spans="1:10">
      <c r="A15" s="45">
        <v>43190</v>
      </c>
      <c r="B15" s="46">
        <v>2648.05</v>
      </c>
      <c r="D15">
        <f t="shared" si="0"/>
        <v>2.7151117471289339E-3</v>
      </c>
      <c r="E15" s="47">
        <v>43191</v>
      </c>
      <c r="F15">
        <v>220.366837</v>
      </c>
      <c r="G15">
        <f t="shared" si="1"/>
        <v>-5.5217076204732686E-2</v>
      </c>
    </row>
    <row r="16" spans="1:10">
      <c r="A16" s="45">
        <v>43220</v>
      </c>
      <c r="B16" s="46">
        <v>2705.27</v>
      </c>
      <c r="D16">
        <f t="shared" si="0"/>
        <v>2.1378202402637565E-2</v>
      </c>
      <c r="E16" s="47">
        <v>43221</v>
      </c>
      <c r="F16">
        <v>208.85517899999999</v>
      </c>
      <c r="G16">
        <f t="shared" si="1"/>
        <v>-5.3652510287865114E-2</v>
      </c>
    </row>
    <row r="17" spans="1:7">
      <c r="A17" s="45">
        <v>43251</v>
      </c>
      <c r="B17" s="46">
        <v>2718.37</v>
      </c>
      <c r="D17">
        <f t="shared" si="0"/>
        <v>4.8307134968018613E-3</v>
      </c>
      <c r="E17" s="47">
        <v>43252</v>
      </c>
      <c r="F17">
        <v>204.66665599999999</v>
      </c>
      <c r="G17">
        <f t="shared" si="1"/>
        <v>-2.0258500975658632E-2</v>
      </c>
    </row>
    <row r="18" spans="1:7">
      <c r="A18" s="45">
        <v>43281</v>
      </c>
      <c r="B18" s="46">
        <v>2816.29</v>
      </c>
      <c r="D18">
        <f t="shared" si="0"/>
        <v>3.5387979976799259E-2</v>
      </c>
      <c r="E18" s="47">
        <v>43282</v>
      </c>
      <c r="F18">
        <v>220.31098900000001</v>
      </c>
      <c r="G18">
        <f t="shared" si="1"/>
        <v>7.3657547181584834E-2</v>
      </c>
    </row>
    <row r="19" spans="1:7">
      <c r="A19" s="45">
        <v>43312</v>
      </c>
      <c r="B19" s="46">
        <v>2901.52</v>
      </c>
      <c r="D19">
        <f t="shared" si="0"/>
        <v>2.9814321663194848E-2</v>
      </c>
      <c r="E19" s="47">
        <v>43313</v>
      </c>
      <c r="F19">
        <v>220.663589</v>
      </c>
      <c r="G19">
        <f t="shared" si="1"/>
        <v>1.5991854983747249E-3</v>
      </c>
    </row>
    <row r="20" spans="1:7">
      <c r="A20" s="45">
        <v>43343</v>
      </c>
      <c r="B20" s="46">
        <v>2913.98</v>
      </c>
      <c r="D20">
        <f t="shared" si="0"/>
        <v>4.2851067203219049E-3</v>
      </c>
      <c r="E20" s="47">
        <v>43344</v>
      </c>
      <c r="F20">
        <v>208.76106300000001</v>
      </c>
      <c r="G20">
        <f t="shared" si="1"/>
        <v>-5.5448961307836477E-2</v>
      </c>
    </row>
    <row r="21" spans="1:7">
      <c r="A21" s="45">
        <v>43373</v>
      </c>
      <c r="B21" s="46">
        <v>2711.74</v>
      </c>
      <c r="D21">
        <f t="shared" si="0"/>
        <v>-7.1929349055660202E-2</v>
      </c>
      <c r="E21" s="47">
        <v>43374</v>
      </c>
      <c r="F21">
        <v>209.81303399999999</v>
      </c>
      <c r="G21">
        <f t="shared" si="1"/>
        <v>5.0264611327041197E-3</v>
      </c>
    </row>
    <row r="22" spans="1:7">
      <c r="A22" s="45">
        <v>43404</v>
      </c>
      <c r="B22" s="46">
        <v>2760.17</v>
      </c>
      <c r="D22">
        <f t="shared" si="0"/>
        <v>1.7701776759294796E-2</v>
      </c>
      <c r="E22" s="47">
        <v>43405</v>
      </c>
      <c r="F22">
        <v>177.52697800000001</v>
      </c>
      <c r="G22">
        <f t="shared" si="1"/>
        <v>-0.16709423376784696</v>
      </c>
    </row>
    <row r="23" spans="1:7">
      <c r="A23" s="45">
        <v>43435</v>
      </c>
      <c r="B23" s="46">
        <v>2506.85</v>
      </c>
      <c r="D23">
        <f t="shared" si="0"/>
        <v>-9.6265287118076068E-2</v>
      </c>
      <c r="E23" s="47">
        <v>43435</v>
      </c>
      <c r="F23">
        <v>156.14859000000001</v>
      </c>
      <c r="G23">
        <f t="shared" si="1"/>
        <v>-0.12831453218948738</v>
      </c>
    </row>
    <row r="24" spans="1:7">
      <c r="A24" s="45">
        <v>43466</v>
      </c>
      <c r="B24" s="46">
        <v>2704.1</v>
      </c>
      <c r="D24">
        <f t="shared" si="0"/>
        <v>7.574215482837561E-2</v>
      </c>
      <c r="E24" s="47">
        <v>43466</v>
      </c>
      <c r="F24">
        <v>185.088165</v>
      </c>
      <c r="G24">
        <f t="shared" si="1"/>
        <v>0.1700242252143748</v>
      </c>
    </row>
    <row r="25" spans="1:7">
      <c r="A25" s="45">
        <v>43497</v>
      </c>
      <c r="B25" s="46">
        <v>2784.49</v>
      </c>
      <c r="D25">
        <f t="shared" si="0"/>
        <v>2.9295592986693514E-2</v>
      </c>
      <c r="E25" s="47">
        <v>43497</v>
      </c>
      <c r="F25">
        <v>183.86367799999999</v>
      </c>
      <c r="G25">
        <f t="shared" si="1"/>
        <v>-6.6376765369742224E-3</v>
      </c>
    </row>
    <row r="26" spans="1:7">
      <c r="A26" s="45">
        <v>43525</v>
      </c>
      <c r="B26" s="46">
        <v>2834.4</v>
      </c>
      <c r="D26">
        <f t="shared" si="0"/>
        <v>1.7765541837019908E-2</v>
      </c>
      <c r="E26" s="47">
        <v>43525</v>
      </c>
      <c r="F26">
        <v>180.18575999999999</v>
      </c>
      <c r="G26">
        <f t="shared" si="1"/>
        <v>-2.0206283842365669E-2</v>
      </c>
    </row>
    <row r="27" spans="1:7">
      <c r="A27" s="45">
        <v>43555</v>
      </c>
      <c r="B27" s="46">
        <v>2945.83</v>
      </c>
      <c r="D27">
        <f t="shared" si="0"/>
        <v>3.8560336443090391E-2</v>
      </c>
      <c r="E27" s="47">
        <v>43556</v>
      </c>
      <c r="F27">
        <v>193.259308</v>
      </c>
      <c r="G27">
        <f t="shared" si="1"/>
        <v>7.0044533151927227E-2</v>
      </c>
    </row>
    <row r="28" spans="1:7">
      <c r="A28" s="45">
        <v>43585</v>
      </c>
      <c r="B28" s="46">
        <v>2752.06</v>
      </c>
      <c r="D28">
        <f t="shared" si="0"/>
        <v>-6.8040888853204307E-2</v>
      </c>
      <c r="E28" s="47">
        <v>43586</v>
      </c>
      <c r="F28">
        <v>171.26982100000001</v>
      </c>
      <c r="G28">
        <f t="shared" si="1"/>
        <v>-0.12079263838590609</v>
      </c>
    </row>
    <row r="29" spans="1:7">
      <c r="A29" s="45">
        <v>43616</v>
      </c>
      <c r="B29" s="46">
        <v>2941.76</v>
      </c>
      <c r="D29">
        <f t="shared" si="0"/>
        <v>6.6658319534241436E-2</v>
      </c>
      <c r="E29" s="47">
        <v>43617</v>
      </c>
      <c r="F29">
        <v>192.885941</v>
      </c>
      <c r="G29">
        <f t="shared" si="1"/>
        <v>0.11885882142287464</v>
      </c>
    </row>
    <row r="30" spans="1:7">
      <c r="A30" s="45">
        <v>43646</v>
      </c>
      <c r="B30" s="46">
        <v>2980.38</v>
      </c>
      <c r="D30">
        <f t="shared" si="0"/>
        <v>1.3042767473010496E-2</v>
      </c>
      <c r="E30" s="47">
        <v>43647</v>
      </c>
      <c r="F30">
        <v>207.526779</v>
      </c>
      <c r="G30">
        <f t="shared" si="1"/>
        <v>7.3161351832314245E-2</v>
      </c>
    </row>
    <row r="31" spans="1:7">
      <c r="A31" s="45">
        <v>43677</v>
      </c>
      <c r="B31" s="46">
        <v>2926.46</v>
      </c>
      <c r="D31">
        <f t="shared" si="0"/>
        <v>-1.8257307714875135E-2</v>
      </c>
      <c r="E31" s="47">
        <v>43678</v>
      </c>
      <c r="F31">
        <v>192.23542800000001</v>
      </c>
      <c r="G31">
        <f t="shared" si="1"/>
        <v>-7.6539578391641869E-2</v>
      </c>
    </row>
    <row r="32" spans="1:7">
      <c r="A32" s="45">
        <v>43708</v>
      </c>
      <c r="B32" s="46">
        <v>2976.74</v>
      </c>
      <c r="D32">
        <f t="shared" si="0"/>
        <v>1.7035240523677681E-2</v>
      </c>
      <c r="E32" s="47">
        <v>43709</v>
      </c>
      <c r="F32">
        <v>196.59146100000001</v>
      </c>
      <c r="G32">
        <f t="shared" si="1"/>
        <v>2.2406965028703735E-2</v>
      </c>
    </row>
    <row r="33" spans="1:7">
      <c r="A33" s="45">
        <v>43738</v>
      </c>
      <c r="B33" s="46">
        <v>3037.56</v>
      </c>
      <c r="D33">
        <f t="shared" si="0"/>
        <v>2.0225819582931022E-2</v>
      </c>
      <c r="E33" s="47">
        <v>43739</v>
      </c>
      <c r="F33">
        <v>202.42575099999999</v>
      </c>
      <c r="G33">
        <f t="shared" si="1"/>
        <v>2.9245384178784174E-2</v>
      </c>
    </row>
    <row r="34" spans="1:7">
      <c r="A34" s="45">
        <v>43769</v>
      </c>
      <c r="B34" s="46">
        <v>3140.98</v>
      </c>
      <c r="D34">
        <f t="shared" si="0"/>
        <v>3.3480291579323126E-2</v>
      </c>
      <c r="E34" s="47">
        <v>43770</v>
      </c>
      <c r="F34">
        <v>209.98661799999999</v>
      </c>
      <c r="G34">
        <f t="shared" si="1"/>
        <v>3.6670647296145435E-2</v>
      </c>
    </row>
    <row r="35" spans="1:7">
      <c r="A35" s="45">
        <v>43800</v>
      </c>
      <c r="B35" s="46">
        <v>3230.78</v>
      </c>
      <c r="D35">
        <f t="shared" si="0"/>
        <v>2.818874101228944E-2</v>
      </c>
      <c r="E35" s="47">
        <v>43800</v>
      </c>
      <c r="F35">
        <v>219.35595699999999</v>
      </c>
      <c r="G35">
        <f t="shared" si="1"/>
        <v>4.3651979876795186E-2</v>
      </c>
    </row>
    <row r="36" spans="1:7">
      <c r="A36" s="45">
        <v>43831</v>
      </c>
      <c r="B36" s="46">
        <v>3225.52</v>
      </c>
      <c r="D36">
        <f t="shared" si="0"/>
        <v>-1.6294165896177356E-3</v>
      </c>
      <c r="E36" s="47">
        <v>43831</v>
      </c>
      <c r="F36">
        <v>226.81636</v>
      </c>
      <c r="G36">
        <f t="shared" si="1"/>
        <v>3.3444918536571194E-2</v>
      </c>
    </row>
    <row r="37" spans="1:7">
      <c r="A37" s="45">
        <v>43862</v>
      </c>
      <c r="B37" s="46">
        <v>2954.22</v>
      </c>
      <c r="D37">
        <f t="shared" si="0"/>
        <v>-8.7859520936204846E-2</v>
      </c>
      <c r="E37" s="47">
        <v>43862</v>
      </c>
      <c r="F37">
        <v>191.53698700000001</v>
      </c>
      <c r="G37">
        <f t="shared" si="1"/>
        <v>-0.16905976971685346</v>
      </c>
    </row>
    <row r="38" spans="1:7">
      <c r="A38" s="45">
        <v>43891</v>
      </c>
      <c r="B38" s="46">
        <v>2584.59</v>
      </c>
      <c r="D38">
        <f t="shared" si="0"/>
        <v>-0.13366776859296695</v>
      </c>
      <c r="E38" s="47">
        <v>43891</v>
      </c>
      <c r="F38">
        <v>148.38244599999999</v>
      </c>
      <c r="G38">
        <f t="shared" si="1"/>
        <v>-0.25528789824705866</v>
      </c>
    </row>
    <row r="39" spans="1:7">
      <c r="A39" s="45">
        <v>43921</v>
      </c>
      <c r="B39" s="46">
        <v>2912.43</v>
      </c>
      <c r="D39">
        <f t="shared" si="0"/>
        <v>0.11942089623740584</v>
      </c>
      <c r="E39" s="47">
        <v>43922</v>
      </c>
      <c r="F39">
        <v>176.054779</v>
      </c>
      <c r="G39">
        <f t="shared" si="1"/>
        <v>0.17100215560291795</v>
      </c>
    </row>
    <row r="40" spans="1:7">
      <c r="A40" s="45">
        <v>43951</v>
      </c>
      <c r="B40" s="46">
        <v>3044.31</v>
      </c>
      <c r="D40">
        <f t="shared" si="0"/>
        <v>4.4286490230530599E-2</v>
      </c>
      <c r="E40" s="47">
        <v>43952</v>
      </c>
      <c r="F40">
        <v>188.59996000000001</v>
      </c>
      <c r="G40">
        <f t="shared" si="1"/>
        <v>6.8832967180388352E-2</v>
      </c>
    </row>
    <row r="41" spans="1:7">
      <c r="A41" s="45">
        <v>43982</v>
      </c>
      <c r="B41" s="46">
        <v>3100.29</v>
      </c>
      <c r="D41">
        <f t="shared" si="0"/>
        <v>1.8221381004063585E-2</v>
      </c>
      <c r="E41" s="47">
        <v>43983</v>
      </c>
      <c r="F41">
        <v>190.87029999999999</v>
      </c>
      <c r="G41">
        <f t="shared" si="1"/>
        <v>1.1965981680714527E-2</v>
      </c>
    </row>
    <row r="42" spans="1:7">
      <c r="A42" s="45">
        <v>44012</v>
      </c>
      <c r="B42" s="46">
        <v>3271.12</v>
      </c>
      <c r="D42">
        <f t="shared" si="0"/>
        <v>5.3636778409248576E-2</v>
      </c>
      <c r="E42" s="47">
        <v>44013</v>
      </c>
      <c r="F42">
        <v>191.19868500000001</v>
      </c>
      <c r="G42">
        <f t="shared" si="1"/>
        <v>1.7189831876154959E-3</v>
      </c>
    </row>
    <row r="43" spans="1:7">
      <c r="A43" s="45">
        <v>44043</v>
      </c>
      <c r="B43" s="46">
        <v>3500.31</v>
      </c>
      <c r="D43">
        <f t="shared" si="0"/>
        <v>6.7719102089653677E-2</v>
      </c>
      <c r="E43" s="47">
        <v>44044</v>
      </c>
      <c r="F43">
        <v>197.87264999999999</v>
      </c>
      <c r="G43">
        <f t="shared" si="1"/>
        <v>3.4310518967606507E-2</v>
      </c>
    </row>
    <row r="44" spans="1:7">
      <c r="A44" s="45">
        <v>44074</v>
      </c>
      <c r="B44" s="46">
        <v>3363</v>
      </c>
      <c r="D44">
        <f t="shared" si="0"/>
        <v>-4.0018103243589488E-2</v>
      </c>
      <c r="E44" s="47">
        <v>44075</v>
      </c>
      <c r="F44">
        <v>195.28106700000001</v>
      </c>
      <c r="G44">
        <f t="shared" si="1"/>
        <v>-1.3183751927215362E-2</v>
      </c>
    </row>
    <row r="45" spans="1:7">
      <c r="A45" s="45">
        <v>44104</v>
      </c>
      <c r="B45" s="46">
        <v>3269.96</v>
      </c>
      <c r="D45">
        <f t="shared" si="0"/>
        <v>-2.8055680339689231E-2</v>
      </c>
      <c r="E45" s="47">
        <v>44105</v>
      </c>
      <c r="F45">
        <v>183.68876599999999</v>
      </c>
      <c r="G45">
        <f t="shared" si="1"/>
        <v>-6.1197053723409424E-2</v>
      </c>
    </row>
    <row r="46" spans="1:7">
      <c r="A46" s="45">
        <v>44135</v>
      </c>
      <c r="B46" s="46">
        <v>3621.63</v>
      </c>
      <c r="D46">
        <f t="shared" si="0"/>
        <v>0.10214644831840361</v>
      </c>
      <c r="E46" s="47">
        <v>44136</v>
      </c>
      <c r="F46">
        <v>224.052887</v>
      </c>
      <c r="G46">
        <f t="shared" si="1"/>
        <v>0.19863929037019118</v>
      </c>
    </row>
    <row r="47" spans="1:7">
      <c r="A47" s="45">
        <v>44166</v>
      </c>
      <c r="B47" s="46">
        <v>3756.07</v>
      </c>
      <c r="D47">
        <f t="shared" si="0"/>
        <v>3.6448997283216107E-2</v>
      </c>
      <c r="E47" s="47">
        <v>44166</v>
      </c>
      <c r="F47">
        <v>256.24508700000001</v>
      </c>
      <c r="G47">
        <f t="shared" si="1"/>
        <v>0.13425223092013264</v>
      </c>
    </row>
    <row r="48" spans="1:7">
      <c r="A48" s="45">
        <v>44197</v>
      </c>
      <c r="B48" s="46">
        <v>3714.24</v>
      </c>
      <c r="D48">
        <f t="shared" si="0"/>
        <v>-1.1199116821942242E-2</v>
      </c>
      <c r="E48" s="47">
        <v>44197</v>
      </c>
      <c r="F48">
        <v>264.930115</v>
      </c>
      <c r="G48">
        <f t="shared" si="1"/>
        <v>3.3331716639759493E-2</v>
      </c>
    </row>
    <row r="49" spans="1:7">
      <c r="A49" s="45">
        <v>44228</v>
      </c>
      <c r="B49" s="46">
        <v>3811.15</v>
      </c>
      <c r="D49">
        <f t="shared" si="0"/>
        <v>2.5756899667125591E-2</v>
      </c>
      <c r="E49" s="47">
        <v>44228</v>
      </c>
      <c r="F49">
        <v>312.12844799999999</v>
      </c>
      <c r="G49">
        <f t="shared" si="1"/>
        <v>0.16394872116949635</v>
      </c>
    </row>
    <row r="50" spans="1:7">
      <c r="A50" s="45">
        <v>44256</v>
      </c>
      <c r="B50" s="46">
        <v>3972.89</v>
      </c>
      <c r="D50">
        <f t="shared" si="0"/>
        <v>4.1562808697442971E-2</v>
      </c>
      <c r="E50" s="47">
        <v>44256</v>
      </c>
      <c r="F50">
        <v>319.47537199999999</v>
      </c>
      <c r="G50">
        <f t="shared" si="1"/>
        <v>2.3265392509301219E-2</v>
      </c>
    </row>
    <row r="51" spans="1:7">
      <c r="A51" s="45">
        <v>44286</v>
      </c>
      <c r="B51" s="46">
        <v>4181.17</v>
      </c>
      <c r="D51">
        <f t="shared" si="0"/>
        <v>5.1097322114293922E-2</v>
      </c>
      <c r="E51" s="47">
        <v>44287</v>
      </c>
      <c r="F51">
        <v>341.76901199999998</v>
      </c>
      <c r="G51">
        <f t="shared" si="1"/>
        <v>6.7454917461681835E-2</v>
      </c>
    </row>
    <row r="52" spans="1:7">
      <c r="A52" s="45">
        <v>44316</v>
      </c>
      <c r="B52" s="46">
        <v>4204.1099999999997</v>
      </c>
      <c r="D52">
        <f t="shared" si="0"/>
        <v>5.4715065520221503E-3</v>
      </c>
      <c r="E52" s="47">
        <v>44317</v>
      </c>
      <c r="F52">
        <v>364.88711499999999</v>
      </c>
      <c r="G52">
        <f t="shared" si="1"/>
        <v>6.5452926408699E-2</v>
      </c>
    </row>
    <row r="53" spans="1:7">
      <c r="A53" s="45">
        <v>44347</v>
      </c>
      <c r="B53" s="46">
        <v>4297.5</v>
      </c>
      <c r="D53">
        <f t="shared" si="0"/>
        <v>2.1970840045862021E-2</v>
      </c>
      <c r="E53" s="47">
        <v>44348</v>
      </c>
      <c r="F53">
        <v>373.51031499999999</v>
      </c>
      <c r="G53">
        <f t="shared" si="1"/>
        <v>2.3357589551902685E-2</v>
      </c>
    </row>
    <row r="54" spans="1:7">
      <c r="A54" s="45">
        <v>44377</v>
      </c>
      <c r="B54" s="46">
        <v>4395.26</v>
      </c>
      <c r="D54">
        <f t="shared" si="0"/>
        <v>2.249322924674322E-2</v>
      </c>
      <c r="E54" s="47">
        <v>44378</v>
      </c>
      <c r="F54">
        <v>368.93408199999999</v>
      </c>
      <c r="G54">
        <f t="shared" si="1"/>
        <v>-1.2327632810549771E-2</v>
      </c>
    </row>
    <row r="55" spans="1:7">
      <c r="A55" s="45">
        <v>44408</v>
      </c>
      <c r="B55" s="46">
        <v>4522.68</v>
      </c>
      <c r="D55">
        <f t="shared" si="0"/>
        <v>2.857805096868915E-2</v>
      </c>
      <c r="E55" s="47">
        <v>44409</v>
      </c>
      <c r="F55">
        <v>406.95138500000002</v>
      </c>
      <c r="G55">
        <f t="shared" si="1"/>
        <v>9.8075742617582243E-2</v>
      </c>
    </row>
    <row r="56" spans="1:7">
      <c r="A56" s="45">
        <v>44439</v>
      </c>
      <c r="B56" s="46">
        <v>4307.54</v>
      </c>
      <c r="D56">
        <f t="shared" si="0"/>
        <v>-4.8737762984622721E-2</v>
      </c>
      <c r="E56" s="47">
        <v>44440</v>
      </c>
      <c r="F56">
        <v>373.841858</v>
      </c>
      <c r="G56">
        <f t="shared" si="1"/>
        <v>-8.4860862713286744E-2</v>
      </c>
    </row>
    <row r="57" spans="1:7">
      <c r="A57" s="45">
        <v>44469</v>
      </c>
      <c r="B57" s="46">
        <v>4605.38</v>
      </c>
      <c r="D57">
        <f t="shared" si="0"/>
        <v>6.6858209798173654E-2</v>
      </c>
      <c r="E57" s="47">
        <v>44470</v>
      </c>
      <c r="F57">
        <v>408.77056900000002</v>
      </c>
      <c r="G57">
        <f t="shared" si="1"/>
        <v>8.9321174237427303E-2</v>
      </c>
    </row>
    <row r="58" spans="1:7">
      <c r="A58" s="45">
        <v>44500</v>
      </c>
      <c r="B58" s="46">
        <v>4567</v>
      </c>
      <c r="D58">
        <f t="shared" si="0"/>
        <v>-8.3686511009886007E-3</v>
      </c>
      <c r="E58" s="47">
        <v>44501</v>
      </c>
      <c r="F58">
        <v>376.76907299999999</v>
      </c>
      <c r="G58">
        <f t="shared" si="1"/>
        <v>-8.1521581349761771E-2</v>
      </c>
    </row>
    <row r="59" spans="1:7">
      <c r="A59" s="45">
        <v>44531</v>
      </c>
      <c r="B59" s="46">
        <v>4766.18</v>
      </c>
      <c r="D59">
        <f t="shared" si="0"/>
        <v>4.2688611280446646E-2</v>
      </c>
      <c r="E59" s="47">
        <v>44531</v>
      </c>
      <c r="F59">
        <v>378.31176799999997</v>
      </c>
      <c r="G59">
        <f t="shared" si="1"/>
        <v>4.086177433579234E-3</v>
      </c>
    </row>
    <row r="60" spans="1:7">
      <c r="A60" s="45">
        <v>44562</v>
      </c>
      <c r="B60" s="46">
        <v>4515.55</v>
      </c>
      <c r="D60">
        <f t="shared" si="0"/>
        <v>-5.401814986501885E-2</v>
      </c>
      <c r="E60" s="47">
        <v>44562</v>
      </c>
      <c r="F60">
        <v>352.60153200000002</v>
      </c>
      <c r="G60">
        <f t="shared" si="1"/>
        <v>-7.0380023920688581E-2</v>
      </c>
    </row>
    <row r="61" spans="1:7">
      <c r="A61" s="45">
        <v>44593</v>
      </c>
      <c r="B61" s="46">
        <v>4504.08</v>
      </c>
      <c r="D61">
        <f t="shared" si="0"/>
        <v>-2.5433429492998125E-3</v>
      </c>
      <c r="E61" s="47">
        <v>44593</v>
      </c>
      <c r="F61">
        <v>339.290009</v>
      </c>
      <c r="G61">
        <f t="shared" si="1"/>
        <v>-3.8483389382457205E-2</v>
      </c>
    </row>
    <row r="62" spans="1:7">
      <c r="A62" s="48"/>
      <c r="B62"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58D1-10F4-4E2C-A72E-C47E819D23E7}">
  <dimension ref="A1:U64"/>
  <sheetViews>
    <sheetView workbookViewId="0">
      <selection activeCell="J12" sqref="J12"/>
    </sheetView>
  </sheetViews>
  <sheetFormatPr defaultColWidth="11.44140625" defaultRowHeight="14.4"/>
  <cols>
    <col min="1" max="1" width="50.109375" customWidth="1"/>
    <col min="2" max="5" width="12" bestFit="1" customWidth="1"/>
    <col min="6" max="8" width="22.33203125" bestFit="1" customWidth="1"/>
    <col min="9" max="9" width="19.33203125" bestFit="1" customWidth="1"/>
    <col min="13" max="13" width="12.6640625" bestFit="1" customWidth="1"/>
    <col min="18" max="19" width="12.88671875" bestFit="1" customWidth="1"/>
    <col min="20" max="20" width="12.5546875" bestFit="1" customWidth="1"/>
  </cols>
  <sheetData>
    <row r="1" spans="1:21">
      <c r="A1" s="2"/>
      <c r="B1" s="2"/>
    </row>
    <row r="2" spans="1:21">
      <c r="A2" s="21" t="s">
        <v>236</v>
      </c>
      <c r="B2" s="2"/>
      <c r="C2" s="2"/>
      <c r="D2" s="2"/>
      <c r="E2" s="2"/>
      <c r="F2" s="2"/>
      <c r="G2" s="2"/>
      <c r="H2" s="2"/>
      <c r="I2" s="2"/>
      <c r="J2" s="2"/>
      <c r="K2" s="2"/>
      <c r="L2" s="2"/>
      <c r="M2" s="2"/>
      <c r="N2" s="2"/>
      <c r="O2" s="2"/>
      <c r="P2" s="2"/>
      <c r="Q2" s="2"/>
      <c r="R2" s="2"/>
      <c r="S2" s="2"/>
      <c r="T2" s="2"/>
      <c r="U2" s="2"/>
    </row>
    <row r="3" spans="1:21">
      <c r="A3" s="2" t="s">
        <v>237</v>
      </c>
      <c r="B3" s="2"/>
      <c r="C3" s="2"/>
      <c r="D3" s="2"/>
      <c r="E3" s="2"/>
      <c r="F3" s="2"/>
      <c r="G3" s="2"/>
      <c r="H3" s="2"/>
      <c r="I3" s="2"/>
      <c r="J3" s="2"/>
      <c r="K3" s="2"/>
      <c r="L3" s="2"/>
      <c r="M3" s="2"/>
      <c r="N3" s="2"/>
      <c r="O3" s="2"/>
      <c r="P3" s="2"/>
      <c r="Q3" s="2"/>
      <c r="R3" s="2"/>
      <c r="S3" s="2"/>
      <c r="T3" s="2"/>
      <c r="U3" s="2"/>
    </row>
    <row r="4" spans="1:21">
      <c r="A4" s="2" t="s">
        <v>238</v>
      </c>
      <c r="B4" s="2"/>
      <c r="C4" s="2"/>
      <c r="D4" s="2"/>
      <c r="E4" s="2"/>
      <c r="F4" s="2"/>
      <c r="G4" s="2"/>
      <c r="H4" s="2"/>
      <c r="I4" s="2"/>
      <c r="J4" s="2"/>
      <c r="K4" s="2"/>
      <c r="L4" s="2"/>
      <c r="M4" s="2"/>
      <c r="N4" s="2"/>
      <c r="O4" s="2"/>
      <c r="P4" s="2"/>
      <c r="Q4" s="2"/>
      <c r="R4" s="2"/>
      <c r="S4" s="2"/>
      <c r="T4" s="2"/>
      <c r="U4" s="2"/>
    </row>
    <row r="5" spans="1:21">
      <c r="A5" s="2"/>
      <c r="B5" s="2">
        <v>2018</v>
      </c>
      <c r="C5" s="2">
        <v>2019</v>
      </c>
      <c r="D5" s="2">
        <v>2020</v>
      </c>
      <c r="E5" s="2">
        <v>2021</v>
      </c>
      <c r="F5" s="2" t="s">
        <v>239</v>
      </c>
      <c r="G5" s="2" t="s">
        <v>240</v>
      </c>
      <c r="H5" s="2" t="s">
        <v>241</v>
      </c>
      <c r="I5" s="2" t="s">
        <v>6</v>
      </c>
      <c r="J5" s="2">
        <v>2022</v>
      </c>
      <c r="K5" s="2">
        <v>2023</v>
      </c>
      <c r="L5" s="2">
        <v>2024</v>
      </c>
      <c r="M5" s="2">
        <v>2025</v>
      </c>
      <c r="N5" s="2">
        <v>2026</v>
      </c>
      <c r="O5" s="2">
        <v>2027</v>
      </c>
      <c r="P5" s="2">
        <v>2028</v>
      </c>
      <c r="Q5" s="2">
        <v>2029</v>
      </c>
      <c r="R5" s="2">
        <v>2030</v>
      </c>
      <c r="S5" s="2">
        <v>2031</v>
      </c>
      <c r="T5" s="2">
        <v>2032</v>
      </c>
      <c r="U5" s="2"/>
    </row>
    <row r="6" spans="1:21">
      <c r="A6" s="21" t="s">
        <v>242</v>
      </c>
      <c r="B6" s="41">
        <v>20421000</v>
      </c>
      <c r="C6" s="41">
        <v>23868000</v>
      </c>
      <c r="D6" s="2">
        <v>13729000</v>
      </c>
      <c r="E6" s="2">
        <v>921000</v>
      </c>
      <c r="F6" s="2">
        <f t="shared" ref="F6:F17" si="0">(C6-B6)/B6</f>
        <v>0.16879682679594535</v>
      </c>
      <c r="G6" s="2">
        <f t="shared" ref="G6:G17" si="1">(D6-C6)/C6</f>
        <v>-0.42479470420646892</v>
      </c>
      <c r="H6" s="2">
        <f t="shared" ref="H6:H17" si="2">(E6-D6)/D6</f>
        <v>-0.93291572583582194</v>
      </c>
      <c r="I6" s="2">
        <f t="shared" ref="I6:I17" si="3">AVERAGE(F6:H6)</f>
        <v>-0.39630453441544855</v>
      </c>
      <c r="J6" s="2">
        <f t="shared" ref="J6:J17" si="4">E6*(1+I6)</f>
        <v>556003.52380337194</v>
      </c>
      <c r="K6" s="2">
        <f>J6*(1+$I$6)</f>
        <v>335656.80616912787</v>
      </c>
      <c r="L6" s="2">
        <f t="shared" ref="L6:L17" si="5">K6*(1+I6)</f>
        <v>202634.49187689519</v>
      </c>
      <c r="M6" s="2">
        <f t="shared" ref="M6:M17" si="6">L6*(1+I6)</f>
        <v>122329.52391711125</v>
      </c>
      <c r="N6" s="2">
        <f t="shared" ref="N6:N17" si="7">M6*(1+I6)</f>
        <v>73849.778895876996</v>
      </c>
      <c r="O6" s="2">
        <f t="shared" ref="O6:O17" si="8">N6*(1+I6)</f>
        <v>44582.776653862646</v>
      </c>
      <c r="P6" s="2">
        <f t="shared" ref="P6:P17" si="9">O6*(1+I6)</f>
        <v>26914.420109105682</v>
      </c>
      <c r="Q6" s="2">
        <f t="shared" ref="Q6:Q17" si="10">P6*(1+I6)</f>
        <v>16248.113378704769</v>
      </c>
      <c r="R6" s="2">
        <f t="shared" ref="R6:R17" si="11">Q6*(1+I6)</f>
        <v>9808.9123710277545</v>
      </c>
      <c r="S6" s="2">
        <f t="shared" ref="S6:S17" si="12">R6*(1+I6)</f>
        <v>5921.5959207056667</v>
      </c>
      <c r="T6" s="2">
        <f t="shared" ref="T6:T17" si="13">S6*(1+I6)</f>
        <v>3574.8406063539883</v>
      </c>
      <c r="U6" s="2"/>
    </row>
    <row r="7" spans="1:21" ht="20.25" customHeight="1">
      <c r="A7" s="2" t="s">
        <v>243</v>
      </c>
      <c r="B7" s="41">
        <v>-22677000</v>
      </c>
      <c r="C7" s="41">
        <v>-24236000</v>
      </c>
      <c r="D7" s="41">
        <v>-34356000</v>
      </c>
      <c r="E7" s="41">
        <v>-30465000</v>
      </c>
      <c r="F7" s="2">
        <f t="shared" si="0"/>
        <v>6.8748070732460198E-2</v>
      </c>
      <c r="G7" s="2">
        <f t="shared" si="1"/>
        <v>0.41756065357319688</v>
      </c>
      <c r="H7" s="2">
        <f t="shared" si="2"/>
        <v>-0.11325532658050995</v>
      </c>
      <c r="I7" s="2">
        <f t="shared" si="3"/>
        <v>0.12435113257504904</v>
      </c>
      <c r="J7" s="2">
        <f t="shared" si="4"/>
        <v>-34253357.253898866</v>
      </c>
      <c r="K7" s="2">
        <f t="shared" ref="K7:K17" si="14">J7*(1+I7)</f>
        <v>-38512801.022918962</v>
      </c>
      <c r="L7" s="2">
        <f t="shared" si="5"/>
        <v>-43301911.448756441</v>
      </c>
      <c r="M7" s="2">
        <f t="shared" si="6"/>
        <v>-48686553.18007379</v>
      </c>
      <c r="N7" s="2">
        <f t="shared" si="7"/>
        <v>-54740781.209191322</v>
      </c>
      <c r="O7" s="2">
        <f t="shared" si="8"/>
        <v>-61547859.350597225</v>
      </c>
      <c r="P7" s="2">
        <f t="shared" si="9"/>
        <v>-69201405.368413806</v>
      </c>
      <c r="Q7" s="2">
        <f t="shared" si="10"/>
        <v>-77806678.501761138</v>
      </c>
      <c r="R7" s="2">
        <f t="shared" si="11"/>
        <v>-87482027.09535785</v>
      </c>
      <c r="S7" s="2">
        <f t="shared" si="12"/>
        <v>-98360516.244626731</v>
      </c>
      <c r="T7" s="2">
        <f t="shared" si="13"/>
        <v>-110591757.84031257</v>
      </c>
      <c r="U7" s="2"/>
    </row>
    <row r="8" spans="1:21">
      <c r="A8" s="2" t="s">
        <v>244</v>
      </c>
      <c r="B8" s="41">
        <v>22752000</v>
      </c>
      <c r="C8" s="42">
        <v>3367000</v>
      </c>
      <c r="D8" s="41">
        <v>70380000</v>
      </c>
      <c r="E8" s="41">
        <v>134738000</v>
      </c>
      <c r="F8" s="2">
        <f t="shared" si="0"/>
        <v>-0.85201300984528827</v>
      </c>
      <c r="G8" s="2">
        <f t="shared" si="1"/>
        <v>19.902880902880902</v>
      </c>
      <c r="H8" s="2">
        <f t="shared" si="2"/>
        <v>0.91443591929525436</v>
      </c>
      <c r="I8" s="2">
        <f t="shared" si="3"/>
        <v>6.6551012707769566</v>
      </c>
      <c r="J8" s="2">
        <f t="shared" si="4"/>
        <v>1031433035.0219456</v>
      </c>
      <c r="K8" s="2">
        <f t="shared" si="14"/>
        <v>7895724337.1178293</v>
      </c>
      <c r="L8" s="2">
        <f t="shared" si="5"/>
        <v>60442569406.775238</v>
      </c>
      <c r="M8" s="2">
        <f t="shared" si="6"/>
        <v>462693989874.82953</v>
      </c>
      <c r="N8" s="2">
        <f t="shared" si="7"/>
        <v>3541969349871.668</v>
      </c>
      <c r="O8" s="2">
        <f t="shared" si="8"/>
        <v>27114134071255.637</v>
      </c>
      <c r="P8" s="2">
        <f t="shared" si="9"/>
        <v>207561442184885.81</v>
      </c>
      <c r="Q8" s="2">
        <f t="shared" si="10"/>
        <v>1588903859833817.3</v>
      </c>
      <c r="R8" s="2">
        <f t="shared" si="11"/>
        <v>1.2163219956556266E+16</v>
      </c>
      <c r="S8" s="2">
        <f t="shared" si="12"/>
        <v>9.3110680546173504E+16</v>
      </c>
      <c r="T8" s="2">
        <f t="shared" si="13"/>
        <v>7.1277168897192E+17</v>
      </c>
      <c r="U8" s="2"/>
    </row>
    <row r="9" spans="1:21">
      <c r="A9" s="2" t="s">
        <v>245</v>
      </c>
      <c r="B9" s="41">
        <v>130547000</v>
      </c>
      <c r="C9" s="41">
        <v>133546000</v>
      </c>
      <c r="D9" s="41">
        <v>155842000</v>
      </c>
      <c r="E9" s="41">
        <v>261036000</v>
      </c>
      <c r="F9" s="2">
        <f t="shared" si="0"/>
        <v>2.2972569266241277E-2</v>
      </c>
      <c r="G9" s="2">
        <f t="shared" si="1"/>
        <v>0.1669537088344091</v>
      </c>
      <c r="H9" s="2">
        <f t="shared" si="2"/>
        <v>0.67500417089103071</v>
      </c>
      <c r="I9" s="2">
        <f t="shared" si="3"/>
        <v>0.28831014966389373</v>
      </c>
      <c r="J9" s="2">
        <f t="shared" si="4"/>
        <v>336295328.22766417</v>
      </c>
      <c r="K9" s="2">
        <f t="shared" si="14"/>
        <v>433252684.64025033</v>
      </c>
      <c r="L9" s="2">
        <f t="shared" si="5"/>
        <v>558163830.99116468</v>
      </c>
      <c r="M9" s="2">
        <f t="shared" si="6"/>
        <v>719088128.64119971</v>
      </c>
      <c r="N9" s="2">
        <f t="shared" si="7"/>
        <v>926408534.63127327</v>
      </c>
      <c r="O9" s="2">
        <f t="shared" si="8"/>
        <v>1193501517.9007242</v>
      </c>
      <c r="P9" s="2">
        <f t="shared" si="9"/>
        <v>1537600119.1507664</v>
      </c>
      <c r="Q9" s="2">
        <f t="shared" si="10"/>
        <v>1980905839.6263447</v>
      </c>
      <c r="R9" s="2">
        <f t="shared" si="11"/>
        <v>2552021098.7190971</v>
      </c>
      <c r="S9" s="2">
        <f t="shared" si="12"/>
        <v>3287794683.6362147</v>
      </c>
      <c r="T9" s="2">
        <f t="shared" si="13"/>
        <v>4235699260.9395261</v>
      </c>
      <c r="U9" s="2"/>
    </row>
    <row r="10" spans="1:21">
      <c r="A10" s="2" t="s">
        <v>246</v>
      </c>
      <c r="B10" s="41">
        <v>1270000</v>
      </c>
      <c r="C10" s="41">
        <v>1266000</v>
      </c>
      <c r="D10" s="41">
        <v>2754000</v>
      </c>
      <c r="E10" s="41">
        <v>6195000</v>
      </c>
      <c r="F10" s="2">
        <f t="shared" si="0"/>
        <v>-3.1496062992125984E-3</v>
      </c>
      <c r="G10" s="2">
        <f t="shared" si="1"/>
        <v>1.1753554502369667</v>
      </c>
      <c r="H10" s="2">
        <f t="shared" si="2"/>
        <v>1.2494553376906319</v>
      </c>
      <c r="I10" s="2">
        <f t="shared" si="3"/>
        <v>0.80722039387612865</v>
      </c>
      <c r="J10" s="2">
        <f t="shared" si="4"/>
        <v>11195730.340062616</v>
      </c>
      <c r="K10" s="2">
        <f t="shared" si="14"/>
        <v>20233152.194898885</v>
      </c>
      <c r="L10" s="2">
        <f t="shared" si="5"/>
        <v>36565765.279020816</v>
      </c>
      <c r="M10" s="2">
        <f t="shared" si="6"/>
        <v>66082396.729934067</v>
      </c>
      <c r="N10" s="2">
        <f t="shared" si="7"/>
        <v>119425455.04655004</v>
      </c>
      <c r="O10" s="2">
        <f t="shared" si="8"/>
        <v>215828117.90806204</v>
      </c>
      <c r="P10" s="2">
        <f t="shared" si="9"/>
        <v>390048976.25535142</v>
      </c>
      <c r="Q10" s="2">
        <f t="shared" si="10"/>
        <v>704904464.49917698</v>
      </c>
      <c r="R10" s="2">
        <f t="shared" si="11"/>
        <v>1273917723.9772441</v>
      </c>
      <c r="S10" s="2">
        <f t="shared" si="12"/>
        <v>2302250090.8919363</v>
      </c>
      <c r="T10" s="2">
        <f t="shared" si="13"/>
        <v>4160673316.0630779</v>
      </c>
      <c r="U10" s="2"/>
    </row>
    <row r="11" spans="1:21">
      <c r="A11" s="2" t="s">
        <v>247</v>
      </c>
      <c r="B11" s="41">
        <v>16720000</v>
      </c>
      <c r="C11" s="41">
        <v>18645000</v>
      </c>
      <c r="D11" s="41">
        <v>9091000</v>
      </c>
      <c r="E11" s="41">
        <v>5521000</v>
      </c>
      <c r="F11" s="2">
        <f t="shared" si="0"/>
        <v>0.11513157894736842</v>
      </c>
      <c r="G11" s="2">
        <f t="shared" si="1"/>
        <v>-0.51241619737194954</v>
      </c>
      <c r="H11" s="2">
        <f t="shared" si="2"/>
        <v>-0.39269607303926962</v>
      </c>
      <c r="I11" s="2">
        <f t="shared" si="3"/>
        <v>-0.26332689715461693</v>
      </c>
      <c r="J11" s="2">
        <f t="shared" si="4"/>
        <v>4067172.2008093596</v>
      </c>
      <c r="K11" s="2">
        <f t="shared" si="14"/>
        <v>2996176.3649767162</v>
      </c>
      <c r="L11" s="2">
        <f t="shared" si="5"/>
        <v>2207202.5394593985</v>
      </c>
      <c r="M11" s="2">
        <f t="shared" si="6"/>
        <v>1625986.743351764</v>
      </c>
      <c r="N11" s="2">
        <f t="shared" si="7"/>
        <v>1197820.6994104034</v>
      </c>
      <c r="O11" s="2">
        <f t="shared" si="8"/>
        <v>882402.29128708865</v>
      </c>
      <c r="P11" s="2">
        <f t="shared" si="9"/>
        <v>650042.03388033505</v>
      </c>
      <c r="Q11" s="2">
        <f t="shared" si="10"/>
        <v>478868.48207855003</v>
      </c>
      <c r="R11" s="2">
        <f t="shared" si="11"/>
        <v>352769.53054766415</v>
      </c>
      <c r="S11" s="2">
        <f t="shared" si="12"/>
        <v>259875.82465785687</v>
      </c>
      <c r="T11" s="2">
        <f t="shared" si="13"/>
        <v>191443.53010520613</v>
      </c>
      <c r="U11" s="2"/>
    </row>
    <row r="12" spans="1:21">
      <c r="A12" s="2" t="s">
        <v>248</v>
      </c>
      <c r="B12" s="41">
        <v>7982000</v>
      </c>
      <c r="C12" s="41">
        <v>8443000</v>
      </c>
      <c r="D12" s="41">
        <v>6309000</v>
      </c>
      <c r="E12" s="41">
        <v>4667000</v>
      </c>
      <c r="F12" s="2">
        <f>(C12-B12)/B12</f>
        <v>5.7754948634427462E-2</v>
      </c>
      <c r="G12" s="2">
        <f t="shared" si="1"/>
        <v>-0.25275376051166648</v>
      </c>
      <c r="H12" s="2">
        <f t="shared" si="2"/>
        <v>-0.26026311618323028</v>
      </c>
      <c r="I12" s="2">
        <f t="shared" si="3"/>
        <v>-0.15175397602015642</v>
      </c>
      <c r="J12" s="2">
        <f t="shared" si="4"/>
        <v>3958764.1939139301</v>
      </c>
      <c r="K12" s="2">
        <f t="shared" si="14"/>
        <v>3358005.9873612616</v>
      </c>
      <c r="L12" s="2">
        <f t="shared" si="5"/>
        <v>2848415.2272796989</v>
      </c>
      <c r="M12" s="2">
        <f t="shared" si="6"/>
        <v>2416156.8911836473</v>
      </c>
      <c r="N12" s="2">
        <f t="shared" si="7"/>
        <v>2049495.4762580285</v>
      </c>
      <c r="O12" s="2">
        <f t="shared" si="8"/>
        <v>1738476.3889005487</v>
      </c>
      <c r="P12" s="2">
        <f t="shared" si="9"/>
        <v>1474655.6846677267</v>
      </c>
      <c r="Q12" s="2">
        <f t="shared" si="10"/>
        <v>1250870.8212586732</v>
      </c>
      <c r="R12" s="2">
        <f t="shared" si="11"/>
        <v>1061046.2006450712</v>
      </c>
      <c r="S12" s="2">
        <f t="shared" si="12"/>
        <v>900028.22095610108</v>
      </c>
      <c r="T12" s="2">
        <f t="shared" si="13"/>
        <v>763445.35989566485</v>
      </c>
      <c r="U12" s="2"/>
    </row>
    <row r="13" spans="1:21">
      <c r="A13" s="2" t="s">
        <v>249</v>
      </c>
      <c r="B13" s="41">
        <v>38000</v>
      </c>
      <c r="C13" s="41">
        <v>1098000</v>
      </c>
      <c r="D13" s="41">
        <v>349000</v>
      </c>
      <c r="E13" s="41">
        <v>2172000</v>
      </c>
      <c r="F13" s="2">
        <f t="shared" si="0"/>
        <v>27.894736842105264</v>
      </c>
      <c r="G13" s="2">
        <f t="shared" si="1"/>
        <v>-0.68214936247723135</v>
      </c>
      <c r="H13" s="2">
        <f t="shared" si="2"/>
        <v>5.2234957020057307</v>
      </c>
      <c r="I13" s="2">
        <f t="shared" si="3"/>
        <v>10.812027727211253</v>
      </c>
      <c r="J13" s="2">
        <f t="shared" si="4"/>
        <v>25655724.223502841</v>
      </c>
      <c r="K13" s="2">
        <f t="shared" si="14"/>
        <v>303046125.88970095</v>
      </c>
      <c r="L13" s="2">
        <f t="shared" si="5"/>
        <v>3579589241.6330996</v>
      </c>
      <c r="M13" s="2">
        <f t="shared" si="6"/>
        <v>42282207374.197273</v>
      </c>
      <c r="N13" s="2">
        <f t="shared" si="7"/>
        <v>499438605871.71429</v>
      </c>
      <c r="O13" s="2">
        <f t="shared" si="8"/>
        <v>5899382660596.4229</v>
      </c>
      <c r="P13" s="2">
        <f t="shared" si="9"/>
        <v>69683671560394.242</v>
      </c>
      <c r="Q13" s="2">
        <f t="shared" si="10"/>
        <v>823105460605259.13</v>
      </c>
      <c r="R13" s="2">
        <f t="shared" si="11"/>
        <v>9722544523088310</v>
      </c>
      <c r="S13" s="2">
        <f t="shared" si="12"/>
        <v>1.1484296548576502E+17</v>
      </c>
      <c r="T13" s="2">
        <f t="shared" si="13"/>
        <v>1.3565282925930214E+18</v>
      </c>
      <c r="U13" s="2"/>
    </row>
    <row r="14" spans="1:21">
      <c r="A14" s="2" t="s">
        <v>250</v>
      </c>
      <c r="B14" s="41">
        <v>50923000</v>
      </c>
      <c r="C14" s="41">
        <v>29638000</v>
      </c>
      <c r="D14" s="41">
        <v>55323000</v>
      </c>
      <c r="E14" s="41">
        <v>97512000</v>
      </c>
      <c r="F14" s="2">
        <f t="shared" si="0"/>
        <v>-0.41798401508159377</v>
      </c>
      <c r="G14" s="2">
        <f t="shared" si="1"/>
        <v>0.86662392874013094</v>
      </c>
      <c r="H14" s="2">
        <f t="shared" si="2"/>
        <v>0.76259421940241856</v>
      </c>
      <c r="I14" s="2">
        <f t="shared" si="3"/>
        <v>0.40374471102031856</v>
      </c>
      <c r="J14" s="2">
        <f t="shared" si="4"/>
        <v>136881954.2610133</v>
      </c>
      <c r="K14" s="2">
        <f t="shared" si="14"/>
        <v>192147319.32802257</v>
      </c>
      <c r="L14" s="2">
        <f t="shared" si="5"/>
        <v>269725783.24344391</v>
      </c>
      <c r="M14" s="2">
        <f t="shared" si="6"/>
        <v>378626141.65379721</v>
      </c>
      <c r="N14" s="2">
        <f t="shared" si="7"/>
        <v>531494443.80054772</v>
      </c>
      <c r="O14" s="2">
        <f t="shared" si="8"/>
        <v>746082514.42170477</v>
      </c>
      <c r="P14" s="2">
        <f t="shared" si="9"/>
        <v>1047309383.6042086</v>
      </c>
      <c r="Q14" s="2">
        <f t="shared" si="10"/>
        <v>1470155008.0363576</v>
      </c>
      <c r="R14" s="2">
        <f t="shared" si="11"/>
        <v>2063722316.9110708</v>
      </c>
      <c r="S14" s="2">
        <f t="shared" si="12"/>
        <v>2896939287.3785133</v>
      </c>
      <c r="T14" s="2">
        <f t="shared" si="13"/>
        <v>4066563202.8045588</v>
      </c>
      <c r="U14" s="2"/>
    </row>
    <row r="15" spans="1:21">
      <c r="A15" s="2" t="s">
        <v>251</v>
      </c>
      <c r="B15" s="41">
        <v>-46725000</v>
      </c>
      <c r="C15" s="42">
        <v>-51610000</v>
      </c>
      <c r="D15" s="41">
        <v>-59188000</v>
      </c>
      <c r="E15" s="41">
        <v>-59198000</v>
      </c>
      <c r="F15" s="2">
        <f t="shared" si="0"/>
        <v>0.10454788657035848</v>
      </c>
      <c r="G15" s="2">
        <f t="shared" si="1"/>
        <v>0.14683200930052315</v>
      </c>
      <c r="H15" s="2">
        <f t="shared" si="2"/>
        <v>1.6895316618233426E-4</v>
      </c>
      <c r="I15" s="2">
        <f t="shared" si="3"/>
        <v>8.384961634568798E-2</v>
      </c>
      <c r="J15" s="2">
        <f t="shared" si="4"/>
        <v>-64161729.588432029</v>
      </c>
      <c r="K15" s="2">
        <f t="shared" si="14"/>
        <v>-69541665.998497829</v>
      </c>
      <c r="L15" s="2">
        <f t="shared" si="5"/>
        <v>-75372708.012511835</v>
      </c>
      <c r="M15" s="2">
        <f t="shared" si="6"/>
        <v>-81692680.662296504</v>
      </c>
      <c r="N15" s="2">
        <f t="shared" si="7"/>
        <v>-88542580.594080865</v>
      </c>
      <c r="O15" s="2">
        <f t="shared" si="8"/>
        <v>-95966842.007151693</v>
      </c>
      <c r="P15" s="2">
        <f t="shared" si="9"/>
        <v>-104013624.8913586</v>
      </c>
      <c r="Q15" s="2">
        <f t="shared" si="10"/>
        <v>-112735127.43322331</v>
      </c>
      <c r="R15" s="2">
        <f t="shared" si="11"/>
        <v>-122187924.61718132</v>
      </c>
      <c r="S15" s="2">
        <f t="shared" si="12"/>
        <v>-132433335.21840779</v>
      </c>
      <c r="T15" s="2">
        <f t="shared" si="13"/>
        <v>-143537819.56785116</v>
      </c>
      <c r="U15" s="2"/>
    </row>
    <row r="16" spans="1:21" ht="27" customHeight="1">
      <c r="A16" s="2" t="s">
        <v>252</v>
      </c>
      <c r="B16" s="42">
        <v>-3979000</v>
      </c>
      <c r="C16" s="41">
        <v>-6435000</v>
      </c>
      <c r="D16" s="41">
        <v>-2278000</v>
      </c>
      <c r="E16" s="41">
        <v>-7875000</v>
      </c>
      <c r="F16" s="2">
        <f t="shared" si="0"/>
        <v>0.61724051269163105</v>
      </c>
      <c r="G16" s="2">
        <f t="shared" si="1"/>
        <v>-0.64599844599844602</v>
      </c>
      <c r="H16" s="2">
        <f t="shared" si="2"/>
        <v>2.4569798068481123</v>
      </c>
      <c r="I16" s="2">
        <f t="shared" si="3"/>
        <v>0.80940729118043242</v>
      </c>
      <c r="J16" s="2">
        <f t="shared" si="4"/>
        <v>-14249082.418045904</v>
      </c>
      <c r="K16" s="2">
        <f t="shared" si="14"/>
        <v>-25782393.619843166</v>
      </c>
      <c r="L16" s="2">
        <f t="shared" si="5"/>
        <v>-46650850.999828085</v>
      </c>
      <c r="M16" s="2">
        <f t="shared" si="6"/>
        <v>-84410389.938860908</v>
      </c>
      <c r="N16" s="2">
        <f t="shared" si="7"/>
        <v>-152732775.00675833</v>
      </c>
      <c r="O16" s="2">
        <f t="shared" si="8"/>
        <v>-276355796.69944906</v>
      </c>
      <c r="P16" s="2">
        <f t="shared" si="9"/>
        <v>-500040193.50796044</v>
      </c>
      <c r="Q16" s="2">
        <f t="shared" si="10"/>
        <v>-904776372.01657796</v>
      </c>
      <c r="R16" s="2">
        <f t="shared" si="11"/>
        <v>-1637108964.4145756</v>
      </c>
      <c r="S16" s="2">
        <f t="shared" si="12"/>
        <v>-2962196896.6685801</v>
      </c>
      <c r="T16" s="2">
        <f t="shared" si="13"/>
        <v>-5359820662.7441788</v>
      </c>
      <c r="U16" s="2"/>
    </row>
    <row r="17" spans="1:21">
      <c r="A17" s="2" t="s">
        <v>253</v>
      </c>
      <c r="B17" s="41">
        <v>12439000</v>
      </c>
      <c r="C17" s="41">
        <v>15425000</v>
      </c>
      <c r="D17" s="41">
        <v>-20037000</v>
      </c>
      <c r="E17" s="41">
        <v>-3746000</v>
      </c>
      <c r="F17" s="2">
        <f t="shared" si="0"/>
        <v>0.24005145108127662</v>
      </c>
      <c r="G17" s="2">
        <f t="shared" si="1"/>
        <v>-2.2989951377633711</v>
      </c>
      <c r="H17" s="2">
        <f t="shared" si="2"/>
        <v>-0.81304586514947352</v>
      </c>
      <c r="I17" s="2">
        <f t="shared" si="3"/>
        <v>-0.95732985061052267</v>
      </c>
      <c r="J17" s="2">
        <f t="shared" si="4"/>
        <v>-159842.37961298207</v>
      </c>
      <c r="K17" s="2">
        <f t="shared" si="14"/>
        <v>-6820.4982168554907</v>
      </c>
      <c r="L17" s="2">
        <f t="shared" si="5"/>
        <v>-291.03167782388755</v>
      </c>
      <c r="M17" s="2">
        <f t="shared" si="6"/>
        <v>-12.418365169815518</v>
      </c>
      <c r="N17" s="2">
        <f t="shared" si="7"/>
        <v>-0.52989349696911014</v>
      </c>
      <c r="O17" s="2">
        <f t="shared" si="8"/>
        <v>-2.2610634676184481E-2</v>
      </c>
      <c r="P17" s="2">
        <f t="shared" si="9"/>
        <v>-9.6479915942368813E-4</v>
      </c>
      <c r="Q17" s="2">
        <f t="shared" si="10"/>
        <v>-4.1168124263450925E-5</v>
      </c>
      <c r="R17" s="2">
        <f t="shared" si="11"/>
        <v>-1.7566500124060174E-6</v>
      </c>
      <c r="S17" s="2">
        <f t="shared" si="12"/>
        <v>-7.4956518454391962E-8</v>
      </c>
      <c r="T17" s="2">
        <f t="shared" si="13"/>
        <v>-3.1984058401640196E-9</v>
      </c>
      <c r="U17" s="2"/>
    </row>
    <row r="18" spans="1:21">
      <c r="A18" s="2"/>
      <c r="B18" s="2"/>
      <c r="C18" s="2"/>
      <c r="D18" s="2"/>
      <c r="E18" s="2"/>
      <c r="F18" s="2"/>
      <c r="G18" s="2"/>
      <c r="H18" s="2"/>
      <c r="I18" s="2"/>
      <c r="J18" s="2"/>
      <c r="K18" s="2"/>
      <c r="L18" s="2"/>
      <c r="M18" s="2"/>
      <c r="N18" s="2"/>
      <c r="O18" s="2"/>
      <c r="P18" s="2"/>
      <c r="Q18" s="2"/>
      <c r="R18" s="2"/>
      <c r="S18" s="2"/>
      <c r="T18" s="2"/>
      <c r="U18" s="2"/>
    </row>
    <row r="19" spans="1:21">
      <c r="A19" s="2"/>
      <c r="B19" s="2"/>
      <c r="C19" s="2"/>
      <c r="D19" s="2"/>
      <c r="E19" s="2"/>
      <c r="F19" s="2"/>
      <c r="G19" s="2"/>
      <c r="H19" s="2"/>
      <c r="I19" s="2"/>
      <c r="J19" s="2"/>
      <c r="K19" s="2"/>
      <c r="L19" s="2"/>
      <c r="M19" s="2"/>
      <c r="N19" s="2"/>
      <c r="O19" s="2"/>
      <c r="P19" s="2"/>
      <c r="Q19" s="2"/>
      <c r="R19" s="2"/>
      <c r="S19" s="2"/>
      <c r="T19" s="2"/>
      <c r="U19" s="2"/>
    </row>
    <row r="20" spans="1:21">
      <c r="A20" s="2"/>
      <c r="B20" s="2"/>
      <c r="C20" s="2"/>
      <c r="D20" s="2"/>
      <c r="E20" s="2"/>
      <c r="F20" s="2"/>
      <c r="G20" s="2"/>
      <c r="H20" s="2"/>
      <c r="I20" s="2"/>
      <c r="J20" s="2"/>
      <c r="K20" s="2"/>
      <c r="L20" s="2"/>
      <c r="M20" s="2"/>
      <c r="N20" s="2"/>
      <c r="O20" s="2"/>
      <c r="P20" s="2"/>
      <c r="Q20" s="2"/>
      <c r="R20" s="2"/>
      <c r="S20" s="2"/>
      <c r="T20" s="2"/>
      <c r="U20" s="2"/>
    </row>
    <row r="21" spans="1:21">
      <c r="A21" s="2"/>
      <c r="B21" s="2"/>
      <c r="C21" s="2"/>
      <c r="D21" s="2"/>
      <c r="E21" s="2"/>
      <c r="F21" s="2"/>
      <c r="G21" s="2"/>
      <c r="H21" s="2"/>
      <c r="I21" s="2"/>
      <c r="J21" s="2"/>
      <c r="K21" s="2"/>
      <c r="L21" s="2"/>
      <c r="M21" s="2"/>
      <c r="N21" s="2"/>
      <c r="O21" s="2"/>
      <c r="P21" s="2"/>
      <c r="Q21" s="2"/>
      <c r="R21" s="2"/>
      <c r="S21" s="2"/>
      <c r="T21" s="2"/>
      <c r="U21" s="2"/>
    </row>
    <row r="22" spans="1:21">
      <c r="A22" s="2"/>
      <c r="B22" s="2"/>
      <c r="C22" s="2"/>
      <c r="D22" s="2"/>
      <c r="E22" s="2"/>
      <c r="F22" s="2"/>
      <c r="G22" s="2"/>
      <c r="H22" s="2"/>
      <c r="I22" s="2"/>
      <c r="J22" s="2"/>
      <c r="K22" s="2"/>
      <c r="L22" s="2"/>
      <c r="M22" s="2"/>
      <c r="N22" s="2"/>
      <c r="O22" s="2"/>
      <c r="P22" s="2"/>
      <c r="Q22" s="2"/>
      <c r="R22" s="2"/>
      <c r="S22" s="2"/>
      <c r="T22" s="2"/>
      <c r="U22" s="2"/>
    </row>
    <row r="23" spans="1:21">
      <c r="A23" s="2"/>
      <c r="B23" s="2"/>
      <c r="C23" s="2"/>
      <c r="D23" s="2"/>
      <c r="E23" s="2"/>
      <c r="F23" s="2"/>
      <c r="G23" s="2"/>
      <c r="H23" s="2"/>
      <c r="I23" s="2"/>
      <c r="J23" s="2"/>
      <c r="K23" s="2"/>
      <c r="L23" s="2"/>
      <c r="M23" s="2"/>
      <c r="N23" s="2"/>
      <c r="O23" s="2"/>
      <c r="P23" s="2"/>
      <c r="Q23" s="2"/>
      <c r="R23" s="2"/>
      <c r="S23" s="2"/>
      <c r="T23" s="2"/>
      <c r="U23" s="2"/>
    </row>
    <row r="24" spans="1:21" ht="19.5" customHeight="1">
      <c r="A24" s="2"/>
      <c r="B24" s="2"/>
      <c r="C24" s="2"/>
      <c r="D24" s="2"/>
      <c r="E24" s="2"/>
      <c r="F24" s="2"/>
      <c r="G24" s="2"/>
      <c r="H24" s="2"/>
      <c r="I24" s="2"/>
      <c r="J24" s="2"/>
      <c r="K24" s="2"/>
      <c r="L24" s="2"/>
      <c r="M24" s="2"/>
      <c r="N24" s="2"/>
      <c r="O24" s="2"/>
      <c r="P24" s="2"/>
      <c r="Q24" s="2"/>
      <c r="R24" s="2"/>
      <c r="S24" s="2"/>
      <c r="T24" s="2"/>
      <c r="U24" s="2"/>
    </row>
    <row r="25" spans="1:21" ht="54.75" customHeight="1">
      <c r="A25" s="2"/>
      <c r="B25" s="2"/>
      <c r="C25" s="2"/>
      <c r="D25" s="2"/>
      <c r="E25" s="2"/>
      <c r="F25" s="2"/>
      <c r="G25" s="2"/>
      <c r="H25" s="2"/>
      <c r="I25" s="2"/>
      <c r="J25" s="2"/>
      <c r="K25" s="2"/>
      <c r="L25" s="2"/>
      <c r="M25" s="2"/>
      <c r="N25" s="2"/>
      <c r="O25" s="2"/>
      <c r="P25" s="2"/>
      <c r="Q25" s="2"/>
      <c r="R25" s="2"/>
      <c r="S25" s="2"/>
      <c r="T25" s="2"/>
      <c r="U25" s="2"/>
    </row>
    <row r="26" spans="1:21">
      <c r="A26" s="2"/>
      <c r="B26" s="2"/>
      <c r="C26" s="2"/>
      <c r="D26" s="2"/>
      <c r="E26" s="2"/>
      <c r="F26" s="2"/>
      <c r="G26" s="2"/>
      <c r="H26" s="2"/>
      <c r="I26" s="2"/>
      <c r="J26" s="2"/>
      <c r="K26" s="2"/>
      <c r="L26" s="2"/>
      <c r="M26" s="2"/>
      <c r="N26" s="2"/>
      <c r="O26" s="2"/>
      <c r="P26" s="2"/>
      <c r="Q26" s="2"/>
      <c r="R26" s="2"/>
      <c r="S26" s="2"/>
      <c r="T26" s="2"/>
      <c r="U26" s="2"/>
    </row>
    <row r="27" spans="1:21">
      <c r="A27" s="2"/>
      <c r="B27" s="2"/>
      <c r="C27" s="2"/>
      <c r="D27" s="2"/>
      <c r="E27" s="2"/>
      <c r="F27" s="2"/>
      <c r="G27" s="2"/>
      <c r="H27" s="2"/>
      <c r="I27" s="2"/>
      <c r="J27" s="2"/>
      <c r="K27" s="2"/>
      <c r="L27" s="2"/>
      <c r="M27" s="2"/>
      <c r="N27" s="2"/>
      <c r="O27" s="2"/>
      <c r="P27" s="2"/>
      <c r="Q27" s="2"/>
      <c r="R27" s="2"/>
      <c r="S27" s="2"/>
      <c r="T27" s="2"/>
      <c r="U27" s="2"/>
    </row>
    <row r="28" spans="1:21">
      <c r="A28" s="2"/>
      <c r="B28" s="2"/>
      <c r="C28" s="2"/>
      <c r="D28" s="2"/>
      <c r="E28" s="2"/>
      <c r="F28" s="2"/>
      <c r="G28" s="2"/>
      <c r="H28" s="2"/>
      <c r="I28" s="2"/>
      <c r="J28" s="2"/>
      <c r="K28" s="2"/>
      <c r="L28" s="2"/>
      <c r="M28" s="2"/>
      <c r="N28" s="2"/>
      <c r="O28" s="2"/>
      <c r="P28" s="2"/>
      <c r="Q28" s="2"/>
      <c r="R28" s="2"/>
      <c r="S28" s="2"/>
      <c r="T28" s="2"/>
      <c r="U28" s="2"/>
    </row>
    <row r="29" spans="1:21">
      <c r="A29" s="2"/>
      <c r="B29" s="2"/>
      <c r="C29" s="2"/>
      <c r="D29" s="2"/>
      <c r="E29" s="2"/>
      <c r="F29" s="2"/>
      <c r="G29" s="2"/>
      <c r="H29" s="2"/>
      <c r="I29" s="2"/>
      <c r="J29" s="2"/>
      <c r="K29" s="2"/>
      <c r="L29" s="2"/>
      <c r="M29" s="2"/>
      <c r="N29" s="2"/>
      <c r="O29" s="2"/>
      <c r="P29" s="2"/>
      <c r="Q29" s="2"/>
      <c r="R29" s="2"/>
      <c r="S29" s="2"/>
      <c r="T29" s="2"/>
      <c r="U29" s="2"/>
    </row>
    <row r="30" spans="1:21">
      <c r="A30" s="2"/>
      <c r="B30" s="2"/>
      <c r="C30" s="2"/>
      <c r="D30" s="2"/>
      <c r="E30" s="2"/>
      <c r="F30" s="2"/>
      <c r="G30" s="2"/>
      <c r="H30" s="2"/>
      <c r="I30" s="2"/>
      <c r="J30" s="2"/>
      <c r="K30" s="2"/>
      <c r="L30" s="2"/>
      <c r="M30" s="2"/>
      <c r="N30" s="2"/>
      <c r="O30" s="2"/>
      <c r="P30" s="2"/>
      <c r="Q30" s="2"/>
      <c r="R30" s="2"/>
      <c r="S30" s="2"/>
      <c r="T30" s="2"/>
      <c r="U30" s="2"/>
    </row>
    <row r="31" spans="1:21">
      <c r="A31" s="2"/>
      <c r="B31" s="2"/>
      <c r="C31" s="2"/>
      <c r="D31" s="2"/>
      <c r="E31" s="2"/>
      <c r="F31" s="2"/>
      <c r="G31" s="2"/>
      <c r="H31" s="2"/>
      <c r="I31" s="2"/>
      <c r="J31" s="2"/>
      <c r="K31" s="2"/>
      <c r="L31" s="2"/>
      <c r="M31" s="2"/>
      <c r="N31" s="2"/>
      <c r="O31" s="2"/>
      <c r="P31" s="2"/>
      <c r="Q31" s="2"/>
      <c r="R31" s="2"/>
      <c r="S31" s="2"/>
      <c r="T31" s="2"/>
      <c r="U31" s="2"/>
    </row>
    <row r="32" spans="1:21">
      <c r="A32" s="2"/>
      <c r="B32" s="2"/>
      <c r="C32" s="2"/>
      <c r="D32" s="2"/>
      <c r="E32" s="2"/>
      <c r="F32" s="2"/>
      <c r="G32" s="2"/>
      <c r="H32" s="2"/>
      <c r="I32" s="2"/>
      <c r="J32" s="2"/>
      <c r="K32" s="2"/>
      <c r="L32" s="2"/>
      <c r="M32" s="2"/>
      <c r="N32" s="2"/>
      <c r="O32" s="2"/>
      <c r="P32" s="2"/>
      <c r="Q32" s="2"/>
      <c r="R32" s="2"/>
      <c r="S32" s="2"/>
      <c r="T32" s="2"/>
      <c r="U32" s="2"/>
    </row>
    <row r="33" spans="1:21">
      <c r="A33" s="2"/>
      <c r="B33" s="2"/>
      <c r="C33" s="2"/>
      <c r="D33" s="2"/>
      <c r="E33" s="2"/>
      <c r="F33" s="2"/>
      <c r="G33" s="2"/>
      <c r="H33" s="2"/>
      <c r="I33" s="2"/>
      <c r="J33" s="2"/>
      <c r="K33" s="2"/>
      <c r="L33" s="2"/>
      <c r="M33" s="2"/>
      <c r="N33" s="2"/>
      <c r="O33" s="2"/>
      <c r="P33" s="2"/>
      <c r="Q33" s="2"/>
      <c r="R33" s="2"/>
      <c r="S33" s="2"/>
      <c r="T33" s="2"/>
      <c r="U33" s="2"/>
    </row>
    <row r="34" spans="1:21">
      <c r="A34" s="2"/>
      <c r="B34" s="2"/>
      <c r="C34" s="2"/>
      <c r="D34" s="2"/>
      <c r="E34" s="2"/>
      <c r="F34" s="2"/>
      <c r="G34" s="2"/>
      <c r="H34" s="2"/>
      <c r="I34" s="2"/>
      <c r="J34" s="2"/>
      <c r="K34" s="2"/>
      <c r="L34" s="2"/>
      <c r="M34" s="2"/>
      <c r="N34" s="2"/>
      <c r="O34" s="2"/>
      <c r="P34" s="2"/>
      <c r="Q34" s="2"/>
      <c r="R34" s="2"/>
      <c r="S34" s="2"/>
      <c r="T34" s="2"/>
      <c r="U34" s="2"/>
    </row>
    <row r="35" spans="1:21">
      <c r="A35" s="2"/>
      <c r="B35" s="2"/>
      <c r="C35" s="2"/>
      <c r="D35" s="2"/>
      <c r="E35" s="2"/>
      <c r="F35" s="2"/>
      <c r="G35" s="2"/>
      <c r="H35" s="2"/>
      <c r="I35" s="2"/>
      <c r="J35" s="2"/>
      <c r="K35" s="2"/>
      <c r="L35" s="2"/>
      <c r="M35" s="2"/>
      <c r="N35" s="2"/>
      <c r="O35" s="2"/>
      <c r="P35" s="2"/>
      <c r="Q35" s="2"/>
      <c r="R35" s="2"/>
      <c r="S35" s="2"/>
      <c r="T35" s="2"/>
      <c r="U35" s="2"/>
    </row>
    <row r="36" spans="1:21">
      <c r="A36" s="2"/>
      <c r="B36" s="2"/>
      <c r="C36" s="2"/>
      <c r="D36" s="2"/>
      <c r="E36" s="2"/>
      <c r="F36" s="2"/>
      <c r="G36" s="2"/>
      <c r="H36" s="2"/>
      <c r="I36" s="2"/>
      <c r="J36" s="2"/>
      <c r="K36" s="2"/>
      <c r="L36" s="2"/>
      <c r="M36" s="2"/>
      <c r="N36" s="2"/>
      <c r="O36" s="2"/>
      <c r="P36" s="2"/>
      <c r="Q36" s="2"/>
      <c r="R36" s="2"/>
      <c r="S36" s="2"/>
      <c r="T36" s="2"/>
      <c r="U36" s="2"/>
    </row>
    <row r="37" spans="1:21">
      <c r="A37" s="2"/>
      <c r="B37" s="2"/>
      <c r="C37" s="2"/>
      <c r="D37" s="2"/>
      <c r="E37" s="2"/>
      <c r="F37" s="2"/>
      <c r="G37" s="2"/>
      <c r="H37" s="2"/>
      <c r="I37" s="2"/>
      <c r="J37" s="2"/>
      <c r="K37" s="2"/>
      <c r="L37" s="2"/>
      <c r="M37" s="2"/>
      <c r="N37" s="2"/>
      <c r="O37" s="2"/>
      <c r="P37" s="2"/>
      <c r="Q37" s="2"/>
      <c r="R37" s="2"/>
      <c r="S37" s="2"/>
      <c r="T37" s="2"/>
      <c r="U37" s="2"/>
    </row>
    <row r="38" spans="1:21">
      <c r="A38" s="2"/>
      <c r="B38" s="2"/>
      <c r="C38" s="2"/>
      <c r="D38" s="2"/>
      <c r="E38" s="2"/>
      <c r="F38" s="2"/>
      <c r="G38" s="2"/>
      <c r="H38" s="2"/>
      <c r="I38" s="2"/>
      <c r="J38" s="2"/>
      <c r="K38" s="2"/>
      <c r="L38" s="2"/>
      <c r="M38" s="2"/>
      <c r="N38" s="2"/>
      <c r="O38" s="2"/>
      <c r="P38" s="2"/>
      <c r="Q38" s="2"/>
      <c r="R38" s="2"/>
      <c r="S38" s="2"/>
      <c r="T38" s="2"/>
      <c r="U38" s="2"/>
    </row>
    <row r="39" spans="1:21">
      <c r="A39" s="2"/>
      <c r="B39" s="2"/>
      <c r="C39" s="2"/>
      <c r="D39" s="2"/>
      <c r="E39" s="2"/>
      <c r="F39" s="2"/>
      <c r="G39" s="2"/>
      <c r="H39" s="2"/>
      <c r="I39" s="2"/>
      <c r="J39" s="2"/>
      <c r="K39" s="2"/>
      <c r="L39" s="2"/>
      <c r="M39" s="2"/>
      <c r="N39" s="2"/>
      <c r="O39" s="2"/>
      <c r="P39" s="2"/>
      <c r="Q39" s="2"/>
      <c r="R39" s="2"/>
      <c r="S39" s="2"/>
      <c r="T39" s="2"/>
      <c r="U39" s="2"/>
    </row>
    <row r="40" spans="1:21">
      <c r="A40" s="2"/>
      <c r="B40" s="2"/>
      <c r="C40" s="2"/>
      <c r="D40" s="2"/>
      <c r="E40" s="2"/>
      <c r="F40" s="2"/>
      <c r="G40" s="2"/>
      <c r="H40" s="2"/>
      <c r="I40" s="2"/>
      <c r="J40" s="2"/>
      <c r="K40" s="2"/>
      <c r="L40" s="2"/>
      <c r="M40" s="2"/>
      <c r="N40" s="2"/>
      <c r="O40" s="2"/>
      <c r="P40" s="2"/>
      <c r="Q40" s="2"/>
      <c r="R40" s="2"/>
      <c r="S40" s="2"/>
      <c r="T40" s="2"/>
      <c r="U40" s="2"/>
    </row>
    <row r="41" spans="1:21">
      <c r="A41" s="2"/>
      <c r="B41" s="2"/>
      <c r="C41" s="2"/>
      <c r="D41" s="2"/>
      <c r="E41" s="2"/>
      <c r="F41" s="2"/>
      <c r="G41" s="2"/>
      <c r="H41" s="2"/>
      <c r="I41" s="2"/>
      <c r="J41" s="2"/>
      <c r="K41" s="2"/>
      <c r="L41" s="2"/>
      <c r="M41" s="2"/>
      <c r="N41" s="2"/>
      <c r="O41" s="2"/>
      <c r="P41" s="2"/>
      <c r="Q41" s="2"/>
      <c r="R41" s="2"/>
      <c r="S41" s="2"/>
      <c r="T41" s="2"/>
      <c r="U41" s="2"/>
    </row>
    <row r="42" spans="1:21">
      <c r="A42" s="2"/>
      <c r="B42" s="2"/>
      <c r="C42" s="2"/>
      <c r="D42" s="2"/>
      <c r="E42" s="2"/>
      <c r="F42" s="2"/>
      <c r="G42" s="2"/>
      <c r="H42" s="2"/>
      <c r="I42" s="2"/>
      <c r="J42" s="2"/>
      <c r="K42" s="2"/>
      <c r="L42" s="2"/>
      <c r="M42" s="2"/>
      <c r="N42" s="2"/>
      <c r="O42" s="2"/>
      <c r="P42" s="2"/>
      <c r="Q42" s="2"/>
      <c r="R42" s="2"/>
      <c r="S42" s="2"/>
      <c r="T42" s="2"/>
      <c r="U42" s="2"/>
    </row>
    <row r="43" spans="1:21">
      <c r="A43" s="2"/>
      <c r="B43" s="2"/>
      <c r="C43" s="2"/>
      <c r="D43" s="2"/>
      <c r="E43" s="2"/>
      <c r="F43" s="2"/>
      <c r="G43" s="2"/>
      <c r="H43" s="2"/>
      <c r="I43" s="2"/>
      <c r="J43" s="2"/>
      <c r="K43" s="2"/>
      <c r="L43" s="2"/>
      <c r="M43" s="2"/>
      <c r="N43" s="2"/>
      <c r="O43" s="2"/>
      <c r="P43" s="2"/>
      <c r="Q43" s="2"/>
      <c r="R43" s="2"/>
      <c r="S43" s="2"/>
      <c r="T43" s="2"/>
      <c r="U43" s="2"/>
    </row>
    <row r="44" spans="1:21">
      <c r="A44" s="2"/>
      <c r="B44" s="2"/>
      <c r="C44" s="2"/>
      <c r="D44" s="2"/>
      <c r="E44" s="2"/>
      <c r="F44" s="2"/>
      <c r="G44" s="2"/>
      <c r="H44" s="2"/>
      <c r="I44" s="2"/>
      <c r="J44" s="2"/>
      <c r="K44" s="2"/>
      <c r="L44" s="2"/>
      <c r="M44" s="2"/>
      <c r="N44" s="2"/>
      <c r="O44" s="2"/>
      <c r="P44" s="2"/>
      <c r="Q44" s="2"/>
      <c r="R44" s="2"/>
      <c r="S44" s="2"/>
      <c r="T44" s="2"/>
      <c r="U44" s="2"/>
    </row>
    <row r="45" spans="1:21">
      <c r="A45" s="2"/>
      <c r="B45" s="2"/>
      <c r="C45" s="2"/>
      <c r="D45" s="2"/>
      <c r="E45" s="2"/>
      <c r="F45" s="2"/>
      <c r="G45" s="2"/>
      <c r="H45" s="2"/>
      <c r="I45" s="2"/>
      <c r="J45" s="2"/>
      <c r="K45" s="2"/>
      <c r="L45" s="2"/>
      <c r="M45" s="2"/>
      <c r="N45" s="2"/>
      <c r="O45" s="2"/>
      <c r="P45" s="2"/>
      <c r="Q45" s="2"/>
      <c r="R45" s="2"/>
      <c r="S45" s="2"/>
      <c r="T45" s="2"/>
      <c r="U45" s="2"/>
    </row>
    <row r="46" spans="1:21">
      <c r="A46" s="2"/>
      <c r="B46" s="2"/>
      <c r="C46" s="2"/>
      <c r="D46" s="2"/>
      <c r="E46" s="2"/>
      <c r="F46" s="2"/>
      <c r="G46" s="2"/>
      <c r="H46" s="2"/>
      <c r="I46" s="2"/>
      <c r="J46" s="2"/>
      <c r="K46" s="2"/>
      <c r="L46" s="2"/>
      <c r="M46" s="2"/>
      <c r="N46" s="2"/>
      <c r="O46" s="2"/>
      <c r="P46" s="2"/>
      <c r="Q46" s="2"/>
      <c r="R46" s="2"/>
      <c r="S46" s="2"/>
      <c r="T46" s="2"/>
      <c r="U46" s="2"/>
    </row>
    <row r="47" spans="1:21">
      <c r="A47" s="2"/>
      <c r="B47" s="2"/>
      <c r="C47" s="2"/>
      <c r="D47" s="2"/>
      <c r="E47" s="2"/>
      <c r="F47" s="2"/>
      <c r="G47" s="2"/>
      <c r="H47" s="2"/>
      <c r="I47" s="2"/>
      <c r="J47" s="2"/>
      <c r="K47" s="2"/>
      <c r="L47" s="2"/>
      <c r="M47" s="2"/>
      <c r="N47" s="2"/>
      <c r="O47" s="2"/>
      <c r="P47" s="2"/>
      <c r="Q47" s="2"/>
      <c r="R47" s="2"/>
      <c r="S47" s="2"/>
      <c r="T47" s="2"/>
      <c r="U47" s="2"/>
    </row>
    <row r="48" spans="1:21">
      <c r="A48" s="2"/>
      <c r="B48" s="2"/>
      <c r="C48" s="2"/>
      <c r="D48" s="2"/>
      <c r="E48" s="2"/>
      <c r="F48" s="2"/>
      <c r="G48" s="2"/>
      <c r="H48" s="2"/>
      <c r="I48" s="2"/>
      <c r="J48" s="2"/>
      <c r="K48" s="2"/>
      <c r="L48" s="2"/>
      <c r="M48" s="2"/>
      <c r="N48" s="2"/>
      <c r="O48" s="2"/>
      <c r="P48" s="2"/>
      <c r="Q48" s="2"/>
      <c r="R48" s="2"/>
      <c r="S48" s="2"/>
      <c r="T48" s="2"/>
      <c r="U48" s="2"/>
    </row>
    <row r="49" spans="1:21">
      <c r="A49" s="2"/>
      <c r="B49" s="2"/>
      <c r="C49" s="2"/>
      <c r="D49" s="2"/>
      <c r="E49" s="2"/>
      <c r="F49" s="2"/>
      <c r="G49" s="2"/>
      <c r="H49" s="2"/>
      <c r="I49" s="2"/>
      <c r="J49" s="2"/>
      <c r="K49" s="2"/>
      <c r="L49" s="2"/>
      <c r="M49" s="2"/>
      <c r="N49" s="2"/>
      <c r="O49" s="2"/>
      <c r="P49" s="2"/>
      <c r="Q49" s="2"/>
      <c r="R49" s="2"/>
      <c r="S49" s="2"/>
      <c r="T49" s="2"/>
      <c r="U49" s="2"/>
    </row>
    <row r="50" spans="1:21">
      <c r="A50" s="2"/>
      <c r="B50" s="2"/>
      <c r="C50" s="2"/>
      <c r="D50" s="2"/>
      <c r="E50" s="2"/>
      <c r="F50" s="2"/>
      <c r="G50" s="2"/>
      <c r="H50" s="2"/>
      <c r="I50" s="2"/>
      <c r="J50" s="2"/>
      <c r="K50" s="2"/>
      <c r="L50" s="2"/>
      <c r="M50" s="2"/>
      <c r="N50" s="2"/>
      <c r="O50" s="2"/>
      <c r="P50" s="2"/>
      <c r="Q50" s="2"/>
      <c r="R50" s="2"/>
      <c r="S50" s="2"/>
      <c r="T50" s="2"/>
      <c r="U50" s="2"/>
    </row>
    <row r="51" spans="1:21">
      <c r="A51" s="2"/>
      <c r="B51" s="2"/>
      <c r="C51" s="2"/>
      <c r="D51" s="2"/>
      <c r="E51" s="2"/>
      <c r="F51" s="2"/>
      <c r="G51" s="2"/>
      <c r="H51" s="2"/>
      <c r="I51" s="2"/>
      <c r="J51" s="2"/>
      <c r="K51" s="2"/>
      <c r="L51" s="2"/>
      <c r="M51" s="2"/>
      <c r="N51" s="2"/>
      <c r="O51" s="2"/>
      <c r="P51" s="2"/>
      <c r="Q51" s="2"/>
      <c r="R51" s="2"/>
      <c r="S51" s="2"/>
      <c r="T51" s="2"/>
      <c r="U51" s="2"/>
    </row>
    <row r="52" spans="1:21">
      <c r="A52" s="2"/>
    </row>
    <row r="53" spans="1:21">
      <c r="A53" s="2"/>
    </row>
    <row r="54" spans="1:21">
      <c r="A54" s="2"/>
    </row>
    <row r="55" spans="1:21">
      <c r="A55" s="2"/>
    </row>
    <row r="56" spans="1:21">
      <c r="A56" s="2"/>
    </row>
    <row r="57" spans="1:21">
      <c r="A57" s="2"/>
    </row>
    <row r="58" spans="1:21">
      <c r="A58" s="2"/>
    </row>
    <row r="59" spans="1:21">
      <c r="A59" s="2"/>
    </row>
    <row r="60" spans="1:21">
      <c r="A60" s="2"/>
    </row>
    <row r="61" spans="1:21">
      <c r="A61" s="2"/>
    </row>
    <row r="62" spans="1:21">
      <c r="A62" s="2"/>
    </row>
    <row r="63" spans="1:21">
      <c r="A63" s="2"/>
    </row>
    <row r="64" spans="1:21">
      <c r="A6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1C834-660B-434F-BA5F-754A24C458FB}">
  <dimension ref="A1:F11"/>
  <sheetViews>
    <sheetView workbookViewId="0">
      <selection activeCell="B16" sqref="B16"/>
    </sheetView>
  </sheetViews>
  <sheetFormatPr defaultRowHeight="14.4"/>
  <cols>
    <col min="2" max="2" width="22.88671875" customWidth="1"/>
    <col min="3" max="4" width="13" customWidth="1"/>
    <col min="5" max="6" width="13.33203125" customWidth="1"/>
  </cols>
  <sheetData>
    <row r="1" spans="1:6">
      <c r="B1" t="s">
        <v>571</v>
      </c>
    </row>
    <row r="2" spans="1:6">
      <c r="A2" t="s">
        <v>254</v>
      </c>
      <c r="B2" s="3">
        <v>0.25</v>
      </c>
    </row>
    <row r="4" spans="1:6">
      <c r="B4" s="88" t="s">
        <v>56</v>
      </c>
      <c r="C4" s="88">
        <v>2018</v>
      </c>
      <c r="D4" s="88">
        <v>2019</v>
      </c>
      <c r="E4" s="88">
        <v>2020</v>
      </c>
      <c r="F4" s="88">
        <v>2021</v>
      </c>
    </row>
    <row r="5" spans="1:6">
      <c r="B5" s="88" t="s">
        <v>57</v>
      </c>
      <c r="C5" s="88">
        <v>18860000</v>
      </c>
      <c r="D5" s="88">
        <v>18478000</v>
      </c>
      <c r="E5" s="88">
        <v>28947000</v>
      </c>
      <c r="F5" s="88">
        <v>39052000</v>
      </c>
    </row>
    <row r="6" spans="1:6">
      <c r="B6" s="88" t="s">
        <v>23</v>
      </c>
      <c r="C6" s="88">
        <f>C5*$B$2</f>
        <v>4715000</v>
      </c>
      <c r="D6" s="88">
        <f>D5*$B$2</f>
        <v>4619500</v>
      </c>
      <c r="E6" s="88">
        <f>E5*$B$2</f>
        <v>7236750</v>
      </c>
      <c r="F6" s="88">
        <f>F5*$B$2</f>
        <v>9763000</v>
      </c>
    </row>
    <row r="7" spans="1:6">
      <c r="B7" s="88" t="s">
        <v>59</v>
      </c>
      <c r="C7" s="88">
        <f>C5-C6</f>
        <v>14145000</v>
      </c>
      <c r="D7" s="88">
        <f>D5-D6</f>
        <v>13858500</v>
      </c>
      <c r="E7" s="88">
        <f>E5-E6</f>
        <v>21710250</v>
      </c>
      <c r="F7" s="88">
        <f>F5-F6</f>
        <v>29289000</v>
      </c>
    </row>
    <row r="8" spans="1:6">
      <c r="B8" s="88" t="s">
        <v>61</v>
      </c>
      <c r="C8" s="88">
        <v>1328000</v>
      </c>
      <c r="D8" s="88">
        <v>1704000</v>
      </c>
      <c r="E8" s="88">
        <v>1902000</v>
      </c>
      <c r="F8" s="88">
        <v>2015000</v>
      </c>
    </row>
    <row r="9" spans="1:6">
      <c r="B9" s="88" t="s">
        <v>63</v>
      </c>
      <c r="C9" s="88">
        <v>0</v>
      </c>
      <c r="D9" s="88">
        <v>6799000</v>
      </c>
      <c r="E9" s="88">
        <v>1351000</v>
      </c>
      <c r="F9" s="88">
        <v>-4991000</v>
      </c>
    </row>
    <row r="10" spans="1:6">
      <c r="B10" s="88" t="s">
        <v>64</v>
      </c>
      <c r="C10" s="88">
        <v>-101762000</v>
      </c>
      <c r="D10" s="88">
        <v>-3234000</v>
      </c>
      <c r="E10" s="88">
        <v>32127000</v>
      </c>
      <c r="F10" s="88">
        <v>-19376000</v>
      </c>
    </row>
    <row r="11" spans="1:6">
      <c r="B11" s="88" t="s">
        <v>65</v>
      </c>
      <c r="C11" s="88">
        <f>C7+C8-C9-C10</f>
        <v>117235000</v>
      </c>
      <c r="D11" s="88">
        <f>D7+D8-D9-D10</f>
        <v>11997500</v>
      </c>
      <c r="E11" s="88">
        <f>E7+E8-E9-E10</f>
        <v>-9865750</v>
      </c>
      <c r="F11" s="88">
        <f>F7+F8-F9-F10</f>
        <v>55671000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1220-7450-4823-B93C-65C7BE9532DC}">
  <dimension ref="A1:H61"/>
  <sheetViews>
    <sheetView workbookViewId="0"/>
  </sheetViews>
  <sheetFormatPr defaultRowHeight="14.4"/>
  <cols>
    <col min="1" max="1" width="11.44140625" bestFit="1" customWidth="1"/>
  </cols>
  <sheetData>
    <row r="1" spans="1:8">
      <c r="A1" s="21" t="s">
        <v>190</v>
      </c>
      <c r="B1" s="21" t="s">
        <v>191</v>
      </c>
      <c r="C1" s="21" t="s">
        <v>192</v>
      </c>
      <c r="D1" s="21" t="s">
        <v>193</v>
      </c>
      <c r="E1" s="21" t="s">
        <v>194</v>
      </c>
      <c r="F1" s="21" t="s">
        <v>195</v>
      </c>
      <c r="G1" s="21" t="s">
        <v>196</v>
      </c>
      <c r="H1" s="2" t="s">
        <v>255</v>
      </c>
    </row>
    <row r="2" spans="1:8">
      <c r="A2" s="2" t="s">
        <v>197</v>
      </c>
      <c r="B2" s="2" t="s">
        <v>256</v>
      </c>
      <c r="C2" s="2" t="s">
        <v>257</v>
      </c>
      <c r="D2" s="2" t="s">
        <v>258</v>
      </c>
      <c r="E2" s="2" t="s">
        <v>259</v>
      </c>
      <c r="F2" s="2" t="s">
        <v>259</v>
      </c>
      <c r="G2" s="2">
        <v>15705100000</v>
      </c>
      <c r="H2" s="2">
        <v>0</v>
      </c>
    </row>
    <row r="3" spans="1:8">
      <c r="A3" s="2" t="s">
        <v>260</v>
      </c>
      <c r="B3" s="2" t="s">
        <v>261</v>
      </c>
      <c r="C3" s="2" t="s">
        <v>262</v>
      </c>
      <c r="D3" s="2" t="s">
        <v>263</v>
      </c>
      <c r="E3" s="2" t="s">
        <v>264</v>
      </c>
      <c r="F3" s="2" t="s">
        <v>264</v>
      </c>
      <c r="G3" s="28">
        <v>1.00978E+16</v>
      </c>
      <c r="H3" s="2" t="s">
        <v>265</v>
      </c>
    </row>
    <row r="4" spans="1:8">
      <c r="A4" s="2" t="s">
        <v>198</v>
      </c>
      <c r="B4" s="2" t="s">
        <v>266</v>
      </c>
      <c r="C4" s="2" t="s">
        <v>267</v>
      </c>
      <c r="D4" s="2" t="s">
        <v>268</v>
      </c>
      <c r="E4" s="2" t="s">
        <v>269</v>
      </c>
      <c r="F4" s="2" t="s">
        <v>269</v>
      </c>
      <c r="G4" s="2">
        <v>73167790000</v>
      </c>
      <c r="H4" s="26" t="s">
        <v>270</v>
      </c>
    </row>
    <row r="5" spans="1:8">
      <c r="A5" s="2" t="s">
        <v>271</v>
      </c>
      <c r="B5" s="2" t="s">
        <v>272</v>
      </c>
      <c r="C5" s="2" t="s">
        <v>273</v>
      </c>
      <c r="D5" s="2" t="s">
        <v>274</v>
      </c>
      <c r="E5" s="2" t="s">
        <v>275</v>
      </c>
      <c r="F5" s="2" t="s">
        <v>275</v>
      </c>
      <c r="G5" s="2">
        <v>73279440000</v>
      </c>
      <c r="H5" s="2" t="s">
        <v>276</v>
      </c>
    </row>
    <row r="6" spans="1:8">
      <c r="A6" s="2" t="s">
        <v>199</v>
      </c>
      <c r="B6" s="2" t="s">
        <v>277</v>
      </c>
      <c r="C6" s="2" t="s">
        <v>278</v>
      </c>
      <c r="D6" s="2" t="s">
        <v>279</v>
      </c>
      <c r="E6" s="2" t="s">
        <v>280</v>
      </c>
      <c r="F6" s="2" t="s">
        <v>280</v>
      </c>
      <c r="G6" s="2">
        <v>68699830000</v>
      </c>
      <c r="H6" s="2" t="s">
        <v>281</v>
      </c>
    </row>
    <row r="7" spans="1:8">
      <c r="A7" s="50">
        <v>44501</v>
      </c>
      <c r="B7" s="2" t="s">
        <v>282</v>
      </c>
      <c r="C7" s="2" t="s">
        <v>283</v>
      </c>
      <c r="D7" s="2">
        <v>4560</v>
      </c>
      <c r="E7" s="2">
        <v>4567</v>
      </c>
      <c r="F7" s="2">
        <v>4567</v>
      </c>
      <c r="G7" s="2">
        <v>67520800000</v>
      </c>
      <c r="H7" s="26" t="s">
        <v>284</v>
      </c>
    </row>
    <row r="8" spans="1:8">
      <c r="A8" s="50">
        <v>44470</v>
      </c>
      <c r="B8" s="2" t="s">
        <v>285</v>
      </c>
      <c r="C8" s="2" t="s">
        <v>286</v>
      </c>
      <c r="D8" s="2" t="s">
        <v>287</v>
      </c>
      <c r="E8" s="2" t="s">
        <v>288</v>
      </c>
      <c r="F8" s="2" t="s">
        <v>288</v>
      </c>
      <c r="G8" s="2">
        <v>61874700000</v>
      </c>
      <c r="H8" s="2" t="s">
        <v>289</v>
      </c>
    </row>
    <row r="9" spans="1:8">
      <c r="A9" s="50">
        <v>44440</v>
      </c>
      <c r="B9" s="2" t="s">
        <v>290</v>
      </c>
      <c r="C9" s="2" t="s">
        <v>291</v>
      </c>
      <c r="D9" s="2" t="s">
        <v>292</v>
      </c>
      <c r="E9" s="2" t="s">
        <v>293</v>
      </c>
      <c r="F9" s="2" t="s">
        <v>293</v>
      </c>
      <c r="G9" s="2">
        <v>66268850000</v>
      </c>
      <c r="H9" s="26" t="s">
        <v>294</v>
      </c>
    </row>
    <row r="10" spans="1:8">
      <c r="A10" s="2" t="s">
        <v>200</v>
      </c>
      <c r="B10" s="2" t="s">
        <v>295</v>
      </c>
      <c r="C10" s="2" t="s">
        <v>296</v>
      </c>
      <c r="D10" s="2" t="s">
        <v>297</v>
      </c>
      <c r="E10" s="2" t="s">
        <v>298</v>
      </c>
      <c r="F10" s="2" t="s">
        <v>298</v>
      </c>
      <c r="G10" s="2">
        <v>63217960000</v>
      </c>
      <c r="H10" s="2" t="s">
        <v>299</v>
      </c>
    </row>
    <row r="11" spans="1:8">
      <c r="A11" s="2" t="s">
        <v>201</v>
      </c>
      <c r="B11" s="2" t="s">
        <v>300</v>
      </c>
      <c r="C11" s="2" t="s">
        <v>301</v>
      </c>
      <c r="D11" s="2" t="s">
        <v>302</v>
      </c>
      <c r="E11" s="2" t="s">
        <v>303</v>
      </c>
      <c r="F11" s="2" t="s">
        <v>303</v>
      </c>
      <c r="G11" s="2">
        <v>66496430000</v>
      </c>
      <c r="H11" s="26" t="s">
        <v>304</v>
      </c>
    </row>
    <row r="12" spans="1:8">
      <c r="A12" s="2" t="s">
        <v>202</v>
      </c>
      <c r="B12" s="2" t="s">
        <v>305</v>
      </c>
      <c r="C12" s="2" t="s">
        <v>306</v>
      </c>
      <c r="D12" s="2" t="s">
        <v>307</v>
      </c>
      <c r="E12" s="2" t="s">
        <v>308</v>
      </c>
      <c r="F12" s="2" t="s">
        <v>308</v>
      </c>
      <c r="G12" s="2">
        <v>85705180000</v>
      </c>
      <c r="H12" s="26" t="s">
        <v>309</v>
      </c>
    </row>
    <row r="13" spans="1:8">
      <c r="A13" s="2" t="s">
        <v>203</v>
      </c>
      <c r="B13" s="2" t="s">
        <v>310</v>
      </c>
      <c r="C13" s="2" t="s">
        <v>311</v>
      </c>
      <c r="D13" s="2" t="s">
        <v>312</v>
      </c>
      <c r="E13" s="2" t="s">
        <v>313</v>
      </c>
      <c r="F13" s="2" t="s">
        <v>313</v>
      </c>
      <c r="G13" s="2">
        <v>75155370000</v>
      </c>
      <c r="H13" s="26" t="s">
        <v>314</v>
      </c>
    </row>
    <row r="14" spans="1:8">
      <c r="A14" s="2" t="s">
        <v>204</v>
      </c>
      <c r="B14" s="2" t="s">
        <v>315</v>
      </c>
      <c r="C14" s="2" t="s">
        <v>316</v>
      </c>
      <c r="D14" s="2" t="s">
        <v>315</v>
      </c>
      <c r="E14" s="2" t="s">
        <v>317</v>
      </c>
      <c r="F14" s="2" t="s">
        <v>317</v>
      </c>
      <c r="G14" s="2">
        <v>82869290000</v>
      </c>
      <c r="H14" s="26" t="s">
        <v>318</v>
      </c>
    </row>
    <row r="15" spans="1:8">
      <c r="A15" s="2" t="s">
        <v>319</v>
      </c>
      <c r="B15" s="2" t="s">
        <v>320</v>
      </c>
      <c r="C15" s="2" t="s">
        <v>321</v>
      </c>
      <c r="D15" s="2" t="s">
        <v>322</v>
      </c>
      <c r="E15" s="2" t="s">
        <v>323</v>
      </c>
      <c r="F15" s="2" t="s">
        <v>323</v>
      </c>
      <c r="G15" s="28">
        <v>1.20864E+16</v>
      </c>
      <c r="H15" s="26" t="s">
        <v>324</v>
      </c>
    </row>
    <row r="16" spans="1:8">
      <c r="A16" s="2" t="s">
        <v>205</v>
      </c>
      <c r="B16" s="2" t="s">
        <v>325</v>
      </c>
      <c r="C16" s="2" t="s">
        <v>326</v>
      </c>
      <c r="D16" s="2" t="s">
        <v>327</v>
      </c>
      <c r="E16" s="2" t="s">
        <v>328</v>
      </c>
      <c r="F16" s="2" t="s">
        <v>328</v>
      </c>
      <c r="G16" s="2">
        <v>98596960000</v>
      </c>
      <c r="H16" s="26" t="s">
        <v>329</v>
      </c>
    </row>
    <row r="17" spans="1:8">
      <c r="A17" s="2" t="s">
        <v>330</v>
      </c>
      <c r="B17" s="2" t="s">
        <v>331</v>
      </c>
      <c r="C17" s="2" t="s">
        <v>332</v>
      </c>
      <c r="D17" s="2" t="s">
        <v>333</v>
      </c>
      <c r="E17" s="2" t="s">
        <v>334</v>
      </c>
      <c r="F17" s="2" t="s">
        <v>334</v>
      </c>
      <c r="G17" s="28">
        <v>1.05549E+16</v>
      </c>
      <c r="H17" s="26" t="s">
        <v>335</v>
      </c>
    </row>
    <row r="18" spans="1:8">
      <c r="A18" s="2" t="s">
        <v>206</v>
      </c>
      <c r="B18" s="2" t="s">
        <v>336</v>
      </c>
      <c r="C18" s="2" t="s">
        <v>337</v>
      </c>
      <c r="D18" s="2" t="s">
        <v>338</v>
      </c>
      <c r="E18" s="2" t="s">
        <v>339</v>
      </c>
      <c r="F18" s="2" t="s">
        <v>339</v>
      </c>
      <c r="G18" s="2">
        <v>96056410000</v>
      </c>
      <c r="H18" s="2" t="s">
        <v>340</v>
      </c>
    </row>
    <row r="19" spans="1:8">
      <c r="A19" s="50">
        <v>44136</v>
      </c>
      <c r="B19" s="2" t="s">
        <v>341</v>
      </c>
      <c r="C19" s="2" t="s">
        <v>342</v>
      </c>
      <c r="D19" s="2" t="s">
        <v>343</v>
      </c>
      <c r="E19" s="2" t="s">
        <v>344</v>
      </c>
      <c r="F19" s="2" t="s">
        <v>344</v>
      </c>
      <c r="G19" s="28">
        <v>1.00978E+16</v>
      </c>
      <c r="H19" s="26" t="s">
        <v>345</v>
      </c>
    </row>
    <row r="20" spans="1:8">
      <c r="A20" s="50">
        <v>44105</v>
      </c>
      <c r="B20" s="2" t="s">
        <v>346</v>
      </c>
      <c r="C20" s="2" t="s">
        <v>347</v>
      </c>
      <c r="D20" s="2" t="s">
        <v>348</v>
      </c>
      <c r="E20" s="2" t="s">
        <v>349</v>
      </c>
      <c r="F20" s="2" t="s">
        <v>349</v>
      </c>
      <c r="G20" s="2">
        <v>89737600000</v>
      </c>
      <c r="H20" s="26" t="s">
        <v>350</v>
      </c>
    </row>
    <row r="21" spans="1:8">
      <c r="A21" s="50">
        <v>44075</v>
      </c>
      <c r="B21" s="2" t="s">
        <v>351</v>
      </c>
      <c r="C21" s="2" t="s">
        <v>352</v>
      </c>
      <c r="D21" s="2" t="s">
        <v>353</v>
      </c>
      <c r="E21" s="2">
        <v>3363</v>
      </c>
      <c r="F21" s="2">
        <v>3363</v>
      </c>
      <c r="G21" s="2">
        <v>92084120000</v>
      </c>
      <c r="H21" s="2" t="s">
        <v>354</v>
      </c>
    </row>
    <row r="22" spans="1:8">
      <c r="A22" s="2" t="s">
        <v>207</v>
      </c>
      <c r="B22" s="2" t="s">
        <v>355</v>
      </c>
      <c r="C22" s="2" t="s">
        <v>356</v>
      </c>
      <c r="D22" s="2" t="s">
        <v>357</v>
      </c>
      <c r="E22" s="2" t="s">
        <v>358</v>
      </c>
      <c r="F22" s="2" t="s">
        <v>358</v>
      </c>
      <c r="G22" s="2">
        <v>84402300000</v>
      </c>
      <c r="H22" s="2" t="s">
        <v>359</v>
      </c>
    </row>
    <row r="23" spans="1:8">
      <c r="A23" s="2" t="s">
        <v>208</v>
      </c>
      <c r="B23" s="2" t="s">
        <v>360</v>
      </c>
      <c r="C23" s="2" t="s">
        <v>361</v>
      </c>
      <c r="D23" s="2" t="s">
        <v>362</v>
      </c>
      <c r="E23" s="2" t="s">
        <v>363</v>
      </c>
      <c r="F23" s="2" t="s">
        <v>363</v>
      </c>
      <c r="G23" s="2">
        <v>97197020000</v>
      </c>
      <c r="H23" s="26" t="s">
        <v>364</v>
      </c>
    </row>
    <row r="24" spans="1:8">
      <c r="A24" s="2" t="s">
        <v>209</v>
      </c>
      <c r="B24" s="2" t="s">
        <v>365</v>
      </c>
      <c r="C24" s="2" t="s">
        <v>366</v>
      </c>
      <c r="D24" s="2" t="s">
        <v>367</v>
      </c>
      <c r="E24" s="2" t="s">
        <v>368</v>
      </c>
      <c r="F24" s="2" t="s">
        <v>368</v>
      </c>
      <c r="G24" s="28">
        <v>1.31044E+16</v>
      </c>
      <c r="H24" s="26" t="s">
        <v>369</v>
      </c>
    </row>
    <row r="25" spans="1:8">
      <c r="A25" s="2" t="s">
        <v>210</v>
      </c>
      <c r="B25" s="2" t="s">
        <v>370</v>
      </c>
      <c r="C25" s="2" t="s">
        <v>371</v>
      </c>
      <c r="D25" s="2" t="s">
        <v>372</v>
      </c>
      <c r="E25" s="2" t="s">
        <v>373</v>
      </c>
      <c r="F25" s="2" t="s">
        <v>373</v>
      </c>
      <c r="G25" s="28">
        <v>1.06799E+16</v>
      </c>
      <c r="H25" s="26" t="s">
        <v>374</v>
      </c>
    </row>
    <row r="26" spans="1:8">
      <c r="A26" s="2" t="s">
        <v>211</v>
      </c>
      <c r="B26" s="2" t="s">
        <v>375</v>
      </c>
      <c r="C26" s="2" t="s">
        <v>376</v>
      </c>
      <c r="D26" s="2" t="s">
        <v>377</v>
      </c>
      <c r="E26" s="2" t="s">
        <v>378</v>
      </c>
      <c r="F26" s="2" t="s">
        <v>378</v>
      </c>
      <c r="G26" s="28">
        <v>1.23163E+16</v>
      </c>
      <c r="H26" s="26" t="s">
        <v>379</v>
      </c>
    </row>
    <row r="27" spans="1:8">
      <c r="A27" s="2" t="s">
        <v>380</v>
      </c>
      <c r="B27" s="2" t="s">
        <v>381</v>
      </c>
      <c r="C27" s="2" t="s">
        <v>382</v>
      </c>
      <c r="D27" s="2" t="s">
        <v>383</v>
      </c>
      <c r="E27" s="2" t="s">
        <v>384</v>
      </c>
      <c r="F27" s="2" t="s">
        <v>384</v>
      </c>
      <c r="G27" s="28">
        <v>1.61801E+16</v>
      </c>
      <c r="H27" s="26" t="s">
        <v>385</v>
      </c>
    </row>
    <row r="28" spans="1:8">
      <c r="A28" s="2" t="s">
        <v>212</v>
      </c>
      <c r="B28" s="2" t="s">
        <v>386</v>
      </c>
      <c r="C28" s="2" t="s">
        <v>387</v>
      </c>
      <c r="D28" s="2" t="s">
        <v>388</v>
      </c>
      <c r="E28" s="2" t="s">
        <v>389</v>
      </c>
      <c r="F28" s="2" t="s">
        <v>389</v>
      </c>
      <c r="G28" s="2">
        <v>84292270000</v>
      </c>
      <c r="H28" s="2" t="s">
        <v>390</v>
      </c>
    </row>
    <row r="29" spans="1:8">
      <c r="A29" s="2" t="s">
        <v>391</v>
      </c>
      <c r="B29" s="2" t="s">
        <v>392</v>
      </c>
      <c r="C29" s="2" t="s">
        <v>393</v>
      </c>
      <c r="D29" s="2" t="s">
        <v>394</v>
      </c>
      <c r="E29" s="2" t="s">
        <v>395</v>
      </c>
      <c r="F29" s="2" t="s">
        <v>395</v>
      </c>
      <c r="G29" s="2">
        <v>77104420000</v>
      </c>
      <c r="H29" s="2" t="s">
        <v>396</v>
      </c>
    </row>
    <row r="30" spans="1:8">
      <c r="A30" s="2" t="s">
        <v>213</v>
      </c>
      <c r="B30" s="2" t="s">
        <v>397</v>
      </c>
      <c r="C30" s="2" t="s">
        <v>398</v>
      </c>
      <c r="D30" s="2" t="s">
        <v>399</v>
      </c>
      <c r="E30" s="2" t="s">
        <v>400</v>
      </c>
      <c r="F30" s="2" t="s">
        <v>400</v>
      </c>
      <c r="G30" s="2">
        <v>72054000000</v>
      </c>
      <c r="H30" s="2" t="s">
        <v>401</v>
      </c>
    </row>
    <row r="31" spans="1:8">
      <c r="A31" s="50">
        <v>43770</v>
      </c>
      <c r="B31" s="2" t="s">
        <v>402</v>
      </c>
      <c r="C31" s="2" t="s">
        <v>403</v>
      </c>
      <c r="D31" s="2" t="s">
        <v>402</v>
      </c>
      <c r="E31" s="2" t="s">
        <v>404</v>
      </c>
      <c r="F31" s="2" t="s">
        <v>404</v>
      </c>
      <c r="G31" s="2">
        <v>72179920000</v>
      </c>
      <c r="H31" s="26" t="s">
        <v>405</v>
      </c>
    </row>
    <row r="32" spans="1:8">
      <c r="A32" s="50">
        <v>43739</v>
      </c>
      <c r="B32" s="2" t="s">
        <v>406</v>
      </c>
      <c r="C32" s="2" t="s">
        <v>407</v>
      </c>
      <c r="D32" s="2" t="s">
        <v>408</v>
      </c>
      <c r="E32" s="2" t="s">
        <v>409</v>
      </c>
      <c r="F32" s="2" t="s">
        <v>409</v>
      </c>
      <c r="G32" s="2">
        <v>77564550000</v>
      </c>
      <c r="H32" s="26" t="s">
        <v>410</v>
      </c>
    </row>
    <row r="33" spans="1:8">
      <c r="A33" s="50">
        <v>43709</v>
      </c>
      <c r="B33" s="2" t="s">
        <v>411</v>
      </c>
      <c r="C33" s="2" t="s">
        <v>412</v>
      </c>
      <c r="D33" s="2" t="s">
        <v>413</v>
      </c>
      <c r="E33" s="2" t="s">
        <v>414</v>
      </c>
      <c r="F33" s="2" t="s">
        <v>414</v>
      </c>
      <c r="G33" s="2">
        <v>73992330000</v>
      </c>
      <c r="H33" s="26" t="s">
        <v>415</v>
      </c>
    </row>
    <row r="34" spans="1:8">
      <c r="A34" s="2" t="s">
        <v>214</v>
      </c>
      <c r="B34" s="2" t="s">
        <v>416</v>
      </c>
      <c r="C34" s="2" t="s">
        <v>417</v>
      </c>
      <c r="D34" s="2" t="s">
        <v>418</v>
      </c>
      <c r="E34" s="2" t="s">
        <v>419</v>
      </c>
      <c r="F34" s="2" t="s">
        <v>419</v>
      </c>
      <c r="G34" s="2">
        <v>79599440000</v>
      </c>
      <c r="H34" s="26" t="s">
        <v>420</v>
      </c>
    </row>
    <row r="35" spans="1:8">
      <c r="A35" s="2" t="s">
        <v>215</v>
      </c>
      <c r="B35" s="2" t="s">
        <v>421</v>
      </c>
      <c r="C35" s="2" t="s">
        <v>422</v>
      </c>
      <c r="D35" s="2" t="s">
        <v>423</v>
      </c>
      <c r="E35" s="2" t="s">
        <v>424</v>
      </c>
      <c r="F35" s="2" t="s">
        <v>424</v>
      </c>
      <c r="G35" s="2">
        <v>70349470000</v>
      </c>
      <c r="H35" s="2" t="s">
        <v>425</v>
      </c>
    </row>
    <row r="36" spans="1:8">
      <c r="A36" s="2" t="s">
        <v>216</v>
      </c>
      <c r="B36" s="2" t="s">
        <v>426</v>
      </c>
      <c r="C36" s="2" t="s">
        <v>427</v>
      </c>
      <c r="D36" s="2" t="s">
        <v>428</v>
      </c>
      <c r="E36" s="2" t="s">
        <v>429</v>
      </c>
      <c r="F36" s="2" t="s">
        <v>429</v>
      </c>
      <c r="G36" s="2">
        <v>70904280000</v>
      </c>
      <c r="H36" s="26" t="s">
        <v>430</v>
      </c>
    </row>
    <row r="37" spans="1:8">
      <c r="A37" s="2" t="s">
        <v>217</v>
      </c>
      <c r="B37" s="2" t="s">
        <v>431</v>
      </c>
      <c r="C37" s="2" t="s">
        <v>432</v>
      </c>
      <c r="D37" s="2" t="s">
        <v>433</v>
      </c>
      <c r="E37" s="2" t="s">
        <v>434</v>
      </c>
      <c r="F37" s="2" t="s">
        <v>434</v>
      </c>
      <c r="G37" s="2">
        <v>76860120000</v>
      </c>
      <c r="H37" s="26" t="s">
        <v>435</v>
      </c>
    </row>
    <row r="38" spans="1:8">
      <c r="A38" s="2" t="s">
        <v>218</v>
      </c>
      <c r="B38" s="2" t="s">
        <v>436</v>
      </c>
      <c r="C38" s="2" t="s">
        <v>437</v>
      </c>
      <c r="D38" s="2" t="s">
        <v>436</v>
      </c>
      <c r="E38" s="2" t="s">
        <v>438</v>
      </c>
      <c r="F38" s="2" t="s">
        <v>438</v>
      </c>
      <c r="G38" s="2">
        <v>69604840000</v>
      </c>
      <c r="H38" s="2" t="s">
        <v>439</v>
      </c>
    </row>
    <row r="39" spans="1:8">
      <c r="A39" s="2" t="s">
        <v>440</v>
      </c>
      <c r="B39" s="2" t="s">
        <v>441</v>
      </c>
      <c r="C39" s="2" t="s">
        <v>442</v>
      </c>
      <c r="D39" s="2" t="s">
        <v>443</v>
      </c>
      <c r="E39" s="2" t="s">
        <v>444</v>
      </c>
      <c r="F39" s="2" t="s">
        <v>444</v>
      </c>
      <c r="G39" s="2">
        <v>78596280000</v>
      </c>
      <c r="H39" s="26" t="s">
        <v>445</v>
      </c>
    </row>
    <row r="40" spans="1:8">
      <c r="A40" s="2" t="s">
        <v>219</v>
      </c>
      <c r="B40" s="2" t="s">
        <v>446</v>
      </c>
      <c r="C40" s="2" t="s">
        <v>447</v>
      </c>
      <c r="D40" s="2" t="s">
        <v>448</v>
      </c>
      <c r="E40" s="2" t="s">
        <v>449</v>
      </c>
      <c r="F40" s="2" t="s">
        <v>449</v>
      </c>
      <c r="G40" s="2">
        <v>70183430000</v>
      </c>
      <c r="H40" s="26" t="s">
        <v>450</v>
      </c>
    </row>
    <row r="41" spans="1:8">
      <c r="A41" s="2" t="s">
        <v>451</v>
      </c>
      <c r="B41" s="2" t="s">
        <v>452</v>
      </c>
      <c r="C41" s="2" t="s">
        <v>453</v>
      </c>
      <c r="D41" s="2" t="s">
        <v>454</v>
      </c>
      <c r="E41" s="2" t="s">
        <v>455</v>
      </c>
      <c r="F41" s="2" t="s">
        <v>455</v>
      </c>
      <c r="G41" s="2">
        <v>80401630000</v>
      </c>
      <c r="H41" s="26" t="s">
        <v>456</v>
      </c>
    </row>
    <row r="42" spans="1:8">
      <c r="A42" s="2" t="s">
        <v>220</v>
      </c>
      <c r="B42" s="2" t="s">
        <v>457</v>
      </c>
      <c r="C42" s="2" t="s">
        <v>458</v>
      </c>
      <c r="D42" s="2" t="s">
        <v>459</v>
      </c>
      <c r="E42" s="2" t="s">
        <v>460</v>
      </c>
      <c r="F42" s="2" t="s">
        <v>460</v>
      </c>
      <c r="G42" s="2">
        <v>83522570000</v>
      </c>
      <c r="H42" s="26" t="s">
        <v>461</v>
      </c>
    </row>
    <row r="43" spans="1:8">
      <c r="A43" s="50">
        <v>43405</v>
      </c>
      <c r="B43" s="2" t="s">
        <v>462</v>
      </c>
      <c r="C43" s="2" t="s">
        <v>463</v>
      </c>
      <c r="D43" s="2" t="s">
        <v>464</v>
      </c>
      <c r="E43" s="2" t="s">
        <v>465</v>
      </c>
      <c r="F43" s="2" t="s">
        <v>465</v>
      </c>
      <c r="G43" s="2">
        <v>80080110000</v>
      </c>
      <c r="H43" s="2" t="s">
        <v>466</v>
      </c>
    </row>
    <row r="44" spans="1:8">
      <c r="A44" s="50">
        <v>43374</v>
      </c>
      <c r="B44" s="2" t="s">
        <v>467</v>
      </c>
      <c r="C44" s="2" t="s">
        <v>468</v>
      </c>
      <c r="D44" s="2" t="s">
        <v>469</v>
      </c>
      <c r="E44" s="2" t="s">
        <v>470</v>
      </c>
      <c r="F44" s="2" t="s">
        <v>470</v>
      </c>
      <c r="G44" s="2">
        <v>91327930000</v>
      </c>
      <c r="H44" s="26" t="s">
        <v>471</v>
      </c>
    </row>
    <row r="45" spans="1:8">
      <c r="A45" s="50">
        <v>43344</v>
      </c>
      <c r="B45" s="2" t="s">
        <v>472</v>
      </c>
      <c r="C45" s="2" t="s">
        <v>473</v>
      </c>
      <c r="D45" s="2" t="s">
        <v>474</v>
      </c>
      <c r="E45" s="2" t="s">
        <v>475</v>
      </c>
      <c r="F45" s="2" t="s">
        <v>475</v>
      </c>
      <c r="G45" s="2">
        <v>62492080000</v>
      </c>
      <c r="H45" s="2" t="s">
        <v>476</v>
      </c>
    </row>
    <row r="46" spans="1:8">
      <c r="A46" s="2" t="s">
        <v>221</v>
      </c>
      <c r="B46" s="2" t="s">
        <v>477</v>
      </c>
      <c r="C46" s="2" t="s">
        <v>478</v>
      </c>
      <c r="D46" s="2" t="s">
        <v>479</v>
      </c>
      <c r="E46" s="2" t="s">
        <v>480</v>
      </c>
      <c r="F46" s="2" t="s">
        <v>480</v>
      </c>
      <c r="G46" s="2">
        <v>69238220000</v>
      </c>
      <c r="H46" s="26" t="s">
        <v>481</v>
      </c>
    </row>
    <row r="47" spans="1:8">
      <c r="A47" s="2" t="s">
        <v>222</v>
      </c>
      <c r="B47" s="2" t="s">
        <v>482</v>
      </c>
      <c r="C47" s="2" t="s">
        <v>483</v>
      </c>
      <c r="D47" s="2" t="s">
        <v>484</v>
      </c>
      <c r="E47" s="2" t="s">
        <v>485</v>
      </c>
      <c r="F47" s="2" t="s">
        <v>485</v>
      </c>
      <c r="G47" s="2">
        <v>64542170000</v>
      </c>
      <c r="H47" s="26" t="s">
        <v>486</v>
      </c>
    </row>
    <row r="48" spans="1:8">
      <c r="A48" s="2" t="s">
        <v>223</v>
      </c>
      <c r="B48" s="2" t="s">
        <v>487</v>
      </c>
      <c r="C48" s="2" t="s">
        <v>488</v>
      </c>
      <c r="D48" s="2" t="s">
        <v>489</v>
      </c>
      <c r="E48" s="2" t="s">
        <v>490</v>
      </c>
      <c r="F48" s="2" t="s">
        <v>490</v>
      </c>
      <c r="G48" s="2">
        <v>77439710000</v>
      </c>
      <c r="H48" s="26" t="s">
        <v>491</v>
      </c>
    </row>
    <row r="49" spans="1:8">
      <c r="A49" s="2" t="s">
        <v>224</v>
      </c>
      <c r="B49" s="2" t="s">
        <v>492</v>
      </c>
      <c r="C49" s="2" t="s">
        <v>493</v>
      </c>
      <c r="D49" s="2" t="s">
        <v>494</v>
      </c>
      <c r="E49" s="2" t="s">
        <v>495</v>
      </c>
      <c r="F49" s="2" t="s">
        <v>495</v>
      </c>
      <c r="G49" s="2">
        <v>75617280000</v>
      </c>
      <c r="H49" s="26" t="s">
        <v>496</v>
      </c>
    </row>
    <row r="50" spans="1:8">
      <c r="A50" s="2" t="s">
        <v>225</v>
      </c>
      <c r="B50" s="2" t="s">
        <v>497</v>
      </c>
      <c r="C50" s="2" t="s">
        <v>498</v>
      </c>
      <c r="D50" s="2" t="s">
        <v>499</v>
      </c>
      <c r="E50" s="2" t="s">
        <v>500</v>
      </c>
      <c r="F50" s="2" t="s">
        <v>500</v>
      </c>
      <c r="G50" s="2">
        <v>69648590000</v>
      </c>
      <c r="H50" s="26" t="s">
        <v>501</v>
      </c>
    </row>
    <row r="51" spans="1:8">
      <c r="A51" s="2" t="s">
        <v>502</v>
      </c>
      <c r="B51" s="2" t="s">
        <v>503</v>
      </c>
      <c r="C51" s="2" t="s">
        <v>504</v>
      </c>
      <c r="D51" s="2" t="s">
        <v>505</v>
      </c>
      <c r="E51" s="2" t="s">
        <v>506</v>
      </c>
      <c r="F51" s="2" t="s">
        <v>506</v>
      </c>
      <c r="G51" s="2">
        <v>76369800000</v>
      </c>
      <c r="H51" s="26" t="s">
        <v>507</v>
      </c>
    </row>
    <row r="52" spans="1:8">
      <c r="A52" s="2" t="s">
        <v>226</v>
      </c>
      <c r="B52" s="2" t="s">
        <v>508</v>
      </c>
      <c r="C52" s="2" t="s">
        <v>509</v>
      </c>
      <c r="D52" s="2" t="s">
        <v>510</v>
      </c>
      <c r="E52" s="2" t="s">
        <v>511</v>
      </c>
      <c r="F52" s="2" t="s">
        <v>511</v>
      </c>
      <c r="G52" s="2">
        <v>79579410000</v>
      </c>
      <c r="H52" s="2" t="s">
        <v>512</v>
      </c>
    </row>
    <row r="53" spans="1:8">
      <c r="A53" s="2" t="s">
        <v>513</v>
      </c>
      <c r="B53" s="2" t="s">
        <v>514</v>
      </c>
      <c r="C53" s="2" t="s">
        <v>515</v>
      </c>
      <c r="D53" s="2" t="s">
        <v>516</v>
      </c>
      <c r="E53" s="2" t="s">
        <v>517</v>
      </c>
      <c r="F53" s="2" t="s">
        <v>517</v>
      </c>
      <c r="G53" s="2">
        <v>76860120000</v>
      </c>
      <c r="H53" s="2" t="s">
        <v>518</v>
      </c>
    </row>
    <row r="54" spans="1:8">
      <c r="A54" s="2" t="s">
        <v>227</v>
      </c>
      <c r="B54" s="2" t="s">
        <v>519</v>
      </c>
      <c r="C54" s="2" t="s">
        <v>520</v>
      </c>
      <c r="D54" s="2" t="s">
        <v>521</v>
      </c>
      <c r="E54" s="2" t="s">
        <v>522</v>
      </c>
      <c r="F54" s="2" t="s">
        <v>522</v>
      </c>
      <c r="G54" s="2">
        <v>65251190000</v>
      </c>
      <c r="H54" s="26" t="s">
        <v>523</v>
      </c>
    </row>
    <row r="55" spans="1:8">
      <c r="A55" s="50">
        <v>43040</v>
      </c>
      <c r="B55" s="2" t="s">
        <v>524</v>
      </c>
      <c r="C55" s="2" t="s">
        <v>525</v>
      </c>
      <c r="D55" s="2" t="s">
        <v>526</v>
      </c>
      <c r="E55" s="2" t="s">
        <v>527</v>
      </c>
      <c r="F55" s="2" t="s">
        <v>527</v>
      </c>
      <c r="G55" s="2">
        <v>73173260000</v>
      </c>
      <c r="H55" s="26" t="s">
        <v>528</v>
      </c>
    </row>
    <row r="56" spans="1:8">
      <c r="A56" s="50">
        <v>43009</v>
      </c>
      <c r="B56" s="2" t="s">
        <v>529</v>
      </c>
      <c r="C56" s="2" t="s">
        <v>530</v>
      </c>
      <c r="D56" s="2" t="s">
        <v>531</v>
      </c>
      <c r="E56" s="2" t="s">
        <v>532</v>
      </c>
      <c r="F56" s="2" t="s">
        <v>532</v>
      </c>
      <c r="G56" s="2">
        <v>70871570000</v>
      </c>
      <c r="H56" s="26" t="s">
        <v>533</v>
      </c>
    </row>
    <row r="57" spans="1:8">
      <c r="A57" s="50">
        <v>42979</v>
      </c>
      <c r="B57" s="2" t="s">
        <v>534</v>
      </c>
      <c r="C57" s="2" t="s">
        <v>535</v>
      </c>
      <c r="D57" s="2" t="s">
        <v>536</v>
      </c>
      <c r="E57" s="2" t="s">
        <v>537</v>
      </c>
      <c r="F57" s="2" t="s">
        <v>537</v>
      </c>
      <c r="G57" s="2">
        <v>66337980000</v>
      </c>
      <c r="H57" s="26" t="s">
        <v>538</v>
      </c>
    </row>
    <row r="58" spans="1:8">
      <c r="A58" s="2" t="s">
        <v>228</v>
      </c>
      <c r="B58" s="2" t="s">
        <v>539</v>
      </c>
      <c r="C58" s="2" t="s">
        <v>540</v>
      </c>
      <c r="D58" s="2" t="s">
        <v>541</v>
      </c>
      <c r="E58" s="2" t="s">
        <v>542</v>
      </c>
      <c r="F58" s="2" t="s">
        <v>542</v>
      </c>
      <c r="G58" s="2">
        <v>70616030000</v>
      </c>
      <c r="H58" s="26" t="s">
        <v>543</v>
      </c>
    </row>
    <row r="59" spans="1:8">
      <c r="A59" s="2" t="s">
        <v>229</v>
      </c>
      <c r="B59" s="2" t="s">
        <v>544</v>
      </c>
      <c r="C59" s="2" t="s">
        <v>545</v>
      </c>
      <c r="D59" s="2" t="s">
        <v>546</v>
      </c>
      <c r="E59" s="2" t="s">
        <v>547</v>
      </c>
      <c r="F59" s="2" t="s">
        <v>547</v>
      </c>
      <c r="G59" s="2">
        <v>63169400000</v>
      </c>
      <c r="H59" s="26" t="s">
        <v>548</v>
      </c>
    </row>
    <row r="60" spans="1:8">
      <c r="A60" s="2" t="s">
        <v>230</v>
      </c>
      <c r="B60" s="2" t="s">
        <v>549</v>
      </c>
      <c r="C60" s="2" t="s">
        <v>550</v>
      </c>
      <c r="D60" s="2" t="s">
        <v>551</v>
      </c>
      <c r="E60" s="2" t="s">
        <v>552</v>
      </c>
      <c r="F60" s="2" t="s">
        <v>552</v>
      </c>
      <c r="G60" s="2">
        <v>81002490000</v>
      </c>
      <c r="H60" s="26" t="s">
        <v>553</v>
      </c>
    </row>
    <row r="61" spans="1:8">
      <c r="A61" s="2" t="s">
        <v>231</v>
      </c>
      <c r="B61" s="2" t="s">
        <v>554</v>
      </c>
      <c r="C61" s="2" t="s">
        <v>555</v>
      </c>
      <c r="D61" s="2" t="s">
        <v>556</v>
      </c>
      <c r="E61" s="2" t="s">
        <v>557</v>
      </c>
      <c r="F61" s="2" t="s">
        <v>557</v>
      </c>
      <c r="G61" s="2">
        <v>79607170000</v>
      </c>
      <c r="H61" s="26" t="s">
        <v>558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E9FA4236972B24C824070E78A37990F" ma:contentTypeVersion="7" ma:contentTypeDescription="Crée un document." ma:contentTypeScope="" ma:versionID="c74827629e7c9bb647283e299c56a1a7">
  <xsd:schema xmlns:xsd="http://www.w3.org/2001/XMLSchema" xmlns:xs="http://www.w3.org/2001/XMLSchema" xmlns:p="http://schemas.microsoft.com/office/2006/metadata/properties" xmlns:ns3="74b12acd-a260-4371-bc75-720ce761ccf2" xmlns:ns4="d16602b2-7d67-4ed8-9c1c-23b61e810895" targetNamespace="http://schemas.microsoft.com/office/2006/metadata/properties" ma:root="true" ma:fieldsID="5e6401791fde8756cf2df2cd7f72a448" ns3:_="" ns4:_="">
    <xsd:import namespace="74b12acd-a260-4371-bc75-720ce761ccf2"/>
    <xsd:import namespace="d16602b2-7d67-4ed8-9c1c-23b61e81089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b12acd-a260-4371-bc75-720ce761cc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602b2-7d67-4ed8-9c1c-23b61e810895"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9D95BA-2D22-4296-96B7-DE6D2E03F662}">
  <ds:schemaRefs>
    <ds:schemaRef ds:uri="http://schemas.microsoft.com/office/infopath/2007/PartnerControls"/>
    <ds:schemaRef ds:uri="http://purl.org/dc/terms/"/>
    <ds:schemaRef ds:uri="http://www.w3.org/XML/1998/namespace"/>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purl.org/dc/dcmitype/"/>
    <ds:schemaRef ds:uri="d16602b2-7d67-4ed8-9c1c-23b61e810895"/>
    <ds:schemaRef ds:uri="74b12acd-a260-4371-bc75-720ce761ccf2"/>
  </ds:schemaRefs>
</ds:datastoreItem>
</file>

<file path=customXml/itemProps2.xml><?xml version="1.0" encoding="utf-8"?>
<ds:datastoreItem xmlns:ds="http://schemas.openxmlformats.org/officeDocument/2006/customXml" ds:itemID="{39A80E87-F362-475C-B8FE-6CBCB02CCFCD}">
  <ds:schemaRefs>
    <ds:schemaRef ds:uri="http://schemas.microsoft.com/sharepoint/v3/contenttype/forms"/>
  </ds:schemaRefs>
</ds:datastoreItem>
</file>

<file path=customXml/itemProps3.xml><?xml version="1.0" encoding="utf-8"?>
<ds:datastoreItem xmlns:ds="http://schemas.openxmlformats.org/officeDocument/2006/customXml" ds:itemID="{DD1C058B-3DB7-4933-9B38-75F4800466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b12acd-a260-4371-bc75-720ce761ccf2"/>
    <ds:schemaRef ds:uri="d16602b2-7d67-4ed8-9c1c-23b61e8108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Income statement</vt:lpstr>
      <vt:lpstr>Additionnal informations</vt:lpstr>
      <vt:lpstr>Comparables</vt:lpstr>
      <vt:lpstr>Beta</vt:lpstr>
      <vt:lpstr>Scenario analysis</vt:lpstr>
      <vt:lpstr>WACC </vt:lpstr>
      <vt:lpstr>S&amp;P</vt:lpstr>
      <vt:lpstr>Cashflow Statement</vt:lpstr>
      <vt:lpstr>Other analysis</vt:lpstr>
      <vt:lpstr>Goldman Sachs market price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 Armandben</dc:creator>
  <cp:keywords/>
  <dc:description/>
  <cp:lastModifiedBy>Carl Armandben</cp:lastModifiedBy>
  <cp:revision/>
  <dcterms:created xsi:type="dcterms:W3CDTF">2015-06-05T18:17:20Z</dcterms:created>
  <dcterms:modified xsi:type="dcterms:W3CDTF">2022-12-17T16:00:59Z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0x0101008E9FA4236972B24C824070E78A37990F</vt:lpwstr>
  </property>
</Properties>
</file>