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spacecraft_svn\Projects\SPOT\Subsystems\Reaction Wheel\"/>
    </mc:Choice>
  </mc:AlternateContent>
  <bookViews>
    <workbookView xWindow="0" yWindow="0" windowWidth="20490" windowHeight="7755" activeTab="2"/>
  </bookViews>
  <sheets>
    <sheet name="Rev" sheetId="3" r:id="rId1"/>
    <sheet name="Mass" sheetId="4" r:id="rId2"/>
    <sheet name="Dim" sheetId="1" r:id="rId3"/>
    <sheet name="Acyn" sheetId="2" r:id="rId4"/>
  </sheets>
  <definedNames>
    <definedName name="deg2rad">Dim!$J$6</definedName>
    <definedName name="dscl">Dim!$D$8</definedName>
    <definedName name="ft2in">Dim!$G$6</definedName>
    <definedName name="g">Dim!$H$4</definedName>
    <definedName name="gcc2kgcm">Dim!$D$4</definedName>
    <definedName name="gcs2kgms">Dim!$C$4</definedName>
    <definedName name="in2cm">Dim!$H$6</definedName>
    <definedName name="kg2lb">Dim!$F$6</definedName>
    <definedName name="lbf2N">Dim!$D$6</definedName>
    <definedName name="mscl">Dim!$H$8</definedName>
    <definedName name="mu">Dim!$F$4</definedName>
    <definedName name="_xlnm.Print_Area" localSheetId="2">Dim!$A$1:$Y$562</definedName>
    <definedName name="psi2Pa">Dim!$L$4</definedName>
    <definedName name="R_geo">Dim!$J$4</definedName>
    <definedName name="rad2deg">Dim!$K$6</definedName>
    <definedName name="Re">Dim!$G$4</definedName>
    <definedName name="rpm2rps">Dim!$C$6</definedName>
    <definedName name="tscl">Dim!$L$8</definedName>
    <definedName name="w_geo">Dim!$K$4</definedName>
  </definedNames>
  <calcPr calcId="171027"/>
</workbook>
</file>

<file path=xl/calcChain.xml><?xml version="1.0" encoding="utf-8"?>
<calcChain xmlns="http://schemas.openxmlformats.org/spreadsheetml/2006/main">
  <c r="F2" i="1" l="1"/>
  <c r="C4" i="1"/>
  <c r="H304" i="1" s="1"/>
  <c r="H191" i="1" s="1"/>
  <c r="D4" i="1"/>
  <c r="J4" i="1"/>
  <c r="K4" i="1"/>
  <c r="L4" i="1"/>
  <c r="C6" i="1"/>
  <c r="J6" i="1"/>
  <c r="K6" i="1" s="1"/>
  <c r="D8" i="1"/>
  <c r="D18" i="1" s="1"/>
  <c r="H8" i="1"/>
  <c r="L8" i="1"/>
  <c r="K12" i="1" s="1"/>
  <c r="D13" i="1"/>
  <c r="H13" i="1"/>
  <c r="D14" i="1"/>
  <c r="H14" i="1"/>
  <c r="D15" i="1"/>
  <c r="H15" i="1"/>
  <c r="H18" i="1"/>
  <c r="D19" i="1"/>
  <c r="H100" i="1" s="1"/>
  <c r="D20" i="1"/>
  <c r="D22" i="1"/>
  <c r="C23" i="1"/>
  <c r="D23" i="1"/>
  <c r="C25" i="1"/>
  <c r="L25" i="1"/>
  <c r="H27" i="1"/>
  <c r="K27" i="1"/>
  <c r="H28" i="1"/>
  <c r="H30" i="1"/>
  <c r="K32" i="1"/>
  <c r="K82" i="1" s="1"/>
  <c r="C35" i="1"/>
  <c r="D35" i="1"/>
  <c r="D36" i="1"/>
  <c r="C36" i="1" s="1"/>
  <c r="L36" i="1"/>
  <c r="L37" i="1" s="1"/>
  <c r="H39" i="1"/>
  <c r="K39" i="1"/>
  <c r="K40" i="1"/>
  <c r="K42" i="1"/>
  <c r="H44" i="1"/>
  <c r="H45" i="1" s="1"/>
  <c r="L95" i="1"/>
  <c r="L96" i="1" s="1"/>
  <c r="H52" i="1"/>
  <c r="H64" i="1" s="1"/>
  <c r="D122" i="1"/>
  <c r="H55" i="1" s="1"/>
  <c r="H56" i="1" s="1"/>
  <c r="H65" i="1" s="1"/>
  <c r="D124" i="1"/>
  <c r="H57" i="1" s="1"/>
  <c r="D119" i="1"/>
  <c r="H60" i="1" s="1"/>
  <c r="H61" i="1" s="1"/>
  <c r="H66" i="1" s="1"/>
  <c r="H72" i="1"/>
  <c r="H53" i="1"/>
  <c r="H466" i="1" s="1"/>
  <c r="L287" i="1"/>
  <c r="L283" i="1"/>
  <c r="L284" i="1" s="1"/>
  <c r="L242" i="1"/>
  <c r="L279" i="1" s="1"/>
  <c r="L282" i="1" s="1"/>
  <c r="L302" i="1" s="1"/>
  <c r="L281" i="1"/>
  <c r="L314" i="1"/>
  <c r="L50" i="1"/>
  <c r="H269" i="1"/>
  <c r="H283" i="1" s="1"/>
  <c r="D381" i="1" s="1"/>
  <c r="D382" i="1" s="1"/>
  <c r="H285" i="1"/>
  <c r="H182" i="1"/>
  <c r="H328" i="1"/>
  <c r="H329" i="1" s="1"/>
  <c r="H336" i="1" s="1"/>
  <c r="H326" i="1"/>
  <c r="H327" i="1" s="1"/>
  <c r="H335" i="1" s="1"/>
  <c r="H330" i="1"/>
  <c r="H331" i="1" s="1"/>
  <c r="H180" i="1"/>
  <c r="H181" i="1"/>
  <c r="H184" i="1"/>
  <c r="L265" i="1"/>
  <c r="L261" i="1" s="1"/>
  <c r="L262" i="1" s="1"/>
  <c r="L144" i="1"/>
  <c r="L159" i="1" s="1"/>
  <c r="L145" i="1"/>
  <c r="L160" i="1" s="1"/>
  <c r="H146" i="1"/>
  <c r="H147" i="1" s="1"/>
  <c r="H145" i="1"/>
  <c r="H123" i="1"/>
  <c r="L376" i="1"/>
  <c r="L380" i="1"/>
  <c r="L381" i="1" s="1"/>
  <c r="L383" i="1" s="1"/>
  <c r="L384" i="1" s="1"/>
  <c r="L410" i="1"/>
  <c r="L418" i="1"/>
  <c r="L419" i="1" s="1"/>
  <c r="L421" i="1" s="1"/>
  <c r="L424" i="1" s="1"/>
  <c r="L448" i="1"/>
  <c r="L310" i="1"/>
  <c r="L416" i="1" s="1"/>
  <c r="H314" i="1"/>
  <c r="H233" i="1" s="1"/>
  <c r="H302" i="1"/>
  <c r="H299" i="1"/>
  <c r="H300" i="1" s="1"/>
  <c r="H298" i="1"/>
  <c r="H296" i="1"/>
  <c r="H295" i="1"/>
  <c r="D413" i="1"/>
  <c r="D402" i="1"/>
  <c r="D399" i="1"/>
  <c r="D400" i="1" s="1"/>
  <c r="D398" i="1"/>
  <c r="D396" i="1"/>
  <c r="D395" i="1"/>
  <c r="D347" i="1"/>
  <c r="D336" i="1"/>
  <c r="D333" i="1"/>
  <c r="D334" i="1" s="1"/>
  <c r="D332" i="1"/>
  <c r="D330" i="1"/>
  <c r="D329" i="1"/>
  <c r="H237" i="1"/>
  <c r="H238" i="1" s="1"/>
  <c r="H239" i="1" s="1"/>
  <c r="H218" i="1"/>
  <c r="L248" i="1"/>
  <c r="D380" i="1"/>
  <c r="D369" i="1"/>
  <c r="D366" i="1"/>
  <c r="D367" i="1" s="1"/>
  <c r="D365" i="1"/>
  <c r="D363" i="1"/>
  <c r="D362" i="1"/>
  <c r="D260" i="1"/>
  <c r="D280" i="1"/>
  <c r="D269" i="1"/>
  <c r="D266" i="1"/>
  <c r="D267" i="1"/>
  <c r="D265" i="1"/>
  <c r="D263" i="1"/>
  <c r="D262" i="1"/>
  <c r="H193" i="1"/>
  <c r="H194" i="1"/>
  <c r="H221" i="1"/>
  <c r="H208" i="1"/>
  <c r="H209" i="1"/>
  <c r="H226" i="1"/>
  <c r="H366" i="1"/>
  <c r="H367" i="1" s="1"/>
  <c r="H273" i="1"/>
  <c r="L266" i="1"/>
  <c r="L171" i="1"/>
  <c r="D299" i="1"/>
  <c r="D300" i="1"/>
  <c r="L170" i="1"/>
  <c r="L331" i="1"/>
  <c r="L239" i="1" s="1"/>
  <c r="H340" i="1"/>
  <c r="D314" i="1"/>
  <c r="D302" i="1"/>
  <c r="D298" i="1"/>
  <c r="D296" i="1"/>
  <c r="D295" i="1"/>
  <c r="H160" i="1"/>
  <c r="H164" i="1"/>
  <c r="H158" i="1"/>
  <c r="H151" i="1"/>
  <c r="H152" i="1" s="1"/>
  <c r="H159" i="1"/>
  <c r="L128" i="1"/>
  <c r="L135" i="1" s="1"/>
  <c r="L129" i="1"/>
  <c r="L136" i="1"/>
  <c r="L133" i="1"/>
  <c r="L140" i="1" s="1"/>
  <c r="L134" i="1"/>
  <c r="L141" i="1" s="1"/>
  <c r="H203" i="1"/>
  <c r="H334" i="1"/>
  <c r="H197" i="1"/>
  <c r="L459" i="1"/>
  <c r="H200" i="1"/>
  <c r="H342" i="1"/>
  <c r="D144" i="1"/>
  <c r="D146" i="1"/>
  <c r="D162" i="1"/>
  <c r="D161" i="1"/>
  <c r="D159" i="1"/>
  <c r="D157" i="1"/>
  <c r="D148" i="1"/>
  <c r="H390" i="1"/>
  <c r="H375" i="1"/>
  <c r="H376" i="1"/>
  <c r="H389" i="1"/>
  <c r="H387" i="1"/>
  <c r="H385" i="1"/>
  <c r="L253" i="1"/>
  <c r="D126" i="1"/>
  <c r="D69" i="1"/>
  <c r="D70" i="1" s="1"/>
  <c r="D120" i="1"/>
  <c r="D101" i="1"/>
  <c r="H260" i="1"/>
  <c r="H258" i="1"/>
  <c r="H365" i="1"/>
  <c r="H352" i="1"/>
  <c r="L236" i="1"/>
  <c r="L238" i="1"/>
  <c r="L130" i="1"/>
  <c r="L137" i="1" s="1"/>
  <c r="L131" i="1"/>
  <c r="L138" i="1" s="1"/>
  <c r="L132" i="1"/>
  <c r="L139" i="1"/>
  <c r="L245" i="1"/>
  <c r="H176" i="1"/>
  <c r="H140" i="1"/>
  <c r="H138" i="1"/>
  <c r="D88" i="1"/>
  <c r="H86" i="1" s="1"/>
  <c r="H85" i="1" s="1"/>
  <c r="H98" i="1"/>
  <c r="D110" i="1"/>
  <c r="D111" i="1"/>
  <c r="D117" i="1"/>
  <c r="D78" i="1"/>
  <c r="H112" i="1"/>
  <c r="L114" i="1"/>
  <c r="D105" i="1"/>
  <c r="L112" i="1"/>
  <c r="G99" i="1"/>
  <c r="G100" i="1"/>
  <c r="G101" i="1" s="1"/>
  <c r="H465" i="1"/>
  <c r="H464" i="1"/>
  <c r="G97" i="1"/>
  <c r="K60" i="1"/>
  <c r="K54" i="1"/>
  <c r="D53" i="1"/>
  <c r="D56" i="1" s="1"/>
  <c r="D54" i="1" s="1"/>
  <c r="D55" i="1" s="1"/>
  <c r="D58" i="1" s="1"/>
  <c r="D65" i="1" s="1"/>
  <c r="L52" i="1"/>
  <c r="K52" i="1"/>
  <c r="L62" i="1"/>
  <c r="X475" i="1"/>
  <c r="X476" i="1" s="1"/>
  <c r="T475" i="1"/>
  <c r="T476" i="1" s="1"/>
  <c r="T479" i="1" s="1"/>
  <c r="P475" i="1"/>
  <c r="P476" i="1" s="1"/>
  <c r="P479" i="1" s="1"/>
  <c r="L475" i="1"/>
  <c r="L476" i="1"/>
  <c r="L479" i="1" s="1"/>
  <c r="H475" i="1"/>
  <c r="H476" i="1" s="1"/>
  <c r="H479" i="1" s="1"/>
  <c r="D475" i="1"/>
  <c r="D476" i="1" s="1"/>
  <c r="X482" i="1"/>
  <c r="T482" i="1"/>
  <c r="P482" i="1"/>
  <c r="D482" i="1"/>
  <c r="L482" i="1"/>
  <c r="H482" i="1"/>
  <c r="D494" i="1"/>
  <c r="D495" i="1" s="1"/>
  <c r="L556" i="1"/>
  <c r="H556" i="1"/>
  <c r="D556" i="1"/>
  <c r="L539" i="1"/>
  <c r="H539" i="1"/>
  <c r="D539" i="1"/>
  <c r="L511" i="1"/>
  <c r="L538" i="1"/>
  <c r="H538" i="1"/>
  <c r="D538" i="1"/>
  <c r="L536" i="1"/>
  <c r="L537" i="1" s="1"/>
  <c r="H536" i="1"/>
  <c r="H537" i="1" s="1"/>
  <c r="D536" i="1"/>
  <c r="D537" i="1" s="1"/>
  <c r="L542" i="1"/>
  <c r="H542" i="1"/>
  <c r="D542" i="1"/>
  <c r="L508" i="1"/>
  <c r="L509" i="1" s="1"/>
  <c r="L510" i="1"/>
  <c r="H512" i="1"/>
  <c r="H514" i="1" s="1"/>
  <c r="H511" i="1"/>
  <c r="H510" i="1"/>
  <c r="H508" i="1"/>
  <c r="H509" i="1" s="1"/>
  <c r="D514" i="1"/>
  <c r="D509" i="1"/>
  <c r="L528" i="1"/>
  <c r="H528" i="1"/>
  <c r="D528" i="1"/>
  <c r="D523" i="1"/>
  <c r="L514" i="1"/>
  <c r="L500" i="1"/>
  <c r="H500" i="1"/>
  <c r="D500" i="1"/>
  <c r="H497" i="1"/>
  <c r="H496" i="1"/>
  <c r="H495" i="1"/>
  <c r="H494" i="1"/>
  <c r="D497" i="1"/>
  <c r="D496" i="1"/>
  <c r="L60" i="1"/>
  <c r="L61" i="1" s="1"/>
  <c r="L63" i="1" s="1"/>
  <c r="L64" i="1" s="1"/>
  <c r="K61" i="1"/>
  <c r="K63" i="1" s="1"/>
  <c r="K64" i="1" s="1"/>
  <c r="H87" i="1"/>
  <c r="K55" i="1"/>
  <c r="K53" i="1" s="1"/>
  <c r="K56" i="1" s="1"/>
  <c r="H163" i="1"/>
  <c r="D464" i="1"/>
  <c r="L312" i="1"/>
  <c r="L237" i="1" s="1"/>
  <c r="L235" i="1"/>
  <c r="D82" i="1"/>
  <c r="K20" i="1" l="1"/>
  <c r="L20" i="1" s="1"/>
  <c r="H46" i="1"/>
  <c r="H47" i="1" s="1"/>
  <c r="D304" i="1"/>
  <c r="H256" i="1"/>
  <c r="H190" i="1" s="1"/>
  <c r="H240" i="1"/>
  <c r="D404" i="1"/>
  <c r="L35" i="1"/>
  <c r="K35" i="1" s="1"/>
  <c r="K36" i="1" s="1"/>
  <c r="K37" i="1" s="1"/>
  <c r="L260" i="1"/>
  <c r="D315" i="1"/>
  <c r="D316" i="1" s="1"/>
  <c r="K43" i="1"/>
  <c r="L30" i="1"/>
  <c r="L32" i="1" s="1"/>
  <c r="H29" i="1"/>
  <c r="H25" i="1"/>
  <c r="D24" i="1"/>
  <c r="K22" i="1"/>
  <c r="L18" i="1"/>
  <c r="L22" i="1" s="1"/>
  <c r="L70" i="1" s="1"/>
  <c r="D97" i="1"/>
  <c r="L15" i="1"/>
  <c r="L54" i="1" s="1"/>
  <c r="G102" i="1"/>
  <c r="K89" i="1" s="1"/>
  <c r="D128" i="1"/>
  <c r="D271" i="1"/>
  <c r="L288" i="1"/>
  <c r="H337" i="1"/>
  <c r="K50" i="1"/>
  <c r="K65" i="1" s="1"/>
  <c r="K66" i="1" s="1"/>
  <c r="K14" i="1" s="1"/>
  <c r="L276" i="1"/>
  <c r="K41" i="1"/>
  <c r="H26" i="1"/>
  <c r="H20" i="1"/>
  <c r="H19" i="1"/>
  <c r="K90" i="1"/>
  <c r="K91" i="1"/>
  <c r="K92" i="1" s="1"/>
  <c r="D81" i="1"/>
  <c r="D83" i="1" s="1"/>
  <c r="D89" i="1" s="1"/>
  <c r="H165" i="1"/>
  <c r="L113" i="1"/>
  <c r="L65" i="1"/>
  <c r="L66" i="1" s="1"/>
  <c r="L14" i="1" s="1"/>
  <c r="K70" i="1"/>
  <c r="K71" i="1" s="1"/>
  <c r="L417" i="1"/>
  <c r="L425" i="1"/>
  <c r="L387" i="1"/>
  <c r="L285" i="1"/>
  <c r="L289" i="1"/>
  <c r="D383" i="1"/>
  <c r="D384" i="1" s="1"/>
  <c r="D350" i="1"/>
  <c r="D351" i="1" s="1"/>
  <c r="D317" i="1"/>
  <c r="D318" i="1" s="1"/>
  <c r="D319" i="1" s="1"/>
  <c r="H317" i="1"/>
  <c r="H318" i="1" s="1"/>
  <c r="D283" i="1"/>
  <c r="D284" i="1" s="1"/>
  <c r="D416" i="1"/>
  <c r="D417" i="1" s="1"/>
  <c r="X479" i="1"/>
  <c r="H227" i="1"/>
  <c r="D385" i="1"/>
  <c r="H338" i="1"/>
  <c r="H339" i="1" s="1"/>
  <c r="H183" i="1" s="1"/>
  <c r="H222" i="1"/>
  <c r="L303" i="1"/>
  <c r="D479" i="1"/>
  <c r="K72" i="1"/>
  <c r="K73" i="1" s="1"/>
  <c r="K77" i="1"/>
  <c r="L116" i="1"/>
  <c r="D138" i="1"/>
  <c r="D86" i="1" s="1"/>
  <c r="D139" i="1"/>
  <c r="L249" i="1"/>
  <c r="L250" i="1" s="1"/>
  <c r="L254" i="1"/>
  <c r="H133" i="1"/>
  <c r="H135" i="1"/>
  <c r="H127" i="1"/>
  <c r="H125" i="1"/>
  <c r="H131" i="1"/>
  <c r="H129" i="1"/>
  <c r="D466" i="1"/>
  <c r="D467" i="1" s="1"/>
  <c r="D469" i="1" s="1"/>
  <c r="D470" i="1" s="1"/>
  <c r="D465" i="1"/>
  <c r="H97" i="1"/>
  <c r="H35" i="1" s="1"/>
  <c r="H37" i="1" s="1"/>
  <c r="H99" i="1"/>
  <c r="H67" i="1"/>
  <c r="H76" i="1"/>
  <c r="H77" i="1"/>
  <c r="G104" i="1"/>
  <c r="L143" i="1"/>
  <c r="H101" i="1"/>
  <c r="L344" i="1"/>
  <c r="L206" i="1" s="1"/>
  <c r="L356" i="1" s="1"/>
  <c r="L218" i="1" s="1"/>
  <c r="L343" i="1"/>
  <c r="L205" i="1" s="1"/>
  <c r="L355" i="1" s="1"/>
  <c r="L217" i="1" s="1"/>
  <c r="L345" i="1"/>
  <c r="L207" i="1" s="1"/>
  <c r="L357" i="1" s="1"/>
  <c r="L219" i="1" s="1"/>
  <c r="H286" i="1"/>
  <c r="D348" i="1"/>
  <c r="D349" i="1" s="1"/>
  <c r="H315" i="1"/>
  <c r="H316" i="1" s="1"/>
  <c r="D414" i="1"/>
  <c r="D415" i="1" s="1"/>
  <c r="D62" i="1"/>
  <c r="K83" i="1"/>
  <c r="K84" i="1"/>
  <c r="K85" i="1" s="1"/>
  <c r="H89" i="1"/>
  <c r="H88" i="1"/>
  <c r="L422" i="1"/>
  <c r="D281" i="1"/>
  <c r="D282" i="1" s="1"/>
  <c r="D285" i="1" s="1"/>
  <c r="L68" i="1"/>
  <c r="H62" i="1"/>
  <c r="H63" i="1" s="1"/>
  <c r="H69" i="1" s="1"/>
  <c r="H58" i="1"/>
  <c r="H68" i="1" s="1"/>
  <c r="H467" i="1"/>
  <c r="H169" i="1"/>
  <c r="H170" i="1" s="1"/>
  <c r="H157" i="1"/>
  <c r="D338" i="1"/>
  <c r="D371" i="1"/>
  <c r="H355" i="1"/>
  <c r="H189" i="1" s="1"/>
  <c r="H188" i="1" s="1"/>
  <c r="H179" i="1"/>
  <c r="L241" i="1"/>
  <c r="K57" i="1" l="1"/>
  <c r="K58" i="1" s="1"/>
  <c r="K24" i="1" s="1"/>
  <c r="L82" i="1"/>
  <c r="H38" i="1"/>
  <c r="H40" i="1" s="1"/>
  <c r="H78" i="1"/>
  <c r="H80" i="1" s="1"/>
  <c r="H82" i="1" s="1"/>
  <c r="D84" i="1"/>
  <c r="D85" i="1" s="1"/>
  <c r="D418" i="1"/>
  <c r="L146" i="1"/>
  <c r="L147" i="1"/>
  <c r="L152" i="1"/>
  <c r="L150" i="1"/>
  <c r="L148" i="1"/>
  <c r="L151" i="1"/>
  <c r="L149" i="1"/>
  <c r="K87" i="1"/>
  <c r="K31" i="1" s="1"/>
  <c r="K29" i="1" s="1"/>
  <c r="K28" i="1" s="1"/>
  <c r="K86" i="1"/>
  <c r="L57" i="1"/>
  <c r="L58" i="1" s="1"/>
  <c r="L55" i="1"/>
  <c r="L53" i="1" s="1"/>
  <c r="L56" i="1" s="1"/>
  <c r="H229" i="1"/>
  <c r="H79" i="1"/>
  <c r="H81" i="1" s="1"/>
  <c r="H83" i="1" s="1"/>
  <c r="L174" i="1"/>
  <c r="L180" i="1"/>
  <c r="L183" i="1"/>
  <c r="L230" i="1" s="1"/>
  <c r="L182" i="1"/>
  <c r="L179" i="1"/>
  <c r="L181" i="1"/>
  <c r="L228" i="1" s="1"/>
  <c r="L178" i="1"/>
  <c r="H214" i="1"/>
  <c r="L177" i="1"/>
  <c r="L71" i="1"/>
  <c r="L105" i="1"/>
  <c r="L72" i="1"/>
  <c r="L73" i="1" s="1"/>
  <c r="L84" i="1"/>
  <c r="L83" i="1"/>
  <c r="D74" i="1"/>
  <c r="D76" i="1" s="1"/>
  <c r="L106" i="1"/>
  <c r="K79" i="1"/>
  <c r="K80" i="1" s="1"/>
  <c r="K78" i="1"/>
  <c r="L255" i="1"/>
  <c r="H144" i="1"/>
  <c r="L267" i="1"/>
  <c r="L290" i="1"/>
  <c r="H470" i="1"/>
  <c r="H469" i="1"/>
  <c r="H319" i="1"/>
  <c r="H70" i="1"/>
  <c r="H74" i="1" s="1"/>
  <c r="H75" i="1" s="1"/>
  <c r="P480" i="1"/>
  <c r="P483" i="1" s="1"/>
  <c r="P484" i="1" s="1"/>
  <c r="H480" i="1"/>
  <c r="H483" i="1" s="1"/>
  <c r="H484" i="1" s="1"/>
  <c r="X480" i="1"/>
  <c r="X483" i="1" s="1"/>
  <c r="X484" i="1" s="1"/>
  <c r="T480" i="1"/>
  <c r="T483" i="1" s="1"/>
  <c r="T484" i="1" s="1"/>
  <c r="D480" i="1"/>
  <c r="L480" i="1"/>
  <c r="L483" i="1" s="1"/>
  <c r="L484" i="1" s="1"/>
  <c r="D87" i="1"/>
  <c r="L107" i="1" s="1"/>
  <c r="D140" i="1"/>
  <c r="L251" i="1"/>
  <c r="L252" i="1" s="1"/>
  <c r="L286" i="1"/>
  <c r="L263" i="1"/>
  <c r="L264" i="1" s="1"/>
  <c r="D71" i="1"/>
  <c r="H91" i="1"/>
  <c r="H90" i="1"/>
  <c r="H92" i="1"/>
  <c r="L489" i="1"/>
  <c r="L490" i="1" s="1"/>
  <c r="L491" i="1" s="1"/>
  <c r="P489" i="1"/>
  <c r="P490" i="1" s="1"/>
  <c r="P491" i="1" s="1"/>
  <c r="D489" i="1"/>
  <c r="D490" i="1" s="1"/>
  <c r="D491" i="1" s="1"/>
  <c r="H489" i="1"/>
  <c r="H490" i="1" s="1"/>
  <c r="H491" i="1" s="1"/>
  <c r="T489" i="1"/>
  <c r="T490" i="1" s="1"/>
  <c r="T491" i="1" s="1"/>
  <c r="X489" i="1"/>
  <c r="X490" i="1" s="1"/>
  <c r="X491" i="1" s="1"/>
  <c r="D352" i="1"/>
  <c r="G106" i="1"/>
  <c r="H104" i="1"/>
  <c r="H107" i="1" s="1"/>
  <c r="G105" i="1"/>
  <c r="G108" i="1"/>
  <c r="G109" i="1" s="1"/>
  <c r="G107" i="1"/>
  <c r="L97" i="1"/>
  <c r="L98" i="1" s="1"/>
  <c r="H102" i="1"/>
  <c r="L77" i="1" s="1"/>
  <c r="K74" i="1"/>
  <c r="K75" i="1"/>
  <c r="K19" i="1" s="1"/>
  <c r="K17" i="1" l="1"/>
  <c r="K21" i="1"/>
  <c r="L24" i="1"/>
  <c r="L292" i="1" s="1"/>
  <c r="L294" i="1" s="1"/>
  <c r="D73" i="1"/>
  <c r="G110" i="1"/>
  <c r="G113" i="1" s="1"/>
  <c r="G114" i="1" s="1"/>
  <c r="G116" i="1" s="1"/>
  <c r="L89" i="1"/>
  <c r="L91" i="1" s="1"/>
  <c r="L92" i="1" s="1"/>
  <c r="L79" i="1"/>
  <c r="L80" i="1" s="1"/>
  <c r="L78" i="1"/>
  <c r="G115" i="1"/>
  <c r="H93" i="1"/>
  <c r="L110" i="1"/>
  <c r="L99" i="1" s="1"/>
  <c r="L100" i="1" s="1"/>
  <c r="L101" i="1" s="1"/>
  <c r="L102" i="1" s="1"/>
  <c r="L351" i="1"/>
  <c r="L213" i="1" s="1"/>
  <c r="L350" i="1"/>
  <c r="L340" i="1"/>
  <c r="L202" i="1" s="1"/>
  <c r="L352" i="1"/>
  <c r="L214" i="1" s="1"/>
  <c r="L338" i="1"/>
  <c r="L200" i="1" s="1"/>
  <c r="L197" i="1"/>
  <c r="L347" i="1" s="1"/>
  <c r="L209" i="1" s="1"/>
  <c r="L359" i="1" s="1"/>
  <c r="L221" i="1" s="1"/>
  <c r="L337" i="1"/>
  <c r="L199" i="1" s="1"/>
  <c r="H142" i="1"/>
  <c r="L349" i="1"/>
  <c r="L353" i="1"/>
  <c r="L215" i="1" s="1"/>
  <c r="L244" i="1"/>
  <c r="H162" i="1"/>
  <c r="L190" i="1" s="1"/>
  <c r="L225" i="1" s="1"/>
  <c r="L192" i="1"/>
  <c r="L342" i="1" s="1"/>
  <c r="L204" i="1" s="1"/>
  <c r="L354" i="1" s="1"/>
  <c r="L216" i="1" s="1"/>
  <c r="L341" i="1"/>
  <c r="L203" i="1" s="1"/>
  <c r="L339" i="1"/>
  <c r="L201" i="1" s="1"/>
  <c r="H148" i="1"/>
  <c r="H149" i="1" s="1"/>
  <c r="L90" i="1"/>
  <c r="L108" i="1"/>
  <c r="L85" i="1"/>
  <c r="L391" i="1"/>
  <c r="L403" i="1" s="1"/>
  <c r="L164" i="1"/>
  <c r="L429" i="1"/>
  <c r="L394" i="1"/>
  <c r="L406" i="1" s="1"/>
  <c r="L167" i="1"/>
  <c r="L369" i="1" s="1"/>
  <c r="L432" i="1"/>
  <c r="L444" i="1" s="1"/>
  <c r="L515" i="1"/>
  <c r="L516" i="1" s="1"/>
  <c r="L518" i="1" s="1"/>
  <c r="L519" i="1" s="1"/>
  <c r="H557" i="1"/>
  <c r="H558" i="1" s="1"/>
  <c r="H560" i="1" s="1"/>
  <c r="H561" i="1" s="1"/>
  <c r="D543" i="1"/>
  <c r="D544" i="1" s="1"/>
  <c r="D546" i="1" s="1"/>
  <c r="D547" i="1" s="1"/>
  <c r="H543" i="1"/>
  <c r="H544" i="1" s="1"/>
  <c r="H546" i="1" s="1"/>
  <c r="H547" i="1" s="1"/>
  <c r="L529" i="1"/>
  <c r="L530" i="1" s="1"/>
  <c r="L532" i="1" s="1"/>
  <c r="L533" i="1" s="1"/>
  <c r="D557" i="1"/>
  <c r="D558" i="1" s="1"/>
  <c r="D560" i="1" s="1"/>
  <c r="D561" i="1" s="1"/>
  <c r="L543" i="1"/>
  <c r="L544" i="1" s="1"/>
  <c r="L546" i="1" s="1"/>
  <c r="L547" i="1" s="1"/>
  <c r="L501" i="1"/>
  <c r="L502" i="1" s="1"/>
  <c r="L504" i="1" s="1"/>
  <c r="L505" i="1" s="1"/>
  <c r="H529" i="1"/>
  <c r="H530" i="1" s="1"/>
  <c r="H532" i="1" s="1"/>
  <c r="H533" i="1" s="1"/>
  <c r="D501" i="1"/>
  <c r="D502" i="1" s="1"/>
  <c r="D504" i="1" s="1"/>
  <c r="D505" i="1" s="1"/>
  <c r="H515" i="1"/>
  <c r="H516" i="1" s="1"/>
  <c r="H518" i="1" s="1"/>
  <c r="H519" i="1" s="1"/>
  <c r="H501" i="1"/>
  <c r="H502" i="1" s="1"/>
  <c r="H504" i="1" s="1"/>
  <c r="H505" i="1" s="1"/>
  <c r="L557" i="1"/>
  <c r="L558" i="1" s="1"/>
  <c r="L560" i="1" s="1"/>
  <c r="L561" i="1" s="1"/>
  <c r="D529" i="1"/>
  <c r="D530" i="1" s="1"/>
  <c r="D532" i="1" s="1"/>
  <c r="D533" i="1" s="1"/>
  <c r="D515" i="1"/>
  <c r="D516" i="1" s="1"/>
  <c r="D518" i="1" s="1"/>
  <c r="D519" i="1" s="1"/>
  <c r="D483" i="1"/>
  <c r="L256" i="1"/>
  <c r="L257" i="1"/>
  <c r="L431" i="1"/>
  <c r="L443" i="1" s="1"/>
  <c r="L166" i="1"/>
  <c r="L368" i="1" s="1"/>
  <c r="L393" i="1"/>
  <c r="L405" i="1" s="1"/>
  <c r="L389" i="1"/>
  <c r="L427" i="1"/>
  <c r="L162" i="1"/>
  <c r="H155" i="1"/>
  <c r="L458" i="1" s="1"/>
  <c r="L460" i="1" s="1"/>
  <c r="D112" i="1"/>
  <c r="D108" i="1"/>
  <c r="L111" i="1"/>
  <c r="L74" i="1"/>
  <c r="L75" i="1"/>
  <c r="L19" i="1" s="1"/>
  <c r="L176" i="1"/>
  <c r="K88" i="1"/>
  <c r="L390" i="1"/>
  <c r="L163" i="1"/>
  <c r="L428" i="1"/>
  <c r="L161" i="1"/>
  <c r="L363" i="1" s="1"/>
  <c r="L388" i="1"/>
  <c r="L426" i="1"/>
  <c r="K76" i="1"/>
  <c r="H105" i="1"/>
  <c r="H106" i="1"/>
  <c r="H108" i="1"/>
  <c r="H109" i="1" s="1"/>
  <c r="H110" i="1" s="1"/>
  <c r="H113" i="1" s="1"/>
  <c r="D77" i="1"/>
  <c r="L115" i="1" s="1"/>
  <c r="D72" i="1"/>
  <c r="H234" i="1"/>
  <c r="L268" i="1"/>
  <c r="L269" i="1"/>
  <c r="L229" i="1"/>
  <c r="L175" i="1"/>
  <c r="L392" i="1"/>
  <c r="L404" i="1" s="1"/>
  <c r="L430" i="1"/>
  <c r="L442" i="1" s="1"/>
  <c r="L165" i="1"/>
  <c r="L367" i="1" s="1"/>
  <c r="L364" i="1" l="1"/>
  <c r="L21" i="1"/>
  <c r="L17" i="1"/>
  <c r="L109" i="1"/>
  <c r="H114" i="1"/>
  <c r="L298" i="1"/>
  <c r="H241" i="1"/>
  <c r="H243" i="1" s="1"/>
  <c r="L87" i="1"/>
  <c r="L31" i="1" s="1"/>
  <c r="L29" i="1" s="1"/>
  <c r="L28" i="1" s="1"/>
  <c r="L86" i="1"/>
  <c r="H150" i="1"/>
  <c r="H175" i="1" s="1"/>
  <c r="H153" i="1"/>
  <c r="L153" i="1"/>
  <c r="L154" i="1"/>
  <c r="L212" i="1"/>
  <c r="L362" i="1"/>
  <c r="L317" i="1"/>
  <c r="L318" i="1" s="1"/>
  <c r="L319" i="1" s="1"/>
  <c r="L315" i="1"/>
  <c r="L316" i="1" s="1"/>
  <c r="L211" i="1"/>
  <c r="L361" i="1"/>
  <c r="L365" i="1"/>
  <c r="L439" i="1"/>
  <c r="H485" i="1"/>
  <c r="L485" i="1"/>
  <c r="X485" i="1"/>
  <c r="T485" i="1"/>
  <c r="D485" i="1"/>
  <c r="D484" i="1"/>
  <c r="P485" i="1"/>
  <c r="L441" i="1"/>
  <c r="L297" i="1"/>
  <c r="L196" i="1"/>
  <c r="L346" i="1" s="1"/>
  <c r="L208" i="1" s="1"/>
  <c r="L358" i="1" s="1"/>
  <c r="L220" i="1" s="1"/>
  <c r="H161" i="1"/>
  <c r="H166" i="1"/>
  <c r="H167" i="1" s="1"/>
  <c r="H174" i="1" s="1"/>
  <c r="H173" i="1"/>
  <c r="L189" i="1"/>
  <c r="L224" i="1" s="1"/>
  <c r="L76" i="1"/>
  <c r="L401" i="1"/>
  <c r="L227" i="1"/>
  <c r="L366" i="1"/>
  <c r="L191" i="1"/>
  <c r="L226" i="1" s="1"/>
  <c r="H368" i="1"/>
  <c r="H369" i="1" s="1"/>
  <c r="L306" i="1" s="1"/>
  <c r="L307" i="1" s="1"/>
  <c r="L320" i="1"/>
  <c r="L188" i="1"/>
  <c r="L187" i="1"/>
  <c r="L398" i="1" l="1"/>
  <c r="L436" i="1"/>
  <c r="L222" i="1"/>
  <c r="P486" i="1"/>
  <c r="H486" i="1"/>
  <c r="X486" i="1"/>
  <c r="T486" i="1"/>
  <c r="L486" i="1"/>
  <c r="D486" i="1"/>
  <c r="L437" i="1"/>
  <c r="L399" i="1"/>
  <c r="H242" i="1"/>
  <c r="L299" i="1"/>
  <c r="L438" i="1"/>
  <c r="L395" i="1"/>
  <c r="L407" i="1" s="1"/>
  <c r="L168" i="1"/>
  <c r="L370" i="1" s="1"/>
  <c r="L372" i="1" s="1"/>
  <c r="L374" i="1" s="1"/>
  <c r="L375" i="1" s="1"/>
  <c r="L360" i="1" s="1"/>
  <c r="L378" i="1" s="1"/>
  <c r="L433" i="1"/>
  <c r="L445" i="1" s="1"/>
  <c r="L157" i="1"/>
  <c r="L88" i="1"/>
  <c r="L402" i="1"/>
  <c r="H168" i="1"/>
  <c r="H171" i="1"/>
  <c r="H172" i="1" s="1"/>
  <c r="L321" i="1"/>
  <c r="L323" i="1" s="1"/>
  <c r="L324" i="1" s="1"/>
  <c r="L326" i="1" s="1"/>
  <c r="L185" i="1"/>
  <c r="L232" i="1" s="1"/>
  <c r="H154" i="1"/>
  <c r="L184" i="1"/>
  <c r="L231" i="1" s="1"/>
  <c r="H244" i="1"/>
  <c r="H116" i="1"/>
  <c r="H115" i="1"/>
  <c r="L400" i="1"/>
  <c r="L223" i="1"/>
  <c r="L440" i="1"/>
  <c r="L169" i="1"/>
  <c r="L371" i="1" s="1"/>
  <c r="L434" i="1"/>
  <c r="L446" i="1" s="1"/>
  <c r="L396" i="1"/>
  <c r="L408" i="1" s="1"/>
  <c r="L172" i="1" l="1"/>
  <c r="L332" i="1"/>
  <c r="L334" i="1" s="1"/>
  <c r="L328" i="1" s="1"/>
  <c r="H344" i="1" s="1"/>
  <c r="L300" i="1"/>
  <c r="H210" i="1"/>
  <c r="L233" i="1"/>
  <c r="H215" i="1" s="1"/>
  <c r="H216" i="1" s="1"/>
  <c r="L447" i="1"/>
  <c r="L449" i="1" s="1"/>
  <c r="L450" i="1" s="1"/>
  <c r="L452" i="1" s="1"/>
  <c r="L409" i="1"/>
  <c r="L411" i="1" s="1"/>
  <c r="L412" i="1" s="1"/>
  <c r="L414" i="1" s="1"/>
  <c r="L454" i="1" s="1"/>
  <c r="H223" i="1" l="1"/>
  <c r="D321" i="1"/>
  <c r="D287" i="1"/>
  <c r="D387" i="1"/>
  <c r="D420" i="1"/>
  <c r="D354" i="1"/>
  <c r="H321" i="1"/>
  <c r="H217" i="1"/>
  <c r="H219" i="1" s="1"/>
  <c r="H246" i="1"/>
  <c r="H346" i="1"/>
  <c r="H345" i="1"/>
  <c r="H211" i="1"/>
  <c r="H212" i="1"/>
  <c r="H320" i="1" l="1"/>
  <c r="D419" i="1"/>
  <c r="D286" i="1"/>
  <c r="H224" i="1"/>
  <c r="H225" i="1" s="1"/>
  <c r="H228" i="1" s="1"/>
  <c r="D353" i="1"/>
  <c r="H232" i="1"/>
  <c r="H235" i="1" s="1"/>
  <c r="D320" i="1"/>
  <c r="D386" i="1"/>
  <c r="H287" i="1" l="1"/>
  <c r="H274" i="1"/>
  <c r="H288" i="1"/>
  <c r="H230" i="1"/>
</calcChain>
</file>

<file path=xl/comments1.xml><?xml version="1.0" encoding="utf-8"?>
<comments xmlns="http://schemas.openxmlformats.org/spreadsheetml/2006/main">
  <authors>
    <author>Jian-Feng Shi</author>
  </authors>
  <commentList>
    <comment ref="K15" authorId="0" shapeId="0">
      <text>
        <r>
          <rPr>
            <b/>
            <sz val="8"/>
            <color indexed="81"/>
            <rFont val="Tahoma"/>
            <charset val="1"/>
          </rPr>
          <t>Jian-Feng Shi:</t>
        </r>
        <r>
          <rPr>
            <sz val="8"/>
            <color indexed="81"/>
            <rFont val="Tahoma"/>
            <charset val="1"/>
          </rPr>
          <t xml:space="preserve">
given BOL to EOL Mass Range</t>
        </r>
      </text>
    </comment>
    <comment ref="K18" authorId="0" shapeId="0">
      <text>
        <r>
          <rPr>
            <b/>
            <sz val="8"/>
            <color indexed="81"/>
            <rFont val="Tahoma"/>
            <charset val="1"/>
          </rPr>
          <t>Jian-Feng Shi:</t>
        </r>
        <r>
          <rPr>
            <sz val="8"/>
            <color indexed="81"/>
            <rFont val="Tahoma"/>
            <charset val="1"/>
          </rPr>
          <t xml:space="preserve">
tune this until Req Error is near zero</t>
        </r>
      </text>
    </comment>
    <comment ref="K25" authorId="0" shapeId="0">
      <text>
        <r>
          <rPr>
            <b/>
            <sz val="8"/>
            <color indexed="81"/>
            <rFont val="Tahoma"/>
            <charset val="1"/>
          </rPr>
          <t>Jian-Feng Shi:</t>
        </r>
        <r>
          <rPr>
            <sz val="8"/>
            <color indexed="81"/>
            <rFont val="Tahoma"/>
            <charset val="1"/>
          </rPr>
          <t xml:space="preserve">
given BOL to EOL Mass Range</t>
        </r>
      </text>
    </comment>
    <comment ref="K30" authorId="0" shapeId="0">
      <text>
        <r>
          <rPr>
            <b/>
            <sz val="8"/>
            <color indexed="81"/>
            <rFont val="Tahoma"/>
            <charset val="1"/>
          </rPr>
          <t>Jian-Feng Shi:</t>
        </r>
        <r>
          <rPr>
            <sz val="8"/>
            <color indexed="81"/>
            <rFont val="Tahoma"/>
            <charset val="1"/>
          </rPr>
          <t xml:space="preserve">
tune this until Req Error is near zero</t>
        </r>
      </text>
    </comment>
    <comment ref="H72" authorId="0" shapeId="0">
      <text>
        <r>
          <rPr>
            <b/>
            <sz val="8"/>
            <color indexed="81"/>
            <rFont val="Tahoma"/>
            <charset val="1"/>
          </rPr>
          <t>Jian-Feng Shi:</t>
        </r>
        <r>
          <rPr>
            <sz val="8"/>
            <color indexed="81"/>
            <rFont val="Tahoma"/>
            <charset val="1"/>
          </rPr>
          <t xml:space="preserve">
Cast Iron = 7.8
https://www.google.ca/search?q=cast+iron+density&amp;oq=cast+iron+density&amp;aqs=chrome..69i57.5677j0j4&amp;sourceid=chrome&amp;es_sm=122&amp;ie=UTF-8
Stainless Steel = (7.85+8.06)/2
https://www.google.ca/search?q=stainless+steel+density&amp;oq=stainless+steel+density&amp;aqs=chrome..69i57.4962j0j7&amp;sourceid=chrome&amp;es_sm=0&amp;ie=UTF-8</t>
        </r>
      </text>
    </comment>
    <comment ref="L125" authorId="0" shapeId="0">
      <text>
        <r>
          <rPr>
            <b/>
            <sz val="8"/>
            <color indexed="81"/>
            <rFont val="Tahoma"/>
            <charset val="1"/>
          </rPr>
          <t>Jian-Feng Shi:</t>
        </r>
        <r>
          <rPr>
            <sz val="8"/>
            <color indexed="81"/>
            <rFont val="Tahoma"/>
            <charset val="1"/>
          </rPr>
          <t xml:space="preserve">
JFS150724
need to confirm 
need 90W
spreadsheet only allow 72.72 W</t>
        </r>
      </text>
    </comment>
    <comment ref="L155" authorId="0" shapeId="0">
      <text>
        <r>
          <rPr>
            <b/>
            <sz val="8"/>
            <color indexed="81"/>
            <rFont val="Tahoma"/>
            <charset val="1"/>
          </rPr>
          <t>Jian-Feng Shi:</t>
        </r>
        <r>
          <rPr>
            <sz val="8"/>
            <color indexed="81"/>
            <rFont val="Tahoma"/>
            <charset val="1"/>
          </rPr>
          <t xml:space="preserve">
estimated</t>
        </r>
      </text>
    </comment>
    <comment ref="L156" authorId="0" shapeId="0">
      <text>
        <r>
          <rPr>
            <b/>
            <sz val="8"/>
            <color indexed="81"/>
            <rFont val="Tahoma"/>
            <charset val="1"/>
          </rPr>
          <t>Jian-Feng Shi:</t>
        </r>
        <r>
          <rPr>
            <sz val="8"/>
            <color indexed="81"/>
            <rFont val="Tahoma"/>
            <charset val="1"/>
          </rPr>
          <t xml:space="preserve">
estimated</t>
        </r>
      </text>
    </comment>
    <comment ref="L176" authorId="0" shapeId="0">
      <text>
        <r>
          <rPr>
            <b/>
            <sz val="8"/>
            <color indexed="81"/>
            <rFont val="Tahoma"/>
            <charset val="1"/>
          </rPr>
          <t>Jian-Feng Shi:</t>
        </r>
        <r>
          <rPr>
            <sz val="8"/>
            <color indexed="81"/>
            <rFont val="Tahoma"/>
            <charset val="1"/>
          </rPr>
          <t xml:space="preserve">
Estimated</t>
        </r>
      </text>
    </comment>
    <comment ref="H182" authorId="0" shapeId="0">
      <text>
        <r>
          <rPr>
            <b/>
            <sz val="8"/>
            <color indexed="81"/>
            <rFont val="Tahoma"/>
            <charset val="1"/>
          </rPr>
          <t>Jian-Feng Shi:</t>
        </r>
        <r>
          <rPr>
            <sz val="8"/>
            <color indexed="81"/>
            <rFont val="Tahoma"/>
            <charset val="1"/>
          </rPr>
          <t xml:space="preserve">
This is the largest contribution to arm mass</t>
        </r>
      </text>
    </comment>
    <comment ref="J186" authorId="0" shapeId="0">
      <text>
        <r>
          <rPr>
            <b/>
            <sz val="8"/>
            <color indexed="81"/>
            <rFont val="Tahoma"/>
            <charset val="1"/>
          </rPr>
          <t>Jian-Feng Shi:</t>
        </r>
        <r>
          <rPr>
            <sz val="8"/>
            <color indexed="81"/>
            <rFont val="Tahoma"/>
            <charset val="1"/>
          </rPr>
          <t xml:space="preserve">
base on GB260533, arm is not stiff enough to lift payload at fully stretched config
Required N=313
GB N=216</t>
        </r>
      </text>
    </comment>
    <comment ref="H192" authorId="0" shapeId="0">
      <text>
        <r>
          <rPr>
            <b/>
            <sz val="8"/>
            <color indexed="81"/>
            <rFont val="Tahoma"/>
            <charset val="1"/>
          </rPr>
          <t>Jian-Feng Shi:</t>
        </r>
        <r>
          <rPr>
            <sz val="8"/>
            <color indexed="81"/>
            <rFont val="Tahoma"/>
            <charset val="1"/>
          </rPr>
          <t xml:space="preserve">
Estimated</t>
        </r>
      </text>
    </comment>
    <comment ref="H194" authorId="0" shapeId="0">
      <text>
        <r>
          <rPr>
            <b/>
            <sz val="8"/>
            <color indexed="81"/>
            <rFont val="Tahoma"/>
            <charset val="1"/>
          </rPr>
          <t>Jian-Feng Shi:</t>
        </r>
        <r>
          <rPr>
            <sz val="8"/>
            <color indexed="81"/>
            <rFont val="Tahoma"/>
            <charset val="1"/>
          </rPr>
          <t xml:space="preserve">
Estimated</t>
        </r>
      </text>
    </comment>
    <comment ref="H195" authorId="0" shapeId="0">
      <text>
        <r>
          <rPr>
            <b/>
            <sz val="8"/>
            <color indexed="81"/>
            <rFont val="Tahoma"/>
            <charset val="1"/>
          </rPr>
          <t>Jian-Feng Shi:</t>
        </r>
        <r>
          <rPr>
            <sz val="8"/>
            <color indexed="81"/>
            <rFont val="Tahoma"/>
            <charset val="1"/>
          </rPr>
          <t xml:space="preserve">
Estimated</t>
        </r>
      </text>
    </comment>
    <comment ref="H196" authorId="0" shapeId="0">
      <text>
        <r>
          <rPr>
            <b/>
            <sz val="8"/>
            <color indexed="81"/>
            <rFont val="Tahoma"/>
            <charset val="1"/>
          </rPr>
          <t>Jian-Feng Shi:</t>
        </r>
        <r>
          <rPr>
            <sz val="8"/>
            <color indexed="81"/>
            <rFont val="Tahoma"/>
            <charset val="1"/>
          </rPr>
          <t xml:space="preserve">
Estimated</t>
        </r>
      </text>
    </comment>
    <comment ref="H198" authorId="0" shapeId="0">
      <text>
        <r>
          <rPr>
            <b/>
            <sz val="8"/>
            <color indexed="81"/>
            <rFont val="Tahoma"/>
            <charset val="1"/>
          </rPr>
          <t>Jian-Feng Shi:</t>
        </r>
        <r>
          <rPr>
            <sz val="8"/>
            <color indexed="81"/>
            <rFont val="Tahoma"/>
            <charset val="1"/>
          </rPr>
          <t xml:space="preserve">
estimated</t>
        </r>
      </text>
    </comment>
    <comment ref="J198" authorId="0" shapeId="0">
      <text>
        <r>
          <rPr>
            <b/>
            <sz val="8"/>
            <color indexed="81"/>
            <rFont val="Tahoma"/>
            <charset val="1"/>
          </rPr>
          <t>Jian-Feng Shi:</t>
        </r>
        <r>
          <rPr>
            <sz val="8"/>
            <color indexed="81"/>
            <rFont val="Tahoma"/>
            <charset val="1"/>
          </rPr>
          <t xml:space="preserve">
Jian-Feng Shi:
base on GB260533, arm is not stiff enough to lift payload at fully stretched config
Required N=276
GB N=216</t>
        </r>
      </text>
    </comment>
    <comment ref="H199" authorId="0" shapeId="0">
      <text>
        <r>
          <rPr>
            <b/>
            <sz val="8"/>
            <color indexed="81"/>
            <rFont val="Tahoma"/>
            <charset val="1"/>
          </rPr>
          <t>Jian-Feng Shi:</t>
        </r>
        <r>
          <rPr>
            <sz val="8"/>
            <color indexed="81"/>
            <rFont val="Tahoma"/>
            <charset val="1"/>
          </rPr>
          <t xml:space="preserve">
estimated</t>
        </r>
      </text>
    </comment>
    <comment ref="H201" authorId="0" shapeId="0">
      <text>
        <r>
          <rPr>
            <b/>
            <sz val="8"/>
            <color indexed="81"/>
            <rFont val="Tahoma"/>
            <charset val="1"/>
          </rPr>
          <t>Jian-Feng Shi:</t>
        </r>
        <r>
          <rPr>
            <sz val="8"/>
            <color indexed="81"/>
            <rFont val="Tahoma"/>
            <charset val="1"/>
          </rPr>
          <t xml:space="preserve">
estimated</t>
        </r>
      </text>
    </comment>
    <comment ref="H202" authorId="0" shapeId="0">
      <text>
        <r>
          <rPr>
            <b/>
            <sz val="8"/>
            <color indexed="81"/>
            <rFont val="Tahoma"/>
            <charset val="1"/>
          </rPr>
          <t>Jian-Feng Shi:</t>
        </r>
        <r>
          <rPr>
            <sz val="8"/>
            <color indexed="81"/>
            <rFont val="Tahoma"/>
            <charset val="1"/>
          </rPr>
          <t xml:space="preserve">
estimated</t>
        </r>
      </text>
    </comment>
    <comment ref="H204" authorId="0" shapeId="0">
      <text>
        <r>
          <rPr>
            <b/>
            <sz val="8"/>
            <color indexed="81"/>
            <rFont val="Tahoma"/>
            <charset val="1"/>
          </rPr>
          <t>Jian-Feng Shi:</t>
        </r>
        <r>
          <rPr>
            <sz val="8"/>
            <color indexed="81"/>
            <rFont val="Tahoma"/>
            <charset val="1"/>
          </rPr>
          <t xml:space="preserve">
estimated</t>
        </r>
      </text>
    </comment>
    <comment ref="H205" authorId="0" shapeId="0">
      <text>
        <r>
          <rPr>
            <b/>
            <sz val="8"/>
            <color indexed="81"/>
            <rFont val="Tahoma"/>
            <charset val="1"/>
          </rPr>
          <t>Jian-Feng Shi:</t>
        </r>
        <r>
          <rPr>
            <sz val="8"/>
            <color indexed="81"/>
            <rFont val="Tahoma"/>
            <charset val="1"/>
          </rPr>
          <t xml:space="preserve">
estimated</t>
        </r>
      </text>
    </comment>
    <comment ref="J210" authorId="0" shapeId="0">
      <text>
        <r>
          <rPr>
            <b/>
            <sz val="8"/>
            <color indexed="81"/>
            <rFont val="Tahoma"/>
            <charset val="1"/>
          </rPr>
          <t>Jian-Feng Shi:</t>
        </r>
        <r>
          <rPr>
            <sz val="8"/>
            <color indexed="81"/>
            <rFont val="Tahoma"/>
            <charset val="1"/>
          </rPr>
          <t xml:space="preserve">
to perform lift operations the arm must be under 45-90-45 config, having sufficient stiffness for maneuvering performance
Any greater arm stretch will result in insufficient GB ratio
If we increase GB ratio, it will result in significant increase in manipulator mass, this is the last GB before a major step up in design cost (GB260553)</t>
        </r>
      </text>
    </comment>
    <comment ref="H212" authorId="0" shapeId="0">
      <text>
        <r>
          <rPr>
            <b/>
            <sz val="8"/>
            <color indexed="81"/>
            <rFont val="Tahoma"/>
            <charset val="1"/>
          </rPr>
          <t>Jian-Feng Shi:</t>
        </r>
        <r>
          <rPr>
            <sz val="8"/>
            <color indexed="81"/>
            <rFont val="Tahoma"/>
            <charset val="1"/>
          </rPr>
          <t xml:space="preserve">
select initial GB base on this ratio or base on MOI, this requirement is secondary</t>
        </r>
      </text>
    </comment>
    <comment ref="H217" authorId="0" shapeId="0">
      <text>
        <r>
          <rPr>
            <b/>
            <sz val="8"/>
            <color indexed="81"/>
            <rFont val="Tahoma"/>
            <charset val="1"/>
          </rPr>
          <t>Jian-Feng Shi:</t>
        </r>
        <r>
          <rPr>
            <sz val="8"/>
            <color indexed="81"/>
            <rFont val="Tahoma"/>
            <charset val="1"/>
          </rPr>
          <t xml:space="preserve">
select GB base on this ratio</t>
        </r>
      </text>
    </comment>
    <comment ref="F222" authorId="0" shapeId="0">
      <text>
        <r>
          <rPr>
            <b/>
            <sz val="8"/>
            <color indexed="81"/>
            <rFont val="Tahoma"/>
            <charset val="1"/>
          </rPr>
          <t>Jian-Feng Shi:</t>
        </r>
        <r>
          <rPr>
            <sz val="8"/>
            <color indexed="81"/>
            <rFont val="Tahoma"/>
            <charset val="1"/>
          </rPr>
          <t xml:space="preserve">
worst torq case is lift load</t>
        </r>
      </text>
    </comment>
    <comment ref="F223" authorId="0" shapeId="0">
      <text>
        <r>
          <rPr>
            <b/>
            <sz val="8"/>
            <color indexed="81"/>
            <rFont val="Tahoma"/>
            <charset val="1"/>
          </rPr>
          <t>Jian-Feng Shi:</t>
        </r>
        <r>
          <rPr>
            <sz val="8"/>
            <color indexed="81"/>
            <rFont val="Tahoma"/>
            <charset val="1"/>
          </rPr>
          <t xml:space="preserve">
worst torq case is lift load</t>
        </r>
      </text>
    </comment>
    <comment ref="H228" authorId="0" shapeId="0">
      <text>
        <r>
          <rPr>
            <b/>
            <sz val="8"/>
            <color indexed="81"/>
            <rFont val="Tahoma"/>
            <charset val="1"/>
          </rPr>
          <t>Jian-Feng Shi:</t>
        </r>
        <r>
          <rPr>
            <sz val="8"/>
            <color indexed="81"/>
            <rFont val="Tahoma"/>
            <charset val="1"/>
          </rPr>
          <t xml:space="preserve">
select motor base off this required motor torque</t>
        </r>
      </text>
    </comment>
    <comment ref="H244" authorId="0" shapeId="0">
      <text>
        <r>
          <rPr>
            <b/>
            <sz val="8"/>
            <color indexed="81"/>
            <rFont val="Tahoma"/>
            <charset val="1"/>
          </rPr>
          <t>Jian-Feng Shi:</t>
        </r>
        <r>
          <rPr>
            <sz val="8"/>
            <color indexed="81"/>
            <rFont val="Tahoma"/>
            <charset val="1"/>
          </rPr>
          <t xml:space="preserve">
check this against speed requirements</t>
        </r>
      </text>
    </comment>
    <comment ref="B256" authorId="0" shapeId="0">
      <text>
        <r>
          <rPr>
            <b/>
            <sz val="8"/>
            <color indexed="81"/>
            <rFont val="Tahoma"/>
            <charset val="1"/>
          </rPr>
          <t>Jian-Feng Shi:</t>
        </r>
        <r>
          <rPr>
            <sz val="8"/>
            <color indexed="81"/>
            <rFont val="Tahoma"/>
            <charset val="1"/>
          </rPr>
          <t xml:space="preserve">
Cannot meet torque requirement, but will result in lightest arm design</t>
        </r>
      </text>
    </comment>
    <comment ref="D258" authorId="0" shapeId="0">
      <text>
        <r>
          <rPr>
            <b/>
            <sz val="8"/>
            <color indexed="81"/>
            <rFont val="Tahoma"/>
            <charset val="1"/>
          </rPr>
          <t>Jian-Feng Shi:</t>
        </r>
        <r>
          <rPr>
            <sz val="8"/>
            <color indexed="81"/>
            <rFont val="Tahoma"/>
            <charset val="1"/>
          </rPr>
          <t xml:space="preserve">
going above 260553 (N=261) will step up all properties, there is no benift if cannot stay with 260553</t>
        </r>
      </text>
    </comment>
    <comment ref="D287" authorId="0" shapeId="0">
      <text>
        <r>
          <rPr>
            <b/>
            <sz val="8"/>
            <color indexed="81"/>
            <rFont val="Tahoma"/>
            <charset val="1"/>
          </rPr>
          <t>Jian-Feng Shi:</t>
        </r>
        <r>
          <rPr>
            <sz val="8"/>
            <color indexed="81"/>
            <rFont val="Tahoma"/>
            <charset val="1"/>
          </rPr>
          <t xml:space="preserve">
check this against maximum drive torque requirements</t>
        </r>
      </text>
    </comment>
    <comment ref="H288" authorId="0" shapeId="0">
      <text>
        <r>
          <rPr>
            <b/>
            <sz val="8"/>
            <color indexed="81"/>
            <rFont val="Tahoma"/>
            <charset val="1"/>
          </rPr>
          <t>Jian-Feng Shi:</t>
        </r>
        <r>
          <rPr>
            <sz val="8"/>
            <color indexed="81"/>
            <rFont val="Tahoma"/>
            <charset val="1"/>
          </rPr>
          <t xml:space="preserve">
check this against motor selection requirement section, it may be okay if this is under 1, need to compensate with GB so final output torque meets the top level 
requirement</t>
        </r>
      </text>
    </comment>
    <comment ref="D321" authorId="0" shapeId="0">
      <text>
        <r>
          <rPr>
            <b/>
            <sz val="8"/>
            <color indexed="81"/>
            <rFont val="Tahoma"/>
            <charset val="1"/>
          </rPr>
          <t>Jian-Feng Shi:</t>
        </r>
        <r>
          <rPr>
            <sz val="8"/>
            <color indexed="81"/>
            <rFont val="Tahoma"/>
            <charset val="1"/>
          </rPr>
          <t xml:space="preserve">
check this against maximum drive torque requirements</t>
        </r>
      </text>
    </comment>
    <comment ref="H321" authorId="0" shapeId="0">
      <text>
        <r>
          <rPr>
            <b/>
            <sz val="8"/>
            <color indexed="81"/>
            <rFont val="Tahoma"/>
            <charset val="1"/>
          </rPr>
          <t>Jian-Feng Shi:</t>
        </r>
        <r>
          <rPr>
            <sz val="8"/>
            <color indexed="81"/>
            <rFont val="Tahoma"/>
            <charset val="1"/>
          </rPr>
          <t xml:space="preserve">
check this against maximum drive torque requirements</t>
        </r>
      </text>
    </comment>
    <comment ref="H333" authorId="0" shapeId="0">
      <text>
        <r>
          <rPr>
            <b/>
            <sz val="8"/>
            <color indexed="81"/>
            <rFont val="Tahoma"/>
            <charset val="1"/>
          </rPr>
          <t>Jian-Feng Shi:</t>
        </r>
        <r>
          <rPr>
            <sz val="8"/>
            <color indexed="81"/>
            <rFont val="Tahoma"/>
            <charset val="1"/>
          </rPr>
          <t xml:space="preserve">
estimated
polycarbonate 1.2 g/cm^3
has stainless steel balls inside</t>
        </r>
      </text>
    </comment>
    <comment ref="D354" authorId="0" shapeId="0">
      <text>
        <r>
          <rPr>
            <b/>
            <sz val="8"/>
            <color indexed="81"/>
            <rFont val="Tahoma"/>
            <charset val="1"/>
          </rPr>
          <t>Jian-Feng Shi:</t>
        </r>
        <r>
          <rPr>
            <sz val="8"/>
            <color indexed="81"/>
            <rFont val="Tahoma"/>
            <charset val="1"/>
          </rPr>
          <t xml:space="preserve">
check this against maximum drive torque requirements</t>
        </r>
      </text>
    </comment>
    <comment ref="L360" authorId="0" shapeId="0">
      <text>
        <r>
          <rPr>
            <b/>
            <sz val="8"/>
            <color indexed="81"/>
            <rFont val="Tahoma"/>
            <charset val="1"/>
          </rPr>
          <t>Jian-Feng Shi:</t>
        </r>
        <r>
          <rPr>
            <sz val="8"/>
            <color indexed="81"/>
            <rFont val="Tahoma"/>
            <charset val="1"/>
          </rPr>
          <t xml:space="preserve">
using Nominal Config as baseline</t>
        </r>
      </text>
    </comment>
    <comment ref="H365" authorId="0" shapeId="0">
      <text>
        <r>
          <rPr>
            <b/>
            <sz val="8"/>
            <color indexed="81"/>
            <rFont val="Tahoma"/>
            <charset val="1"/>
          </rPr>
          <t>Jian-Feng Shi:</t>
        </r>
        <r>
          <rPr>
            <sz val="8"/>
            <color indexed="81"/>
            <rFont val="Tahoma"/>
            <charset val="1"/>
          </rPr>
          <t xml:space="preserve">
TBD</t>
        </r>
      </text>
    </comment>
    <comment ref="L377" authorId="0" shapeId="0">
      <text>
        <r>
          <rPr>
            <b/>
            <sz val="8"/>
            <color indexed="81"/>
            <rFont val="Tahoma"/>
            <charset val="1"/>
          </rPr>
          <t>Jian-Feng Shi:</t>
        </r>
        <r>
          <rPr>
            <sz val="8"/>
            <color indexed="81"/>
            <rFont val="Tahoma"/>
            <charset val="1"/>
          </rPr>
          <t xml:space="preserve">
assume 3 pitch motor working together to lift mass</t>
        </r>
      </text>
    </comment>
    <comment ref="D387" authorId="0" shapeId="0">
      <text>
        <r>
          <rPr>
            <b/>
            <sz val="8"/>
            <color indexed="81"/>
            <rFont val="Tahoma"/>
            <charset val="1"/>
          </rPr>
          <t>Jian-Feng Shi:</t>
        </r>
        <r>
          <rPr>
            <sz val="8"/>
            <color indexed="81"/>
            <rFont val="Tahoma"/>
            <charset val="1"/>
          </rPr>
          <t xml:space="preserve">
check this against maximum drive torque requirements</t>
        </r>
      </text>
    </comment>
    <comment ref="D420" authorId="0" shapeId="0">
      <text>
        <r>
          <rPr>
            <b/>
            <sz val="8"/>
            <color indexed="81"/>
            <rFont val="Tahoma"/>
            <charset val="1"/>
          </rPr>
          <t>Jian-Feng Shi:</t>
        </r>
        <r>
          <rPr>
            <sz val="8"/>
            <color indexed="81"/>
            <rFont val="Tahoma"/>
            <charset val="1"/>
          </rPr>
          <t xml:space="preserve">
check this against maximum drive torque requirements</t>
        </r>
      </text>
    </comment>
    <comment ref="L454" authorId="0" shapeId="0">
      <text>
        <r>
          <rPr>
            <b/>
            <sz val="8"/>
            <color indexed="81"/>
            <rFont val="Tahoma"/>
            <charset val="1"/>
          </rPr>
          <t>Jian-Feng Shi:</t>
        </r>
        <r>
          <rPr>
            <sz val="8"/>
            <color indexed="81"/>
            <rFont val="Tahoma"/>
            <charset val="1"/>
          </rPr>
          <t xml:space="preserve">
maximum of 
Stopping Distance
Lift Capacity
Unloaded Maneuvering
Payload Maneuvering</t>
        </r>
      </text>
    </comment>
  </commentList>
</comments>
</file>

<file path=xl/sharedStrings.xml><?xml version="1.0" encoding="utf-8"?>
<sst xmlns="http://schemas.openxmlformats.org/spreadsheetml/2006/main" count="2479" uniqueCount="734">
  <si>
    <t>POP SSS Sizing</t>
  </si>
  <si>
    <t>x length</t>
  </si>
  <si>
    <t>Actual</t>
  </si>
  <si>
    <t>Platform</t>
  </si>
  <si>
    <t>x length (cm)</t>
  </si>
  <si>
    <t>y length (cm)</t>
  </si>
  <si>
    <t>z length (cm)</t>
  </si>
  <si>
    <t>CS bus Dimension</t>
  </si>
  <si>
    <t>CS solar panel (single)</t>
  </si>
  <si>
    <t>CS solar panel (total)</t>
  </si>
  <si>
    <t>num panels</t>
  </si>
  <si>
    <t>z length</t>
  </si>
  <si>
    <t>ft2in</t>
  </si>
  <si>
    <t>in2cm</t>
  </si>
  <si>
    <t>(m)</t>
  </si>
  <si>
    <t>(cm)</t>
  </si>
  <si>
    <t>Mass Scale</t>
  </si>
  <si>
    <t>Mass</t>
  </si>
  <si>
    <t>x COM (cm)</t>
  </si>
  <si>
    <t>y COM (cm)</t>
  </si>
  <si>
    <t>z COM (cm)</t>
  </si>
  <si>
    <t>Time Scale</t>
  </si>
  <si>
    <t>Dimension Scale</t>
  </si>
  <si>
    <t>deg2rad</t>
  </si>
  <si>
    <t>rad2deg</t>
  </si>
  <si>
    <t>Time (s)</t>
  </si>
  <si>
    <t>BOL Mass (kg)</t>
  </si>
  <si>
    <t>MOL Mass (kg)</t>
  </si>
  <si>
    <t>EOL Mass (kg)</t>
  </si>
  <si>
    <t>BOL</t>
  </si>
  <si>
    <t>EOL</t>
  </si>
  <si>
    <t>MOL</t>
  </si>
  <si>
    <t>MOI</t>
  </si>
  <si>
    <t>Moment of Inertia</t>
  </si>
  <si>
    <t>End of Life</t>
  </si>
  <si>
    <t>Beginning of Life</t>
  </si>
  <si>
    <t>Middle of Life</t>
  </si>
  <si>
    <t>CS bus mass</t>
  </si>
  <si>
    <t>Time Rel Qnty</t>
  </si>
  <si>
    <t>Mission Duration</t>
  </si>
  <si>
    <t>min</t>
  </si>
  <si>
    <t>sec</t>
  </si>
  <si>
    <t>hr</t>
  </si>
  <si>
    <t>Phase 2 (min)</t>
  </si>
  <si>
    <t>Phase 1 (min)</t>
  </si>
  <si>
    <t>Phase 3 (min)</t>
  </si>
  <si>
    <t>Phase 4 (min)</t>
  </si>
  <si>
    <t>Phase 5 (min)</t>
  </si>
  <si>
    <t>Margin</t>
  </si>
  <si>
    <t>POP</t>
  </si>
  <si>
    <t>SSS</t>
  </si>
  <si>
    <t>SS</t>
  </si>
  <si>
    <t>CS</t>
  </si>
  <si>
    <t>SD</t>
  </si>
  <si>
    <t>Proximity Operation Platform</t>
  </si>
  <si>
    <t>Space Simulation Segment</t>
  </si>
  <si>
    <t>Servicer Spacecraft</t>
  </si>
  <si>
    <t>Client Satellite</t>
  </si>
  <si>
    <t>Scout Drone</t>
  </si>
  <si>
    <t>AFA</t>
  </si>
  <si>
    <t>Air Flotation Assembly</t>
  </si>
  <si>
    <t>Table Space</t>
  </si>
  <si>
    <t>Expressed in RCSCS</t>
  </si>
  <si>
    <t>Expressed in RCSBS</t>
  </si>
  <si>
    <t>AFA Sizing</t>
  </si>
  <si>
    <t>Max Platform</t>
  </si>
  <si>
    <t>num bearing</t>
  </si>
  <si>
    <t>g (m/s^2)</t>
  </si>
  <si>
    <t>(kg)</t>
  </si>
  <si>
    <t>load per bearing</t>
  </si>
  <si>
    <t>(N)</t>
  </si>
  <si>
    <t>Platform Load</t>
  </si>
  <si>
    <t>Air Bearing</t>
  </si>
  <si>
    <t>Bus Sizing</t>
  </si>
  <si>
    <t>Impulse Bit</t>
  </si>
  <si>
    <t>Ref.Nelson FP-C-015</t>
  </si>
  <si>
    <t>Air Consumption</t>
  </si>
  <si>
    <t>Load Capacity</t>
  </si>
  <si>
    <t>SCFH</t>
  </si>
  <si>
    <t>Standard Cubic Feet per Hour</t>
  </si>
  <si>
    <t>Mission time</t>
  </si>
  <si>
    <t>(hr)</t>
  </si>
  <si>
    <t>(scfh)</t>
  </si>
  <si>
    <t>(ft^3)</t>
  </si>
  <si>
    <t>Air volume total</t>
  </si>
  <si>
    <t>Volume</t>
  </si>
  <si>
    <t>Pressure</t>
  </si>
  <si>
    <t>(psi)</t>
  </si>
  <si>
    <t>(http://www.paintballgear.ca/product/Ninja_Pro_V2_3000PSI_13CU_System.html)</t>
  </si>
  <si>
    <t>Ref.Ninja Pro V2 3000psi 13CU</t>
  </si>
  <si>
    <t>Ref.Ninja Pro V2 4500psi 68CU</t>
  </si>
  <si>
    <t>Diameter</t>
  </si>
  <si>
    <t>Length</t>
  </si>
  <si>
    <t>Width</t>
  </si>
  <si>
    <t>(http://www.amazon.ca/Empire-Basic-3000PSI-NITRO-Paintball/dp/B0068I2E3E/ref=sr_1_2?s=sports&amp;ie=UTF8&amp;qid=1425706222&amp;sr=1-2)</t>
  </si>
  <si>
    <t>Ref.Empire PE Basic 48ci 3000PSI HPA NITRO N2 Paintball Tank</t>
  </si>
  <si>
    <t>Ref.Guerrilla Air 62ci 3000 PSI MYTH Paintball Tank 4 Port - Dust Black</t>
  </si>
  <si>
    <t>(http://www.amazon.ca/Guerrilla-Air-62ci-3000-Paintball/dp/B002U562NC/ref=sr_1_5?s=sports&amp;ie=UTF8&amp;qid=1425706474&amp;sr=1-5)</t>
  </si>
  <si>
    <t>Ref.Ninja Paintball Grey Ghost 68ci 4500 Carbon Fiber Tank</t>
  </si>
  <si>
    <t>(http://www.amazon.ca/Ninja-Paintball-Ghost-Carbon-Fiber/dp/B00AD7MVS4/ref=sr_1_11?s=sports&amp;ie=UTF8&amp;qid=1425706474&amp;sr=1-11)</t>
  </si>
  <si>
    <t>(http://www.amazon.ca/Ninja-Aluminum-N2-Paintball-Tank/dp/B008I72TJC/ref=sr_1_fkmr0_2?s=sports&amp;ie=UTF8&amp;qid=1425707326&amp;sr=1-2-fkmr0&amp;keywords=Ninja+Paintball+35+cu+3000+psi)</t>
  </si>
  <si>
    <t>Ref.Ninja Aluminum N2 Paintball Tank - 35ci 3000psi</t>
  </si>
  <si>
    <t>(http://www.beveragefactory.com/draftbeer/tanks/nitrogen/nitrogen_aluminum_air_tank_22.shtml)</t>
  </si>
  <si>
    <t>Mission Time Margin</t>
  </si>
  <si>
    <t>Ref.22 Cu. Ft. Nitrogen Air Tank - High Pressure Aluminum Gas Cylinder</t>
  </si>
  <si>
    <t>kg2lb</t>
  </si>
  <si>
    <t>(in)</t>
  </si>
  <si>
    <t>Area</t>
  </si>
  <si>
    <t>(in^2)</t>
  </si>
  <si>
    <t>(lbf)</t>
  </si>
  <si>
    <t>lbf2N</t>
  </si>
  <si>
    <t>Max incl margin</t>
  </si>
  <si>
    <t>(in^3)</t>
  </si>
  <si>
    <t>k</t>
  </si>
  <si>
    <t>in-lb</t>
  </si>
  <si>
    <t>Volume Air Flow</t>
  </si>
  <si>
    <t>Num Tanks</t>
  </si>
  <si>
    <t>Total Air Flow</t>
  </si>
  <si>
    <t>Platform Mass Margin</t>
  </si>
  <si>
    <t>(http://www.ansgear.com/Ninja_Carbon_Fiber_Air_Tank_w_Ultralite_Regulator_p/ninjatank-50ul.htm)</t>
  </si>
  <si>
    <t>Ref.NINJA CARBON FIBER AIR TANK W/ ULTRALITE REGULATOR - 50/4500</t>
  </si>
  <si>
    <t>(http://www.ansgear.com/Ninja_SL_Carbon_Fiber_Air_Tank_68_4500_p/ninjatanksl-68ul.htm)</t>
  </si>
  <si>
    <t>Ref.NINJA SL CARBON FIBER AIR TANK W/ ULTRALITE REGULATOR - 68/4500 - BLACK</t>
  </si>
  <si>
    <t>Ref.Ninja-35</t>
  </si>
  <si>
    <t>Ref.Ninja-48</t>
  </si>
  <si>
    <t>Ref.Ninja-62</t>
  </si>
  <si>
    <t>Ref.Empire Paintball 48ci 4500 PSI N2 Carbon Fiber Tank</t>
  </si>
  <si>
    <t>(http://www.amazon.ca/Empire-Paintball-48ci-Carbon-Fiber/dp/B0049XGN1E/ref=sr_1_10?s=sports&amp;ie=UTF8&amp;qid=1425716773&amp;sr=1-10&amp;keywords=Air+Tank)</t>
  </si>
  <si>
    <t>Ref.Pure Energy N2 Compressed Air Tank (68ci/4500psi)</t>
  </si>
  <si>
    <t>(http://www.amazon.ca/Pure-Energy-Compressed-Tank-4500psi/dp/B0008G2W9I/ref=sr_1_18?s=sports&amp;ie=UTF8&amp;qid=1425717024&amp;sr=1-18&amp;keywords=Air+Tank)</t>
  </si>
  <si>
    <t>Ref.Guerrilla Air 88ci 4500PSI M45 TRI Paintball Tank - Black</t>
  </si>
  <si>
    <t>(http://www.amazon.ca/Guerrilla-Air-88ci-4500PSI-Paintball/dp/B00B1LOS3C/ref=sr_1_24?s=sports&amp;ie=UTF8&amp;qid=1425717024&amp;sr=1-24&amp;keywords=Air+Tank)</t>
  </si>
  <si>
    <t>Air volume per puck</t>
  </si>
  <si>
    <t>Max mass incl. margin</t>
  </si>
  <si>
    <t>(lb)</t>
  </si>
  <si>
    <t>Stiffness</t>
  </si>
  <si>
    <t>(lbs/in)</t>
  </si>
  <si>
    <t>(N/mm)</t>
  </si>
  <si>
    <t>Lift</t>
  </si>
  <si>
    <t>(micro-in)</t>
  </si>
  <si>
    <t>(micron)</t>
  </si>
  <si>
    <t>precision</t>
  </si>
  <si>
    <t>(micro in)</t>
  </si>
  <si>
    <t>Ref.New Way S104001</t>
  </si>
  <si>
    <t>Efficiency</t>
  </si>
  <si>
    <t>Ideal Pressure</t>
  </si>
  <si>
    <t>Ideal Weight</t>
  </si>
  <si>
    <t>Ref.New Way S108001</t>
  </si>
  <si>
    <t>Ref.New Way S105001</t>
  </si>
  <si>
    <t>Ref.New Way S106501</t>
  </si>
  <si>
    <t>Lift Load per bearing</t>
  </si>
  <si>
    <t>Min Supply Pressure</t>
  </si>
  <si>
    <t>Mass Budget</t>
  </si>
  <si>
    <t>Min Velocity (m/s)</t>
  </si>
  <si>
    <t>Min Accel (m/s^2)</t>
  </si>
  <si>
    <t>Max Ang Vel (deg/s)</t>
  </si>
  <si>
    <t>Max Ang Accl (deg/s^2)</t>
  </si>
  <si>
    <t>Max Velocity (m/s)</t>
  </si>
  <si>
    <t>Max Accel (m/s^2)</t>
  </si>
  <si>
    <t>Min Ang Vel (deg/s)</t>
  </si>
  <si>
    <t>Min Ang Accl (deg/s^2)</t>
  </si>
  <si>
    <t>Wheel Sizing</t>
  </si>
  <si>
    <t>Wheel Diameter</t>
  </si>
  <si>
    <t>Wheel Height</t>
  </si>
  <si>
    <t>Wheel Material</t>
  </si>
  <si>
    <t>Wheel Density</t>
  </si>
  <si>
    <t>Wheel Area</t>
  </si>
  <si>
    <t>Wheel Volume</t>
  </si>
  <si>
    <t>(g/cm^3)</t>
  </si>
  <si>
    <t>Height</t>
  </si>
  <si>
    <t>(cm^2)</t>
  </si>
  <si>
    <t>(cm^3)</t>
  </si>
  <si>
    <t>Wheel Mass</t>
  </si>
  <si>
    <t>% Volume</t>
  </si>
  <si>
    <t>(kgm^2)</t>
  </si>
  <si>
    <t>Spin Rate</t>
  </si>
  <si>
    <t>(rpm)</t>
  </si>
  <si>
    <t>(rad/s)</t>
  </si>
  <si>
    <t>rpm2rps</t>
  </si>
  <si>
    <t>(Nms)</t>
  </si>
  <si>
    <t>Angular Mom</t>
  </si>
  <si>
    <t>Ang Impulse Bit (Nms)</t>
  </si>
  <si>
    <t>Impulse Bit (Ns)</t>
  </si>
  <si>
    <t>Num Thruster</t>
  </si>
  <si>
    <t>Force per Thruster (N)</t>
  </si>
  <si>
    <t>Thruster Sizing</t>
  </si>
  <si>
    <t>(mm)</t>
  </si>
  <si>
    <t>Inlet Pressure</t>
  </si>
  <si>
    <t>Exit Area</t>
  </si>
  <si>
    <t>Num Thruster in Dir</t>
  </si>
  <si>
    <t>Total Thrust in Dir</t>
  </si>
  <si>
    <t>Thrust Duration</t>
  </si>
  <si>
    <t>(sec)</t>
  </si>
  <si>
    <t>(Ns)</t>
  </si>
  <si>
    <t>Impulse Requirement</t>
  </si>
  <si>
    <t>Maximum Impulse Bit</t>
  </si>
  <si>
    <t>Force per Thruster (lbf)</t>
  </si>
  <si>
    <t>Pulse Time (s)</t>
  </si>
  <si>
    <t>Minimum Impulse Bit</t>
  </si>
  <si>
    <t>After Efficiency Force (N)</t>
  </si>
  <si>
    <t>After Efficiency Force (lbf)</t>
  </si>
  <si>
    <t>Reaction Timing (s)</t>
  </si>
  <si>
    <t>mu (km^3/s^2)</t>
  </si>
  <si>
    <t>Re (km)</t>
  </si>
  <si>
    <t>R_geo (km)</t>
  </si>
  <si>
    <t>w_geo (rad/s)</t>
  </si>
  <si>
    <t>Example LEO Orbit</t>
  </si>
  <si>
    <t>Altitude</t>
  </si>
  <si>
    <t>(km)</t>
  </si>
  <si>
    <t>Orbit Radius</t>
  </si>
  <si>
    <t>Orbit Period</t>
  </si>
  <si>
    <t>(min)</t>
  </si>
  <si>
    <t>Orbit Freq</t>
  </si>
  <si>
    <t>Minimum</t>
  </si>
  <si>
    <t>Maximum</t>
  </si>
  <si>
    <t>Delta-V (mm/s)</t>
  </si>
  <si>
    <t>Min Ang Vel (rad/s)</t>
  </si>
  <si>
    <t>Min Ang Accl (rad/s^2)</t>
  </si>
  <si>
    <t>Max Ang Vel (rad/s)</t>
  </si>
  <si>
    <t>Max Ang Accl (rad/s^2)</t>
  </si>
  <si>
    <t>Req Veh Pitch Torque (Nm)</t>
  </si>
  <si>
    <t>Stack CG-CG Distance (cm)</t>
  </si>
  <si>
    <t>SS yy-MOI Percent Increase</t>
  </si>
  <si>
    <t>Stack Dynamics</t>
  </si>
  <si>
    <t>Stack angular rate (rad/s)</t>
  </si>
  <si>
    <t>Stack angular rate (rpm)</t>
  </si>
  <si>
    <t>Stach rotation period (min)</t>
  </si>
  <si>
    <t>Stack angular rate (deg/s)</t>
  </si>
  <si>
    <t>CS Initial Ang Vel (rad/s)</t>
  </si>
  <si>
    <t>SS Initial Ang Vel (rad/s)</t>
  </si>
  <si>
    <t>CS Initial Ang Vel (deg/s)</t>
  </si>
  <si>
    <t>CS Initial Rot Period (min)</t>
  </si>
  <si>
    <t>Total Ang Mom (kg-m^2/s)</t>
  </si>
  <si>
    <t>CS Ang Mom (kg-m^2/s)</t>
  </si>
  <si>
    <t>SS Ang Mom (kg-m^2/s)</t>
  </si>
  <si>
    <t>% increase Dlt-H FFC (kg-m^2/s)</t>
  </si>
  <si>
    <t>Total Ang Post FFC (Nms)</t>
  </si>
  <si>
    <t>Post FFC Ang Vel (rad/s)</t>
  </si>
  <si>
    <t>Post FFC Ang Vel (deg/s)</t>
  </si>
  <si>
    <t>Post FFC Rot Period (min)</t>
  </si>
  <si>
    <t>CS yy-MOI Percent Increase</t>
  </si>
  <si>
    <t>(deg/s)</t>
  </si>
  <si>
    <t>BB</t>
  </si>
  <si>
    <t>Bread Board</t>
  </si>
  <si>
    <t>MW Motor Sizing</t>
  </si>
  <si>
    <t>Shaft Diameter</t>
  </si>
  <si>
    <t>(inch)</t>
  </si>
  <si>
    <t>(mNm)</t>
  </si>
  <si>
    <t>Deck Height</t>
  </si>
  <si>
    <t>Tank Base Height</t>
  </si>
  <si>
    <t>Tank Height</t>
  </si>
  <si>
    <t>Height Available</t>
  </si>
  <si>
    <t>% Free Space</t>
  </si>
  <si>
    <t>Motor Height</t>
  </si>
  <si>
    <t>Free Space</t>
  </si>
  <si>
    <t>(W)</t>
  </si>
  <si>
    <t>Voltage</t>
  </si>
  <si>
    <t>(V)</t>
  </si>
  <si>
    <t>Serial</t>
  </si>
  <si>
    <t>Kinetic Energy</t>
  </si>
  <si>
    <t>(J)</t>
  </si>
  <si>
    <t>Req Veh Pitch Torque (mNm)</t>
  </si>
  <si>
    <t>Deck Space Sizing</t>
  </si>
  <si>
    <t>Output Torque</t>
  </si>
  <si>
    <t>Output Ang Rate</t>
  </si>
  <si>
    <t>(rev/s)</t>
  </si>
  <si>
    <t>Input Torque</t>
  </si>
  <si>
    <t>Output With Margin</t>
  </si>
  <si>
    <t>Input Motor Rate</t>
  </si>
  <si>
    <t>Max Motor Torque</t>
  </si>
  <si>
    <t>Maxon-EC32flat-32mm,brushless,6W,with Hall</t>
  </si>
  <si>
    <t>Idle speed</t>
  </si>
  <si>
    <t>Gear Ratio</t>
  </si>
  <si>
    <t>Gear Box Ratio Calculation</t>
  </si>
  <si>
    <t>Kt</t>
  </si>
  <si>
    <t>(mNm/A)</t>
  </si>
  <si>
    <t>(A)</t>
  </si>
  <si>
    <t>(gcm^2)</t>
  </si>
  <si>
    <t>Stainless Steel</t>
  </si>
  <si>
    <t>(Nm)</t>
  </si>
  <si>
    <t>Vehicle angular acc (rad/s^2)</t>
  </si>
  <si>
    <t>Vehicle angular acc (deg/s^2)</t>
  </si>
  <si>
    <t>Vehicle velocity (rad/s)</t>
  </si>
  <si>
    <t>Vehicle velocity (deg/s)</t>
  </si>
  <si>
    <t xml:space="preserve">CS yy MOI </t>
  </si>
  <si>
    <t>Platform MOI Requirement</t>
  </si>
  <si>
    <t xml:space="preserve">CS yy MOI Req </t>
  </si>
  <si>
    <t xml:space="preserve">SS yy MOI </t>
  </si>
  <si>
    <t>Req Ang Vel (rad/s)</t>
  </si>
  <si>
    <t>Req Error (rad/s)</t>
  </si>
  <si>
    <t>Required Min Torq on Platform</t>
  </si>
  <si>
    <t>Required Max Torq on Platform</t>
  </si>
  <si>
    <t>Required Max Ang Mom</t>
  </si>
  <si>
    <t>Max Ang Mom Store in Wheel</t>
  </si>
  <si>
    <t>Max Torq by Gearbox Output</t>
  </si>
  <si>
    <t>Max Input Torque</t>
  </si>
  <si>
    <t>Max Input Speed</t>
  </si>
  <si>
    <t>Max GB input speed</t>
  </si>
  <si>
    <t>Max Computed Motor rate</t>
  </si>
  <si>
    <t>Max Motor Torque Capable</t>
  </si>
  <si>
    <t>Max Stack Ang Mom</t>
  </si>
  <si>
    <t>Require Gear Ratio</t>
  </si>
  <si>
    <t>Selected Gear Ratio</t>
  </si>
  <si>
    <t>http://www.maxonmotor.com/medias/sys_master/root/8816808460318/15-295-296-EN.pdf</t>
  </si>
  <si>
    <t>Planetary Gearhead GP22C</t>
  </si>
  <si>
    <t>Gear Ratio req. base on Inertia</t>
  </si>
  <si>
    <t xml:space="preserve">Motor+GB Out Stall Torque </t>
  </si>
  <si>
    <t xml:space="preserve">Motor+GB Out Nominal Torque </t>
  </si>
  <si>
    <t>Running Speed</t>
  </si>
  <si>
    <t>Running Torque</t>
  </si>
  <si>
    <t>delta</t>
  </si>
  <si>
    <t>Allowed Spin Rate</t>
  </si>
  <si>
    <t>Gear Box</t>
  </si>
  <si>
    <t>Motor</t>
  </si>
  <si>
    <t>Shaft 1 Area</t>
  </si>
  <si>
    <t>Shaft 2 Area</t>
  </si>
  <si>
    <t>Shaft 1 Volume</t>
  </si>
  <si>
    <t>Shaft 2 Voume</t>
  </si>
  <si>
    <t>Total Wheel Volume</t>
  </si>
  <si>
    <t>Motor Efficiency</t>
  </si>
  <si>
    <t>Max Power</t>
  </si>
  <si>
    <t>Shaft 1 Tolerance</t>
  </si>
  <si>
    <t>Shaft 1 Diameter</t>
  </si>
  <si>
    <t>Shaft 1 Length</t>
  </si>
  <si>
    <t>Shaft 2 Length</t>
  </si>
  <si>
    <t>Shaft 2 Diameter ratio</t>
  </si>
  <si>
    <t>Shaft 2 Diameter</t>
  </si>
  <si>
    <t>GB Efficiency</t>
  </si>
  <si>
    <t>Output Speed</t>
  </si>
  <si>
    <t>Check Max Torque Margin</t>
  </si>
  <si>
    <t>Check Running Torque Margin</t>
  </si>
  <si>
    <t>Max Current</t>
  </si>
  <si>
    <t>Time Constant</t>
  </si>
  <si>
    <t>(s)</t>
  </si>
  <si>
    <t>(ms)</t>
  </si>
  <si>
    <t>Est. GB Efficiency</t>
  </si>
  <si>
    <t>GB Ratio</t>
  </si>
  <si>
    <t>Final Motor GB Combination</t>
  </si>
  <si>
    <t>Mechanical Time Constant</t>
  </si>
  <si>
    <t>Motor+GB Inertia</t>
  </si>
  <si>
    <t>Load Inertia</t>
  </si>
  <si>
    <t>Check GB Ratio</t>
  </si>
  <si>
    <t>Load Inertia/Rotor Inertia Ratio</t>
  </si>
  <si>
    <t>Absolute Reduction</t>
  </si>
  <si>
    <t>Max Axial Load</t>
  </si>
  <si>
    <t>Max Force for Press Fits</t>
  </si>
  <si>
    <t>Number of Stages</t>
  </si>
  <si>
    <t>Motor+GB Combined Length</t>
  </si>
  <si>
    <t>Avg Backlash No Load</t>
  </si>
  <si>
    <t>(deg)</t>
  </si>
  <si>
    <t>Max Intermittent Torq at Gear Output</t>
  </si>
  <si>
    <t>Max Continuous Torque</t>
  </si>
  <si>
    <t>Output from Motor Stall Torque</t>
  </si>
  <si>
    <t>RWA Design Check</t>
  </si>
  <si>
    <t>Manipulator Design</t>
  </si>
  <si>
    <t>Link Selection</t>
  </si>
  <si>
    <t>Manipulator Sizing</t>
  </si>
  <si>
    <t>Post stack</t>
  </si>
  <si>
    <t>Initial Condition</t>
  </si>
  <si>
    <t>Timings</t>
  </si>
  <si>
    <t>mission phase</t>
  </si>
  <si>
    <t>Thruster Pulses</t>
  </si>
  <si>
    <t>Min Linear</t>
  </si>
  <si>
    <t>Min Angular</t>
  </si>
  <si>
    <t>Max Linear</t>
  </si>
  <si>
    <t>Max Angular</t>
  </si>
  <si>
    <t>Moment Arm</t>
  </si>
  <si>
    <t>Solar Panel</t>
  </si>
  <si>
    <t>Work Volume</t>
  </si>
  <si>
    <t>Lift Capacity</t>
  </si>
  <si>
    <t>Unit</t>
  </si>
  <si>
    <t>CS x length</t>
  </si>
  <si>
    <t>CS z length</t>
  </si>
  <si>
    <t>SS x length</t>
  </si>
  <si>
    <t>SS z length</t>
  </si>
  <si>
    <t>SRCL-SSFP-150520-Rev-</t>
  </si>
  <si>
    <t>Backdrive</t>
  </si>
  <si>
    <t>Accuracy</t>
  </si>
  <si>
    <t>Speed</t>
  </si>
  <si>
    <t>Power</t>
  </si>
  <si>
    <t>Dimension</t>
  </si>
  <si>
    <t>Joints</t>
  </si>
  <si>
    <t>Number of joints</t>
  </si>
  <si>
    <t>Maximum Power</t>
  </si>
  <si>
    <t>Joint types</t>
  </si>
  <si>
    <t>Number of links</t>
  </si>
  <si>
    <t>Link</t>
  </si>
  <si>
    <t>Link types</t>
  </si>
  <si>
    <t>SP</t>
  </si>
  <si>
    <t>EP</t>
  </si>
  <si>
    <t>WP</t>
  </si>
  <si>
    <t>Wrist Pitch</t>
  </si>
  <si>
    <t>Elbow Pitch</t>
  </si>
  <si>
    <t>Shoulder Pitch</t>
  </si>
  <si>
    <t>Power Ref</t>
  </si>
  <si>
    <t>SRCL-SSFP-150601-01-SK-Mission_Phase_Power_Budget-R1.xls</t>
  </si>
  <si>
    <t>Joint</t>
  </si>
  <si>
    <t>SB</t>
  </si>
  <si>
    <t>WB</t>
  </si>
  <si>
    <t>SB,WB</t>
  </si>
  <si>
    <t>Shoulder Boom</t>
  </si>
  <si>
    <t>Wrist Boom</t>
  </si>
  <si>
    <t>Ball Bearing</t>
  </si>
  <si>
    <t>Inner Diameter</t>
  </si>
  <si>
    <t>Outer Diameter</t>
  </si>
  <si>
    <t>Boom</t>
  </si>
  <si>
    <t>Purchase Length</t>
  </si>
  <si>
    <t>Stopping Distance</t>
  </si>
  <si>
    <t>Payload Mass</t>
  </si>
  <si>
    <t>Payload Dimension</t>
  </si>
  <si>
    <t>S/C to S/C distance</t>
  </si>
  <si>
    <t>(rad)</t>
  </si>
  <si>
    <t>Reach distance "c"</t>
  </si>
  <si>
    <t>Distance to CS GF</t>
  </si>
  <si>
    <t>Distance to SS Base</t>
  </si>
  <si>
    <t>SMS Base position (mult of z)</t>
  </si>
  <si>
    <t>CS GF position (mult of z)</t>
  </si>
  <si>
    <t>SB Length</t>
  </si>
  <si>
    <t>WB Length</t>
  </si>
  <si>
    <t>Shoulder Angle</t>
  </si>
  <si>
    <t>Density</t>
  </si>
  <si>
    <t>Material</t>
  </si>
  <si>
    <t>carbon fiber</t>
  </si>
  <si>
    <t>Type</t>
  </si>
  <si>
    <t>Tube</t>
  </si>
  <si>
    <t>(Msi)</t>
  </si>
  <si>
    <t>(ksi)</t>
  </si>
  <si>
    <t>Bending Tensile Strength</t>
  </si>
  <si>
    <t>Bending Modulus</t>
  </si>
  <si>
    <t>Bending Shear Modulus</t>
  </si>
  <si>
    <t>Torsion Tensile Strength</t>
  </si>
  <si>
    <t>Torsion Modulus</t>
  </si>
  <si>
    <t>Torsion Shear Modulus</t>
  </si>
  <si>
    <t>psi2Pa</t>
  </si>
  <si>
    <t>(MPa)</t>
  </si>
  <si>
    <t>(GPa)</t>
  </si>
  <si>
    <t>gcc2kgcm</t>
  </si>
  <si>
    <t>(m^2)</t>
  </si>
  <si>
    <t>Inner Area</t>
  </si>
  <si>
    <t>Outer Area</t>
  </si>
  <si>
    <t>Total Area</t>
  </si>
  <si>
    <t>(m^3)</t>
  </si>
  <si>
    <t>(kg/m^3)</t>
  </si>
  <si>
    <t>(g)</t>
  </si>
  <si>
    <t>Mass Two Boom</t>
  </si>
  <si>
    <t>(m^4)</t>
  </si>
  <si>
    <t>CS Mass</t>
  </si>
  <si>
    <t>Mass Margin</t>
  </si>
  <si>
    <t>SMS</t>
  </si>
  <si>
    <t>SS Manipulator System</t>
  </si>
  <si>
    <t>Fully Stretched Length</t>
  </si>
  <si>
    <t>Bus Voltage</t>
  </si>
  <si>
    <t>SP Running Current</t>
  </si>
  <si>
    <t>EP Running Current</t>
  </si>
  <si>
    <t>WP Running Current</t>
  </si>
  <si>
    <t>Payload mass</t>
  </si>
  <si>
    <t>Lift Mass</t>
  </si>
  <si>
    <t>Lift Weight</t>
  </si>
  <si>
    <t>(cm/s)</t>
  </si>
  <si>
    <t>Decceleration</t>
  </si>
  <si>
    <t>(m/s^2)</t>
  </si>
  <si>
    <t>Stopping Time</t>
  </si>
  <si>
    <t>Margin on Speed</t>
  </si>
  <si>
    <t>Stopping Distance baseon ST</t>
  </si>
  <si>
    <t>Stopping Time (ST)</t>
  </si>
  <si>
    <t>ST</t>
  </si>
  <si>
    <t>(cm/s^2)</t>
  </si>
  <si>
    <t>Payload Inertia</t>
  </si>
  <si>
    <t>Moment Arm (max)</t>
  </si>
  <si>
    <t>Inertia Torque</t>
  </si>
  <si>
    <t>Friction Torque Margin</t>
  </si>
  <si>
    <t>(%)</t>
  </si>
  <si>
    <t>Friction Torque</t>
  </si>
  <si>
    <t>Total Applied Torque for stopping</t>
  </si>
  <si>
    <t>Max CS speed</t>
  </si>
  <si>
    <t>Max CS Speed after Margin</t>
  </si>
  <si>
    <t>Max Payload Maneuver Speed</t>
  </si>
  <si>
    <t>Max Unloaded Maneuver Speed</t>
  </si>
  <si>
    <t>Joint Encoder</t>
  </si>
  <si>
    <t>Motor Controller</t>
  </si>
  <si>
    <t>http://www.maxonmotorusa.com/maxon/view/product/control/1-Q-EC-Verstaerker/367661</t>
  </si>
  <si>
    <t>(cpt)</t>
  </si>
  <si>
    <t>Pulse per Rev</t>
  </si>
  <si>
    <t>Angle per Count</t>
  </si>
  <si>
    <t>Tip position</t>
  </si>
  <si>
    <t>Arm Length</t>
  </si>
  <si>
    <t>Tip Accuracy Requirement</t>
  </si>
  <si>
    <t>Encoder Capability</t>
  </si>
  <si>
    <t>http://www.trelectronic.com/brochures/RotaryEncoders_Overview.pdf</t>
  </si>
  <si>
    <t>Rotary Encoder</t>
  </si>
  <si>
    <t>CMV22M</t>
  </si>
  <si>
    <t>11-27</t>
  </si>
  <si>
    <t>Max Speed</t>
  </si>
  <si>
    <t>http://www.maxonmotorusa.com/medias/sys_master/root/8817172480030/15-261-EN-Juli.pdf</t>
  </si>
  <si>
    <t>Shaft Length</t>
  </si>
  <si>
    <t>EC 45 flat 30W</t>
  </si>
  <si>
    <t>http://www.maxonmotorusa.com/medias/sys_master/root/8816809312286/15-314-315-316-EN.pdf</t>
  </si>
  <si>
    <t>Planetary Gearhead GP 42 C (ceramic)</t>
  </si>
  <si>
    <t>Max Joint Rotation Speed</t>
  </si>
  <si>
    <t>Nominal Elbow angle</t>
  </si>
  <si>
    <t>Folded Elbow Angle</t>
  </si>
  <si>
    <t>Wrist Angle</t>
  </si>
  <si>
    <t>Folded Config</t>
  </si>
  <si>
    <t>Stretched Config</t>
  </si>
  <si>
    <t>Min To Tip Distance</t>
  </si>
  <si>
    <t>Max Tip Speed</t>
  </si>
  <si>
    <t>Total Lift Mass</t>
  </si>
  <si>
    <t>Payload</t>
  </si>
  <si>
    <t>EE</t>
  </si>
  <si>
    <t>WP Joint</t>
  </si>
  <si>
    <t>EP Joint</t>
  </si>
  <si>
    <t>SP Joint</t>
  </si>
  <si>
    <t>Total Inertia</t>
  </si>
  <si>
    <t>http://www.maxonmotorusa.com/medias/sys_master/root/8816815112222/15-383-384-385-387-EN.pdf</t>
  </si>
  <si>
    <t>Maxon</t>
  </si>
  <si>
    <t>Reference</t>
  </si>
  <si>
    <t>TR-elec</t>
  </si>
  <si>
    <t>Inputs</t>
  </si>
  <si>
    <t>Digital</t>
  </si>
  <si>
    <t>Analog</t>
  </si>
  <si>
    <t>Outputs</t>
  </si>
  <si>
    <t>Current Sample</t>
  </si>
  <si>
    <t>(kHz)</t>
  </si>
  <si>
    <t>Speed Sample</t>
  </si>
  <si>
    <t>Position Sample</t>
  </si>
  <si>
    <t>Output Current</t>
  </si>
  <si>
    <t>Running Power</t>
  </si>
  <si>
    <t>(micro-H)</t>
  </si>
  <si>
    <t>Built-in Choke per Phase at 5A</t>
  </si>
  <si>
    <t>Analog Input Resolution</t>
  </si>
  <si>
    <t>DEC Module 24/2, digital 1-Q-EC Amplifier 24V/2A, speed control, OEM module</t>
  </si>
  <si>
    <t>EPOS2 24/5, Digital positioning controller, 5A,11-24VDC</t>
  </si>
  <si>
    <t>Max Output Current</t>
  </si>
  <si>
    <t>Built-in Choke per Phase at 2A</t>
  </si>
  <si>
    <t>http://www.essentracomponents.ca/sku/NNB-07</t>
  </si>
  <si>
    <t>NNB-07</t>
  </si>
  <si>
    <t>Non-metal Ball Bearing 19.1kg</t>
  </si>
  <si>
    <t>Plastic</t>
  </si>
  <si>
    <t>KMS Bearing Inc.</t>
  </si>
  <si>
    <t>Static Load Capacity</t>
  </si>
  <si>
    <t>Dynamic Load Capacity</t>
  </si>
  <si>
    <t>Max No Load RPM</t>
  </si>
  <si>
    <t>Total Mass</t>
  </si>
  <si>
    <t>SR</t>
  </si>
  <si>
    <t>SY</t>
  </si>
  <si>
    <t>Motor Encoder</t>
  </si>
  <si>
    <t>Gearbox</t>
  </si>
  <si>
    <t>Joint Sensor</t>
  </si>
  <si>
    <t>Bearing</t>
  </si>
  <si>
    <t>Housing</t>
  </si>
  <si>
    <t>Screws</t>
  </si>
  <si>
    <t>Harness</t>
  </si>
  <si>
    <t>WY</t>
  </si>
  <si>
    <t>WR</t>
  </si>
  <si>
    <t>Fasteners</t>
  </si>
  <si>
    <t xml:space="preserve">Mass </t>
  </si>
  <si>
    <t>Total Volume</t>
  </si>
  <si>
    <t>SR Joint</t>
  </si>
  <si>
    <t>SY Joint</t>
  </si>
  <si>
    <t>WY Joint</t>
  </si>
  <si>
    <t>WR Joint</t>
  </si>
  <si>
    <t>Total Stiffness</t>
  </si>
  <si>
    <t>(N/m)</t>
  </si>
  <si>
    <t>Friction</t>
  </si>
  <si>
    <t>Gearbox Efficiency</t>
  </si>
  <si>
    <t>Motor Static Friction</t>
  </si>
  <si>
    <t>Motor Dynamic Friction</t>
  </si>
  <si>
    <t>Bearing Friction</t>
  </si>
  <si>
    <t>Encoder Friction</t>
  </si>
  <si>
    <t>(mm^4)</t>
  </si>
  <si>
    <t>Area MOI</t>
  </si>
  <si>
    <t>Mass MOI</t>
  </si>
  <si>
    <t>gcs2kgms</t>
  </si>
  <si>
    <t>SR Running Current</t>
  </si>
  <si>
    <t>SY Running Current</t>
  </si>
  <si>
    <t>WY Running Current</t>
  </si>
  <si>
    <t>WR Running Current</t>
  </si>
  <si>
    <t>xx MOI (kgm^2)</t>
  </si>
  <si>
    <t>yy MOI (kgm^2)</t>
  </si>
  <si>
    <t>zz MOI (kgm^2)</t>
  </si>
  <si>
    <t>xy MOI (kgm^2)</t>
  </si>
  <si>
    <t>xz MOI (kgm^2)</t>
  </si>
  <si>
    <t>yz MOI (kgm^2)</t>
  </si>
  <si>
    <t>CS yy-MOI (kgm^2)</t>
  </si>
  <si>
    <t>SS yy-MOI (kgm^2)</t>
  </si>
  <si>
    <t>MOI addition from CS (kgm^2)</t>
  </si>
  <si>
    <t>Stack yy-MOI (kgm^2)</t>
  </si>
  <si>
    <t>WR Joint max dist to Base</t>
  </si>
  <si>
    <t>WY Joint max dist to Base</t>
  </si>
  <si>
    <t>WP Joint max dist to Base</t>
  </si>
  <si>
    <t>EP Joint max dist to Base</t>
  </si>
  <si>
    <t>SP Joint max dist to Base</t>
  </si>
  <si>
    <t>SY Joint max dist to Base</t>
  </si>
  <si>
    <t>SR Joint max dist to Base</t>
  </si>
  <si>
    <t>GB Ratio Based on MOI</t>
  </si>
  <si>
    <t>GB Ratio Based on Speed</t>
  </si>
  <si>
    <t>Selected GB Ratio</t>
  </si>
  <si>
    <t>GB Ratio based on Speed</t>
  </si>
  <si>
    <t>Torque Margin</t>
  </si>
  <si>
    <t>Joint Inertia</t>
  </si>
  <si>
    <t>Margin to Speed Requirement</t>
  </si>
  <si>
    <t>Gear Box (not selected, use for reference)</t>
  </si>
  <si>
    <t>Margin on Lift Mass</t>
  </si>
  <si>
    <t>Margin on Lift Load (static)</t>
  </si>
  <si>
    <t>Margin on Lift Load (dynamic)</t>
  </si>
  <si>
    <t>Backdrive torque</t>
  </si>
  <si>
    <t>Lift Payload</t>
  </si>
  <si>
    <t>Final Lift Mass with Margin</t>
  </si>
  <si>
    <t>Lift Torque with Margin</t>
  </si>
  <si>
    <t>Margin on Lift Torque</t>
  </si>
  <si>
    <t>Total Lift Torque</t>
  </si>
  <si>
    <t>Weight</t>
  </si>
  <si>
    <t>SMS Total</t>
  </si>
  <si>
    <t>Client Maneuvering</t>
  </si>
  <si>
    <t>CS Mass with Margin</t>
  </si>
  <si>
    <t>Drive Torque</t>
  </si>
  <si>
    <t>Maximum Joint Drive Torque</t>
  </si>
  <si>
    <t>Lift Payload moment Arm</t>
  </si>
  <si>
    <t>Motor Running Speed</t>
  </si>
  <si>
    <t>Joint Side Output Speed</t>
  </si>
  <si>
    <t>Check Torque Margin</t>
  </si>
  <si>
    <t>Maximum Maneuver Speed</t>
  </si>
  <si>
    <t>Unloaded Maneuvering</t>
  </si>
  <si>
    <t>Acceleration</t>
  </si>
  <si>
    <t>(m/s)</t>
  </si>
  <si>
    <t>Inertia Load</t>
  </si>
  <si>
    <t>Time to achieve acceleration</t>
  </si>
  <si>
    <t>Maximum Maneuvering Torque</t>
  </si>
  <si>
    <t>Required Torque</t>
  </si>
  <si>
    <t>Stopping Torque with Margin</t>
  </si>
  <si>
    <t>Friction Margin</t>
  </si>
  <si>
    <t>Frictional Torque</t>
  </si>
  <si>
    <t>Num Motor Combined Effort</t>
  </si>
  <si>
    <t>Torque per Motor</t>
  </si>
  <si>
    <t>SR,SY,SP,EP,WP,WY,WR</t>
  </si>
  <si>
    <t>Nominal Config</t>
  </si>
  <si>
    <t>Total Inertia Torque</t>
  </si>
  <si>
    <t>WB dist max to Base</t>
  </si>
  <si>
    <t>SB dist max to Base</t>
  </si>
  <si>
    <t>Payload at base</t>
  </si>
  <si>
    <t>EE at base</t>
  </si>
  <si>
    <t>WR Joint at base</t>
  </si>
  <si>
    <t>WY Joint at base</t>
  </si>
  <si>
    <t>WP Joint at base</t>
  </si>
  <si>
    <t>EP Joint at base</t>
  </si>
  <si>
    <t>SP Joint at base</t>
  </si>
  <si>
    <t>SY Joint at base</t>
  </si>
  <si>
    <t>SR Joint at base</t>
  </si>
  <si>
    <t>WB At at base</t>
  </si>
  <si>
    <t>SB At at base</t>
  </si>
  <si>
    <t>Lift Moment Arm (stretch config)</t>
  </si>
  <si>
    <t>Lift Moment Arm (nominal config)</t>
  </si>
  <si>
    <t>Nominal Torque</t>
  </si>
  <si>
    <t>Max axial load (dynamic)</t>
  </si>
  <si>
    <t>Max force for press fits</t>
  </si>
  <si>
    <t>Max radial Load, 5 mm from flange</t>
  </si>
  <si>
    <t>Number of pole pairs</t>
  </si>
  <si>
    <t>Number of phases</t>
  </si>
  <si>
    <t>No load speed</t>
  </si>
  <si>
    <t>No load current</t>
  </si>
  <si>
    <t>Stall Torque</t>
  </si>
  <si>
    <t>Nominal Speed</t>
  </si>
  <si>
    <t>Nominal Torque (max. continuous torque)</t>
  </si>
  <si>
    <t>Nominal Current (max. continuous current)</t>
  </si>
  <si>
    <t>Stall Current</t>
  </si>
  <si>
    <t>Stall Power</t>
  </si>
  <si>
    <t>Terminal Resistance Phase to Phase</t>
  </si>
  <si>
    <t>(Ohm)</t>
  </si>
  <si>
    <t>Terminal Inductance Phase to Phase</t>
  </si>
  <si>
    <t>(mH)</t>
  </si>
  <si>
    <t>Speed constant</t>
  </si>
  <si>
    <t>(rpm/V)</t>
  </si>
  <si>
    <t>Speed/torque gradient</t>
  </si>
  <si>
    <t>(rpm/mNm)</t>
  </si>
  <si>
    <t>GB Selection</t>
  </si>
  <si>
    <t>GB+Motor Selection: Time Constant</t>
  </si>
  <si>
    <t>GB+Motor Selection: Speed</t>
  </si>
  <si>
    <t>Nominal Electrical Input Power</t>
  </si>
  <si>
    <t>Mechanical Output Power</t>
  </si>
  <si>
    <t>Required Output Mech. Power</t>
  </si>
  <si>
    <t>Required Running Speed (lift load)</t>
  </si>
  <si>
    <t>Max Lift Maneuver Speed</t>
  </si>
  <si>
    <t>Max Joint Rotation Speed for Lift</t>
  </si>
  <si>
    <t>Required Running Torque (lift load)</t>
  </si>
  <si>
    <t>Required Input Motor Power</t>
  </si>
  <si>
    <t>Input Motor Speed</t>
  </si>
  <si>
    <t>Required Input Torque from Motor</t>
  </si>
  <si>
    <t>Motor side Torque Margin</t>
  </si>
  <si>
    <t>Torque by Motor</t>
  </si>
  <si>
    <t>Required Torque from Motor</t>
  </si>
  <si>
    <t>GB+Motor Selection: Motor Side Torque</t>
  </si>
  <si>
    <t>GB+Motor Selection: Gearbox Side Torque</t>
  </si>
  <si>
    <t>Mechanical Power from Motor</t>
  </si>
  <si>
    <t>Mechanical Power out to Joint</t>
  </si>
  <si>
    <t>Motor Input Speed</t>
  </si>
  <si>
    <t>GB Output Speed</t>
  </si>
  <si>
    <t>Motor Running Torque</t>
  </si>
  <si>
    <t>Max Drive Torque Required</t>
  </si>
  <si>
    <t>Moment Arm (fully stretched length)</t>
  </si>
  <si>
    <t>Moment Arm (base on stretch config)</t>
  </si>
  <si>
    <t>Moment Arm (base on nominal config)</t>
  </si>
  <si>
    <t>Payload Lift</t>
  </si>
  <si>
    <t>Payload CS</t>
  </si>
  <si>
    <t>Required Torque for Payload</t>
  </si>
  <si>
    <t>Payload max dist to Base</t>
  </si>
  <si>
    <t>EE max dist to Base</t>
  </si>
  <si>
    <t>Max Tip Speed Requirement</t>
  </si>
  <si>
    <t>Min Working Distance</t>
  </si>
  <si>
    <t>Gearbox Variation Below</t>
  </si>
  <si>
    <t>Position Command Resolution</t>
  </si>
  <si>
    <t>Mass Section 1</t>
  </si>
  <si>
    <t>Mass Section 2</t>
  </si>
  <si>
    <t>Wheel Volume Section 1</t>
  </si>
  <si>
    <t>Wheel Volume Section 2</t>
  </si>
  <si>
    <t>Wheel Area Section 1</t>
  </si>
  <si>
    <t>Wheel Area Section 2</t>
  </si>
  <si>
    <t>Wheel Inertia Section 1</t>
  </si>
  <si>
    <t>Wheel Inertia Section 2</t>
  </si>
  <si>
    <t>(req.&gt;95%)</t>
  </si>
  <si>
    <t>http://www.maxonmotor.com/medias/sys_master/root/8816806527006/15-257-EN.pdf</t>
  </si>
  <si>
    <t>Max Platform Angular Rate</t>
  </si>
  <si>
    <t>deg/s</t>
  </si>
  <si>
    <t>Seconds Per Full Rotation</t>
  </si>
  <si>
    <t>s</t>
  </si>
  <si>
    <t>Rotations Per Minute</t>
  </si>
  <si>
    <t>rpm</t>
  </si>
  <si>
    <t>rad/s</t>
  </si>
  <si>
    <t>Desired platform RPM</t>
  </si>
  <si>
    <t>Desired platform Angular Rate</t>
  </si>
  <si>
    <t>Nms</t>
  </si>
  <si>
    <t>Required Wheel MOI Multiplication</t>
  </si>
  <si>
    <t>Required Wheel Angular Momentum</t>
  </si>
  <si>
    <t>Minutes Per Rotation</t>
  </si>
  <si>
    <t>Wheel Inertia CORRECTED BY KIRK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</si>
</sst>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0.0"/>
    <numFmt numFmtId="165" formatCode="0.0000"/>
    <numFmt numFmtId="166" formatCode="0.000"/>
    <numFmt numFmtId="167" formatCode="0.000E+00"/>
    <numFmt numFmtId="168" formatCode="0.0E+00"/>
    <numFmt numFmtId="169" formatCode="0E+00"/>
    <numFmt numFmtId="170" formatCode="_(* #,##0.0_);_(* \(#,##0.0\);_(* &quot;-&quot;??_);_(@_)"/>
    <numFmt numFmtId="171" formatCode="_(* #,##0_);_(* \(#,##0\);_(* &quot;-&quot;??_);_(@_)"/>
    <numFmt numFmtId="172" formatCode="_(* #,##0.000_);_(* \(#,##0.000\);_(* &quot;-&quot;??_);_(@_)"/>
    <numFmt numFmtId="173" formatCode="_(* #,##0.0000_);_(* \(#,##0.0000\);_(* &quot;-&quot;??_);_(@_)"/>
    <numFmt numFmtId="174" formatCode="_-* #,##0.0_-;\-* #,##0.0_-;_-* &quot;-&quot;??_-;_-@_-"/>
    <numFmt numFmtId="175" formatCode="_-* #,##0_-;\-* #,##0_-;_-* &quot;-&quot;??_-;_-@_-"/>
    <numFmt numFmtId="176" formatCode="0.E+00"/>
    <numFmt numFmtId="177" formatCode="0.0.E+00"/>
  </numFmts>
  <fonts count="21" x14ac:knownFonts="1">
    <font>
      <sz val="10"/>
      <name val="Arial"/>
    </font>
    <font>
      <sz val="10"/>
      <name val="Arial"/>
    </font>
    <font>
      <sz val="8"/>
      <name val="Arial"/>
    </font>
    <font>
      <b/>
      <sz val="10"/>
      <name val="Arial"/>
      <family val="2"/>
    </font>
    <font>
      <b/>
      <u/>
      <sz val="10"/>
      <name val="Arial"/>
      <family val="2"/>
    </font>
    <font>
      <sz val="10"/>
      <color indexed="12"/>
      <name val="Arial"/>
    </font>
    <font>
      <sz val="10"/>
      <name val="Arial"/>
      <family val="2"/>
    </font>
    <font>
      <sz val="10"/>
      <color indexed="12"/>
      <name val="Arial"/>
      <family val="2"/>
    </font>
    <font>
      <sz val="8"/>
      <color indexed="81"/>
      <name val="Tahoma"/>
      <charset val="1"/>
    </font>
    <font>
      <b/>
      <sz val="8"/>
      <color indexed="81"/>
      <name val="Tahoma"/>
      <charset val="1"/>
    </font>
    <font>
      <u/>
      <sz val="7.5"/>
      <color indexed="12"/>
      <name val="Arial"/>
    </font>
    <font>
      <sz val="10"/>
      <color indexed="18"/>
      <name val="Arial"/>
      <family val="2"/>
    </font>
    <font>
      <sz val="10"/>
      <color indexed="10"/>
      <name val="Arial"/>
    </font>
    <font>
      <b/>
      <sz val="10"/>
      <color indexed="12"/>
      <name val="Arial"/>
      <family val="2"/>
    </font>
    <font>
      <b/>
      <sz val="10"/>
      <name val="Arial"/>
    </font>
    <font>
      <b/>
      <sz val="10"/>
      <color indexed="60"/>
      <name val="Arial"/>
      <family val="2"/>
    </font>
    <font>
      <sz val="10"/>
      <color indexed="18"/>
      <name val="Arial"/>
    </font>
    <font>
      <sz val="10"/>
      <color indexed="55"/>
      <name val="Arial"/>
    </font>
    <font>
      <b/>
      <sz val="10"/>
      <color indexed="20"/>
      <name val="Arial"/>
      <family val="2"/>
    </font>
    <font>
      <sz val="10"/>
      <color indexed="22"/>
      <name val="Arial"/>
      <family val="2"/>
    </font>
    <font>
      <b/>
      <sz val="10"/>
      <color indexed="22"/>
      <name val="Arial"/>
      <family val="2"/>
    </font>
  </fonts>
  <fills count="16">
    <fill>
      <patternFill patternType="none"/>
    </fill>
    <fill>
      <patternFill patternType="gray125"/>
    </fill>
    <fill>
      <patternFill patternType="solid">
        <fgColor indexed="20"/>
        <bgColor indexed="64"/>
      </patternFill>
    </fill>
    <fill>
      <patternFill patternType="solid">
        <fgColor indexed="13"/>
        <bgColor indexed="64"/>
      </patternFill>
    </fill>
    <fill>
      <patternFill patternType="solid">
        <fgColor indexed="42"/>
        <bgColor indexed="64"/>
      </patternFill>
    </fill>
    <fill>
      <patternFill patternType="solid">
        <fgColor indexed="46"/>
        <bgColor indexed="64"/>
      </patternFill>
    </fill>
    <fill>
      <patternFill patternType="solid">
        <fgColor indexed="10"/>
        <bgColor indexed="64"/>
      </patternFill>
    </fill>
    <fill>
      <patternFill patternType="solid">
        <fgColor indexed="55"/>
        <bgColor indexed="64"/>
      </patternFill>
    </fill>
    <fill>
      <patternFill patternType="solid">
        <fgColor indexed="11"/>
        <bgColor indexed="64"/>
      </patternFill>
    </fill>
    <fill>
      <patternFill patternType="solid">
        <fgColor indexed="18"/>
        <bgColor indexed="64"/>
      </patternFill>
    </fill>
    <fill>
      <patternFill patternType="solid">
        <fgColor indexed="47"/>
        <bgColor indexed="64"/>
      </patternFill>
    </fill>
    <fill>
      <patternFill patternType="solid">
        <fgColor indexed="53"/>
        <bgColor indexed="64"/>
      </patternFill>
    </fill>
    <fill>
      <patternFill patternType="solid">
        <fgColor indexed="2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s>
  <borders count="41">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12"/>
      </left>
      <right/>
      <top style="thick">
        <color indexed="12"/>
      </top>
      <bottom/>
      <diagonal/>
    </border>
    <border>
      <left/>
      <right style="thick">
        <color indexed="12"/>
      </right>
      <top style="thick">
        <color indexed="12"/>
      </top>
      <bottom/>
      <diagonal/>
    </border>
    <border>
      <left style="thick">
        <color indexed="12"/>
      </left>
      <right/>
      <top/>
      <bottom/>
      <diagonal/>
    </border>
    <border>
      <left/>
      <right style="thick">
        <color indexed="12"/>
      </right>
      <top/>
      <bottom/>
      <diagonal/>
    </border>
    <border>
      <left style="thick">
        <color indexed="12"/>
      </left>
      <right/>
      <top/>
      <bottom style="thick">
        <color indexed="12"/>
      </bottom>
      <diagonal/>
    </border>
    <border>
      <left/>
      <right style="thick">
        <color indexed="12"/>
      </right>
      <top/>
      <bottom style="thick">
        <color indexed="1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12"/>
      </top>
      <bottom/>
      <diagonal/>
    </border>
    <border>
      <left/>
      <right/>
      <top/>
      <bottom style="thick">
        <color indexed="12"/>
      </bottom>
      <diagonal/>
    </border>
    <border>
      <left style="thick">
        <color indexed="12"/>
      </left>
      <right style="thick">
        <color indexed="12"/>
      </right>
      <top style="thick">
        <color indexed="12"/>
      </top>
      <bottom/>
      <diagonal/>
    </border>
    <border>
      <left style="thick">
        <color indexed="12"/>
      </left>
      <right style="thick">
        <color indexed="12"/>
      </right>
      <top/>
      <bottom/>
      <diagonal/>
    </border>
    <border>
      <left style="thick">
        <color indexed="12"/>
      </left>
      <right style="thick">
        <color indexed="12"/>
      </right>
      <top/>
      <bottom style="thick">
        <color indexed="12"/>
      </bottom>
      <diagonal/>
    </border>
    <border>
      <left style="thick">
        <color indexed="12"/>
      </left>
      <right style="thick">
        <color indexed="12"/>
      </right>
      <top style="thick">
        <color indexed="12"/>
      </top>
      <bottom style="thick">
        <color indexed="12"/>
      </bottom>
      <diagonal/>
    </border>
    <border>
      <left style="thick">
        <color indexed="12"/>
      </left>
      <right style="thin">
        <color indexed="64"/>
      </right>
      <top style="thick">
        <color indexed="12"/>
      </top>
      <bottom/>
      <diagonal/>
    </border>
    <border>
      <left style="thick">
        <color indexed="12"/>
      </left>
      <right style="thin">
        <color indexed="64"/>
      </right>
      <top/>
      <bottom style="thick">
        <color indexed="12"/>
      </bottom>
      <diagonal/>
    </border>
    <border>
      <left style="thin">
        <color indexed="64"/>
      </left>
      <right/>
      <top style="thin">
        <color indexed="64"/>
      </top>
      <bottom/>
      <diagonal/>
    </border>
    <border>
      <left/>
      <right style="thin">
        <color indexed="64"/>
      </right>
      <top style="thin">
        <color indexed="64"/>
      </top>
      <bottom/>
      <diagonal/>
    </border>
    <border>
      <left style="thick">
        <color indexed="12"/>
      </left>
      <right style="thin">
        <color indexed="64"/>
      </right>
      <top/>
      <bottom/>
      <diagonal/>
    </border>
    <border>
      <left/>
      <right/>
      <top style="medium">
        <color indexed="39"/>
      </top>
      <bottom style="medium">
        <color indexed="39"/>
      </bottom>
      <diagonal/>
    </border>
    <border>
      <left/>
      <right/>
      <top style="medium">
        <color indexed="12"/>
      </top>
      <bottom style="medium">
        <color indexed="12"/>
      </bottom>
      <diagonal/>
    </border>
    <border>
      <left style="medium">
        <color indexed="11"/>
      </left>
      <right/>
      <top style="medium">
        <color indexed="11"/>
      </top>
      <bottom/>
      <diagonal/>
    </border>
    <border>
      <left/>
      <right style="medium">
        <color indexed="11"/>
      </right>
      <top/>
      <bottom/>
      <diagonal/>
    </border>
    <border>
      <left/>
      <right style="medium">
        <color indexed="11"/>
      </right>
      <top/>
      <bottom style="medium">
        <color indexed="11"/>
      </bottom>
      <diagonal/>
    </border>
    <border>
      <left style="medium">
        <color indexed="11"/>
      </left>
      <right/>
      <top/>
      <bottom/>
      <diagonal/>
    </border>
    <border>
      <left style="medium">
        <color indexed="11"/>
      </left>
      <right/>
      <top/>
      <bottom style="medium">
        <color indexed="11"/>
      </bottom>
      <diagonal/>
    </border>
    <border>
      <left/>
      <right/>
      <top/>
      <bottom style="medium">
        <color indexed="11"/>
      </bottom>
      <diagonal/>
    </border>
    <border>
      <left/>
      <right/>
      <top style="medium">
        <color indexed="11"/>
      </top>
      <bottom/>
      <diagonal/>
    </border>
    <border>
      <left/>
      <right style="medium">
        <color indexed="11"/>
      </right>
      <top style="medium">
        <color indexed="11"/>
      </top>
      <bottom/>
      <diagonal/>
    </border>
    <border>
      <left style="thin">
        <color indexed="64"/>
      </left>
      <right/>
      <top style="medium">
        <color indexed="12"/>
      </top>
      <bottom style="medium">
        <color indexed="12"/>
      </bottom>
      <diagonal/>
    </border>
    <border>
      <left/>
      <right style="thin">
        <color indexed="64"/>
      </right>
      <top style="medium">
        <color indexed="12"/>
      </top>
      <bottom style="medium">
        <color indexed="12"/>
      </bottom>
      <diagonal/>
    </border>
    <border>
      <left style="thin">
        <color indexed="64"/>
      </left>
      <right/>
      <top style="medium">
        <color indexed="39"/>
      </top>
      <bottom style="medium">
        <color indexed="39"/>
      </bottom>
      <diagonal/>
    </border>
    <border>
      <left/>
      <right style="thin">
        <color indexed="64"/>
      </right>
      <top style="medium">
        <color indexed="39"/>
      </top>
      <bottom style="medium">
        <color indexed="39"/>
      </bottom>
      <diagonal/>
    </border>
  </borders>
  <cellStyleXfs count="4">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462">
    <xf numFmtId="0" fontId="0" fillId="0" borderId="0" xfId="0"/>
    <xf numFmtId="164" fontId="0" fillId="0" borderId="0" xfId="0" applyNumberFormat="1"/>
    <xf numFmtId="166" fontId="0" fillId="0" borderId="0" xfId="0" applyNumberFormat="1"/>
    <xf numFmtId="0" fontId="3" fillId="0" borderId="0" xfId="0" applyFont="1"/>
    <xf numFmtId="1" fontId="0" fillId="0" borderId="0" xfId="0" applyNumberFormat="1"/>
    <xf numFmtId="0" fontId="0" fillId="2" borderId="0" xfId="0" applyFill="1"/>
    <xf numFmtId="0" fontId="0" fillId="0" borderId="0" xfId="0" applyFill="1"/>
    <xf numFmtId="0" fontId="5" fillId="3" borderId="0" xfId="0" applyFont="1" applyFill="1"/>
    <xf numFmtId="0" fontId="5" fillId="0" borderId="0" xfId="0" applyFont="1"/>
    <xf numFmtId="164" fontId="5" fillId="0" borderId="0" xfId="0" applyNumberFormat="1" applyFont="1"/>
    <xf numFmtId="164" fontId="0" fillId="4" borderId="0" xfId="0" applyNumberFormat="1" applyFill="1"/>
    <xf numFmtId="0" fontId="0" fillId="5" borderId="0" xfId="0" applyFill="1"/>
    <xf numFmtId="1" fontId="6" fillId="0" borderId="0" xfId="0" applyNumberFormat="1" applyFont="1" applyFill="1"/>
    <xf numFmtId="0" fontId="5" fillId="0" borderId="0" xfId="0" applyFont="1" applyFill="1"/>
    <xf numFmtId="1" fontId="7" fillId="3" borderId="0" xfId="0" applyNumberFormat="1" applyFont="1" applyFill="1"/>
    <xf numFmtId="0" fontId="1" fillId="0" borderId="0" xfId="0" applyFont="1"/>
    <xf numFmtId="0" fontId="3" fillId="0" borderId="2" xfId="0" applyFont="1" applyBorder="1"/>
    <xf numFmtId="0" fontId="0" fillId="5" borderId="0" xfId="0" applyFill="1" applyBorder="1"/>
    <xf numFmtId="0" fontId="0" fillId="0" borderId="2" xfId="0" applyBorder="1"/>
    <xf numFmtId="0" fontId="0" fillId="0" borderId="0" xfId="0" applyBorder="1"/>
    <xf numFmtId="164" fontId="3" fillId="4" borderId="3" xfId="0" applyNumberFormat="1" applyFont="1" applyFill="1" applyBorder="1"/>
    <xf numFmtId="0" fontId="0" fillId="5" borderId="2" xfId="0" applyFill="1" applyBorder="1"/>
    <xf numFmtId="0" fontId="0" fillId="0" borderId="3" xfId="0" applyBorder="1"/>
    <xf numFmtId="164" fontId="0" fillId="0" borderId="0" xfId="0" applyNumberFormat="1" applyBorder="1"/>
    <xf numFmtId="164" fontId="0" fillId="0" borderId="3" xfId="0" applyNumberFormat="1" applyBorder="1"/>
    <xf numFmtId="166" fontId="0" fillId="0" borderId="3" xfId="0" applyNumberFormat="1" applyBorder="1"/>
    <xf numFmtId="166" fontId="3" fillId="4" borderId="3" xfId="0" applyNumberFormat="1" applyFont="1" applyFill="1" applyBorder="1"/>
    <xf numFmtId="0" fontId="0" fillId="0" borderId="4" xfId="0" applyBorder="1"/>
    <xf numFmtId="0" fontId="0" fillId="0" borderId="5" xfId="0" applyBorder="1"/>
    <xf numFmtId="0" fontId="0" fillId="0" borderId="6" xfId="0" applyBorder="1"/>
    <xf numFmtId="0" fontId="5" fillId="0" borderId="3" xfId="0" applyFont="1" applyBorder="1"/>
    <xf numFmtId="0" fontId="0" fillId="5" borderId="3" xfId="0" applyFill="1" applyBorder="1"/>
    <xf numFmtId="1" fontId="0" fillId="0" borderId="0" xfId="0" applyNumberFormat="1" applyBorder="1"/>
    <xf numFmtId="1" fontId="0" fillId="0" borderId="3" xfId="0" applyNumberFormat="1" applyBorder="1"/>
    <xf numFmtId="0" fontId="5" fillId="6" borderId="0" xfId="0" applyFont="1" applyFill="1"/>
    <xf numFmtId="0" fontId="0" fillId="7" borderId="0" xfId="0" applyFill="1"/>
    <xf numFmtId="1" fontId="5" fillId="0" borderId="0" xfId="0" applyNumberFormat="1" applyFont="1"/>
    <xf numFmtId="164" fontId="1" fillId="0" borderId="0" xfId="0" applyNumberFormat="1" applyFont="1"/>
    <xf numFmtId="0" fontId="0" fillId="8" borderId="7" xfId="0" applyFill="1" applyBorder="1"/>
    <xf numFmtId="0" fontId="0" fillId="0" borderId="8" xfId="0" applyBorder="1"/>
    <xf numFmtId="1" fontId="5" fillId="0" borderId="10" xfId="0" applyNumberFormat="1" applyFont="1" applyBorder="1"/>
    <xf numFmtId="0" fontId="5" fillId="0" borderId="10" xfId="0" applyFont="1" applyBorder="1"/>
    <xf numFmtId="1" fontId="1" fillId="0" borderId="0" xfId="0" applyNumberFormat="1" applyFont="1" applyFill="1"/>
    <xf numFmtId="1" fontId="5" fillId="0" borderId="0" xfId="0" applyNumberFormat="1" applyFont="1" applyFill="1"/>
    <xf numFmtId="2" fontId="1" fillId="0" borderId="0" xfId="0" applyNumberFormat="1" applyFont="1"/>
    <xf numFmtId="166" fontId="0" fillId="0" borderId="10" xfId="0" applyNumberFormat="1" applyBorder="1"/>
    <xf numFmtId="164" fontId="0" fillId="0" borderId="10" xfId="0" applyNumberFormat="1" applyBorder="1"/>
    <xf numFmtId="2" fontId="1" fillId="0" borderId="10" xfId="0" applyNumberFormat="1" applyFont="1" applyBorder="1"/>
    <xf numFmtId="1" fontId="1" fillId="4" borderId="10" xfId="0" applyNumberFormat="1" applyFont="1" applyFill="1" applyBorder="1"/>
    <xf numFmtId="1" fontId="5" fillId="0" borderId="10" xfId="0" applyNumberFormat="1" applyFont="1" applyFill="1" applyBorder="1"/>
    <xf numFmtId="1" fontId="1" fillId="0" borderId="10" xfId="0" applyNumberFormat="1" applyFont="1" applyFill="1" applyBorder="1"/>
    <xf numFmtId="1" fontId="0" fillId="0" borderId="10" xfId="0" applyNumberFormat="1" applyBorder="1"/>
    <xf numFmtId="1" fontId="0" fillId="0" borderId="12" xfId="0" applyNumberFormat="1" applyBorder="1"/>
    <xf numFmtId="0" fontId="1" fillId="8" borderId="9" xfId="0" applyFont="1" applyFill="1" applyBorder="1"/>
    <xf numFmtId="0" fontId="1" fillId="8" borderId="11" xfId="0" applyFont="1" applyFill="1" applyBorder="1"/>
    <xf numFmtId="1" fontId="1" fillId="4" borderId="0" xfId="0" applyNumberFormat="1" applyFont="1" applyFill="1" applyBorder="1"/>
    <xf numFmtId="0" fontId="0" fillId="9" borderId="0" xfId="0" applyFill="1"/>
    <xf numFmtId="0" fontId="0" fillId="0" borderId="2" xfId="0" applyFill="1" applyBorder="1"/>
    <xf numFmtId="0" fontId="0" fillId="2" borderId="0" xfId="0" applyFill="1" applyBorder="1"/>
    <xf numFmtId="0" fontId="5" fillId="3" borderId="3" xfId="0" applyFont="1" applyFill="1" applyBorder="1"/>
    <xf numFmtId="0" fontId="3" fillId="10" borderId="13" xfId="0" applyFont="1" applyFill="1" applyBorder="1"/>
    <xf numFmtId="0" fontId="3" fillId="10" borderId="14" xfId="0" applyFont="1" applyFill="1" applyBorder="1"/>
    <xf numFmtId="0" fontId="3" fillId="10" borderId="15" xfId="0" applyFont="1" applyFill="1" applyBorder="1"/>
    <xf numFmtId="2" fontId="0" fillId="0" borderId="3" xfId="0" applyNumberFormat="1" applyBorder="1"/>
    <xf numFmtId="1" fontId="1" fillId="0" borderId="3" xfId="0" applyNumberFormat="1" applyFont="1" applyBorder="1"/>
    <xf numFmtId="164" fontId="5" fillId="3" borderId="3" xfId="0" applyNumberFormat="1" applyFont="1" applyFill="1" applyBorder="1"/>
    <xf numFmtId="0" fontId="5" fillId="3" borderId="0" xfId="0" applyFont="1" applyFill="1" applyBorder="1"/>
    <xf numFmtId="1" fontId="0" fillId="0" borderId="0" xfId="0" applyNumberFormat="1" applyBorder="1" applyAlignment="1">
      <alignment horizontal="right"/>
    </xf>
    <xf numFmtId="0" fontId="0" fillId="0" borderId="0" xfId="0" applyAlignment="1">
      <alignment horizontal="right"/>
    </xf>
    <xf numFmtId="0" fontId="0" fillId="0" borderId="0" xfId="0" applyBorder="1" applyAlignment="1">
      <alignment horizontal="right"/>
    </xf>
    <xf numFmtId="0" fontId="0" fillId="5" borderId="0" xfId="0" applyFill="1" applyAlignment="1">
      <alignment horizontal="right"/>
    </xf>
    <xf numFmtId="0" fontId="0" fillId="8" borderId="16" xfId="0" applyFill="1" applyBorder="1" applyAlignment="1">
      <alignment horizontal="right"/>
    </xf>
    <xf numFmtId="0" fontId="1" fillId="8" borderId="0" xfId="0" applyFont="1" applyFill="1" applyBorder="1" applyAlignment="1">
      <alignment horizontal="right"/>
    </xf>
    <xf numFmtId="0" fontId="1" fillId="8" borderId="17" xfId="0" applyFont="1" applyFill="1" applyBorder="1" applyAlignment="1">
      <alignment horizontal="right"/>
    </xf>
    <xf numFmtId="0" fontId="0" fillId="0" borderId="0" xfId="0" applyFill="1" applyAlignment="1">
      <alignment horizontal="right"/>
    </xf>
    <xf numFmtId="0" fontId="0" fillId="7" borderId="0" xfId="0" applyFill="1" applyAlignment="1">
      <alignment horizontal="right"/>
    </xf>
    <xf numFmtId="11" fontId="0" fillId="0" borderId="3" xfId="0" applyNumberFormat="1" applyBorder="1"/>
    <xf numFmtId="168" fontId="0" fillId="0" borderId="3" xfId="0" applyNumberFormat="1" applyBorder="1"/>
    <xf numFmtId="0" fontId="0" fillId="0" borderId="0" xfId="0" applyFill="1" applyBorder="1" applyAlignment="1">
      <alignment horizontal="right"/>
    </xf>
    <xf numFmtId="172" fontId="0" fillId="0" borderId="3" xfId="1" applyNumberFormat="1" applyFont="1" applyBorder="1"/>
    <xf numFmtId="0" fontId="0" fillId="0" borderId="4" xfId="0" applyFill="1" applyBorder="1"/>
    <xf numFmtId="0" fontId="0" fillId="0" borderId="5" xfId="0" applyBorder="1" applyAlignment="1">
      <alignment horizontal="right"/>
    </xf>
    <xf numFmtId="171" fontId="0" fillId="0" borderId="6" xfId="1" applyNumberFormat="1" applyFont="1" applyBorder="1"/>
    <xf numFmtId="0" fontId="1" fillId="0" borderId="0" xfId="0" applyFont="1" applyFill="1" applyBorder="1"/>
    <xf numFmtId="0" fontId="4" fillId="0" borderId="2" xfId="0" applyFont="1" applyFill="1" applyBorder="1"/>
    <xf numFmtId="164" fontId="0" fillId="4" borderId="0" xfId="0" applyNumberFormat="1" applyFill="1" applyBorder="1"/>
    <xf numFmtId="171" fontId="0" fillId="0" borderId="0" xfId="1" applyNumberFormat="1" applyFont="1" applyBorder="1"/>
    <xf numFmtId="11" fontId="0" fillId="0" borderId="0" xfId="0" applyNumberFormat="1" applyBorder="1"/>
    <xf numFmtId="2" fontId="0" fillId="0" borderId="0" xfId="0" applyNumberFormat="1" applyBorder="1"/>
    <xf numFmtId="164" fontId="0" fillId="2" borderId="0" xfId="0" applyNumberFormat="1" applyFill="1" applyBorder="1"/>
    <xf numFmtId="172" fontId="0" fillId="0" borderId="0" xfId="1" applyNumberFormat="1" applyFont="1" applyBorder="1"/>
    <xf numFmtId="43" fontId="0" fillId="0" borderId="0" xfId="1" applyNumberFormat="1" applyFont="1" applyBorder="1"/>
    <xf numFmtId="43" fontId="0" fillId="0" borderId="3" xfId="1" applyNumberFormat="1" applyFont="1" applyBorder="1"/>
    <xf numFmtId="168" fontId="0" fillId="0" borderId="0" xfId="0" applyNumberFormat="1" applyBorder="1"/>
    <xf numFmtId="170" fontId="0" fillId="0" borderId="3" xfId="1" applyNumberFormat="1" applyFont="1" applyFill="1" applyBorder="1"/>
    <xf numFmtId="2" fontId="3" fillId="4" borderId="3" xfId="0" applyNumberFormat="1" applyFont="1" applyFill="1" applyBorder="1"/>
    <xf numFmtId="165" fontId="0" fillId="0" borderId="3" xfId="0" applyNumberFormat="1" applyBorder="1"/>
    <xf numFmtId="164" fontId="1" fillId="0" borderId="3" xfId="0" applyNumberFormat="1" applyFont="1" applyFill="1" applyBorder="1"/>
    <xf numFmtId="1" fontId="0" fillId="5" borderId="0" xfId="0" applyNumberFormat="1" applyFill="1" applyBorder="1" applyAlignment="1">
      <alignment horizontal="right"/>
    </xf>
    <xf numFmtId="164" fontId="5" fillId="5" borderId="3" xfId="0" applyNumberFormat="1" applyFont="1" applyFill="1" applyBorder="1"/>
    <xf numFmtId="1" fontId="0" fillId="0" borderId="0" xfId="0" applyNumberFormat="1" applyFill="1" applyBorder="1" applyAlignment="1">
      <alignment horizontal="right"/>
    </xf>
    <xf numFmtId="0" fontId="5" fillId="3" borderId="23" xfId="0" applyFont="1" applyFill="1" applyBorder="1"/>
    <xf numFmtId="1" fontId="5" fillId="3" borderId="22" xfId="0" applyNumberFormat="1" applyFont="1" applyFill="1" applyBorder="1"/>
    <xf numFmtId="43" fontId="0" fillId="0" borderId="3" xfId="0" applyNumberFormat="1" applyBorder="1"/>
    <xf numFmtId="1" fontId="5" fillId="3" borderId="3" xfId="0" applyNumberFormat="1" applyFont="1" applyFill="1" applyBorder="1"/>
    <xf numFmtId="1" fontId="1" fillId="0" borderId="3" xfId="0" applyNumberFormat="1" applyFont="1" applyFill="1" applyBorder="1"/>
    <xf numFmtId="164" fontId="0" fillId="4" borderId="3" xfId="0" applyNumberFormat="1" applyFill="1" applyBorder="1"/>
    <xf numFmtId="166" fontId="6" fillId="0" borderId="3" xfId="0" applyNumberFormat="1" applyFont="1" applyFill="1" applyBorder="1"/>
    <xf numFmtId="170" fontId="3" fillId="4" borderId="3" xfId="0" applyNumberFormat="1" applyFont="1" applyFill="1" applyBorder="1"/>
    <xf numFmtId="11" fontId="0" fillId="0" borderId="3" xfId="0" applyNumberFormat="1" applyFill="1" applyBorder="1"/>
    <xf numFmtId="43" fontId="0" fillId="0" borderId="3" xfId="1" applyNumberFormat="1" applyFont="1" applyFill="1" applyBorder="1"/>
    <xf numFmtId="173" fontId="0" fillId="0" borderId="0" xfId="1" applyNumberFormat="1" applyFont="1" applyBorder="1"/>
    <xf numFmtId="168" fontId="0" fillId="0" borderId="3" xfId="0" applyNumberFormat="1" applyFill="1" applyBorder="1"/>
    <xf numFmtId="0" fontId="0" fillId="0" borderId="24" xfId="0" applyBorder="1"/>
    <xf numFmtId="2" fontId="6" fillId="0" borderId="3" xfId="0" applyNumberFormat="1" applyFont="1" applyFill="1" applyBorder="1"/>
    <xf numFmtId="2" fontId="0" fillId="0" borderId="0" xfId="0" applyNumberFormat="1" applyFill="1" applyBorder="1"/>
    <xf numFmtId="43" fontId="3" fillId="4" borderId="3" xfId="0" applyNumberFormat="1" applyFont="1" applyFill="1" applyBorder="1"/>
    <xf numFmtId="171" fontId="0" fillId="2" borderId="0" xfId="1" applyNumberFormat="1" applyFont="1" applyFill="1" applyBorder="1"/>
    <xf numFmtId="170" fontId="0" fillId="2" borderId="0" xfId="1" applyNumberFormat="1" applyFont="1" applyFill="1" applyBorder="1"/>
    <xf numFmtId="166" fontId="0" fillId="0" borderId="0" xfId="0" applyNumberFormat="1" applyBorder="1"/>
    <xf numFmtId="170" fontId="0" fillId="0" borderId="6" xfId="1" applyNumberFormat="1" applyFont="1" applyFill="1" applyBorder="1"/>
    <xf numFmtId="1" fontId="0" fillId="0" borderId="3" xfId="0" applyNumberFormat="1" applyFill="1" applyBorder="1"/>
    <xf numFmtId="1" fontId="5" fillId="0" borderId="6" xfId="0" applyNumberFormat="1" applyFont="1" applyFill="1" applyBorder="1"/>
    <xf numFmtId="172" fontId="3" fillId="4" borderId="3" xfId="1" applyNumberFormat="1" applyFont="1" applyFill="1" applyBorder="1"/>
    <xf numFmtId="164" fontId="3" fillId="4" borderId="6" xfId="0" applyNumberFormat="1" applyFont="1" applyFill="1" applyBorder="1"/>
    <xf numFmtId="168" fontId="0" fillId="0" borderId="0" xfId="1" applyNumberFormat="1" applyFont="1" applyBorder="1"/>
    <xf numFmtId="168" fontId="3" fillId="4" borderId="3" xfId="1" applyNumberFormat="1" applyFont="1" applyFill="1" applyBorder="1"/>
    <xf numFmtId="172" fontId="0" fillId="0" borderId="0" xfId="0" applyNumberFormat="1" applyBorder="1"/>
    <xf numFmtId="172" fontId="3" fillId="4" borderId="3" xfId="0" applyNumberFormat="1" applyFont="1" applyFill="1" applyBorder="1"/>
    <xf numFmtId="164" fontId="5" fillId="3" borderId="0" xfId="0" applyNumberFormat="1" applyFont="1" applyFill="1" applyBorder="1"/>
    <xf numFmtId="170" fontId="0" fillId="0" borderId="0" xfId="0" applyNumberFormat="1" applyBorder="1"/>
    <xf numFmtId="0" fontId="3" fillId="11" borderId="13" xfId="0" applyFont="1" applyFill="1" applyBorder="1"/>
    <xf numFmtId="0" fontId="3" fillId="11" borderId="14" xfId="0" applyFont="1" applyFill="1" applyBorder="1"/>
    <xf numFmtId="0" fontId="3" fillId="11" borderId="15" xfId="0" applyFont="1" applyFill="1" applyBorder="1"/>
    <xf numFmtId="172" fontId="0" fillId="0" borderId="3" xfId="1" applyNumberFormat="1" applyFont="1" applyFill="1" applyBorder="1"/>
    <xf numFmtId="172" fontId="0" fillId="0" borderId="25" xfId="0" applyNumberFormat="1" applyBorder="1"/>
    <xf numFmtId="172" fontId="0" fillId="0" borderId="6" xfId="1" applyNumberFormat="1" applyFont="1" applyFill="1" applyBorder="1"/>
    <xf numFmtId="0" fontId="0" fillId="0" borderId="24" xfId="0" applyFill="1" applyBorder="1"/>
    <xf numFmtId="170" fontId="0" fillId="0" borderId="25" xfId="1" applyNumberFormat="1" applyFont="1" applyFill="1" applyBorder="1"/>
    <xf numFmtId="0" fontId="0" fillId="0" borderId="1" xfId="0" applyBorder="1" applyAlignment="1">
      <alignment horizontal="right"/>
    </xf>
    <xf numFmtId="0" fontId="0" fillId="0" borderId="1" xfId="0" applyFill="1" applyBorder="1" applyAlignment="1">
      <alignment horizontal="right"/>
    </xf>
    <xf numFmtId="0" fontId="0" fillId="0" borderId="5" xfId="0" applyFill="1" applyBorder="1" applyAlignment="1">
      <alignment horizontal="right"/>
    </xf>
    <xf numFmtId="171" fontId="0" fillId="0" borderId="1" xfId="1" applyNumberFormat="1" applyFont="1" applyFill="1" applyBorder="1" applyAlignment="1">
      <alignment horizontal="right"/>
    </xf>
    <xf numFmtId="171" fontId="0" fillId="0" borderId="5" xfId="1" applyNumberFormat="1" applyFont="1" applyFill="1" applyBorder="1" applyAlignment="1">
      <alignment horizontal="right"/>
    </xf>
    <xf numFmtId="171" fontId="0" fillId="0" borderId="25" xfId="1" applyNumberFormat="1" applyFont="1" applyFill="1" applyBorder="1"/>
    <xf numFmtId="171" fontId="0" fillId="0" borderId="6" xfId="1" applyNumberFormat="1" applyFont="1" applyFill="1" applyBorder="1"/>
    <xf numFmtId="1" fontId="3" fillId="4" borderId="3" xfId="0" applyNumberFormat="1" applyFont="1" applyFill="1" applyBorder="1"/>
    <xf numFmtId="0" fontId="6" fillId="0" borderId="2" xfId="0" applyFont="1" applyFill="1" applyBorder="1"/>
    <xf numFmtId="1" fontId="6" fillId="0" borderId="3" xfId="0" applyNumberFormat="1" applyFont="1" applyFill="1" applyBorder="1"/>
    <xf numFmtId="1" fontId="6" fillId="0" borderId="0" xfId="0" applyNumberFormat="1" applyFont="1" applyFill="1" applyBorder="1" applyAlignment="1">
      <alignment horizontal="right"/>
    </xf>
    <xf numFmtId="0" fontId="6" fillId="0" borderId="2" xfId="0" applyFont="1" applyBorder="1"/>
    <xf numFmtId="1" fontId="6" fillId="0" borderId="0" xfId="0" applyNumberFormat="1" applyFont="1" applyBorder="1" applyAlignment="1">
      <alignment horizontal="right"/>
    </xf>
    <xf numFmtId="0" fontId="6" fillId="0" borderId="0" xfId="0" applyFont="1" applyBorder="1" applyAlignment="1">
      <alignment horizontal="right"/>
    </xf>
    <xf numFmtId="0" fontId="6" fillId="5" borderId="2" xfId="0" applyFont="1" applyFill="1" applyBorder="1"/>
    <xf numFmtId="170" fontId="6" fillId="0" borderId="3" xfId="1" applyNumberFormat="1" applyFont="1" applyFill="1" applyBorder="1"/>
    <xf numFmtId="43" fontId="6" fillId="0" borderId="3" xfId="1" applyFont="1" applyFill="1" applyBorder="1"/>
    <xf numFmtId="164" fontId="0" fillId="0" borderId="3" xfId="0" applyNumberFormat="1" applyFill="1" applyBorder="1"/>
    <xf numFmtId="170" fontId="11" fillId="0" borderId="3" xfId="1" applyNumberFormat="1" applyFont="1" applyFill="1" applyBorder="1"/>
    <xf numFmtId="0" fontId="0" fillId="0" borderId="2" xfId="0" applyFont="1" applyFill="1" applyBorder="1"/>
    <xf numFmtId="2" fontId="6" fillId="0" borderId="3" xfId="0" applyNumberFormat="1" applyFont="1" applyFill="1" applyBorder="1" applyAlignment="1">
      <alignment horizontal="right"/>
    </xf>
    <xf numFmtId="1" fontId="6" fillId="0" borderId="3" xfId="0" applyNumberFormat="1" applyFont="1" applyFill="1" applyBorder="1" applyAlignment="1">
      <alignment horizontal="right"/>
    </xf>
    <xf numFmtId="0" fontId="0" fillId="0" borderId="0" xfId="0" applyFont="1" applyFill="1" applyBorder="1" applyAlignment="1">
      <alignment horizontal="right"/>
    </xf>
    <xf numFmtId="0" fontId="7" fillId="3" borderId="3" xfId="0" applyFont="1" applyFill="1" applyBorder="1"/>
    <xf numFmtId="175" fontId="6" fillId="0" borderId="3" xfId="0" applyNumberFormat="1" applyFont="1" applyFill="1" applyBorder="1"/>
    <xf numFmtId="43" fontId="0" fillId="0" borderId="25" xfId="1" applyNumberFormat="1" applyFont="1" applyFill="1" applyBorder="1"/>
    <xf numFmtId="43" fontId="0" fillId="0" borderId="6" xfId="1" applyNumberFormat="1" applyFont="1" applyFill="1" applyBorder="1"/>
    <xf numFmtId="0" fontId="5" fillId="3" borderId="6" xfId="0" applyFont="1" applyFill="1" applyBorder="1"/>
    <xf numFmtId="0" fontId="0" fillId="0" borderId="25" xfId="0" applyBorder="1"/>
    <xf numFmtId="0" fontId="0" fillId="0" borderId="1" xfId="0" applyBorder="1"/>
    <xf numFmtId="0" fontId="3" fillId="10" borderId="24" xfId="0" applyFont="1" applyFill="1" applyBorder="1"/>
    <xf numFmtId="0" fontId="3" fillId="10" borderId="1" xfId="0" applyFont="1" applyFill="1" applyBorder="1"/>
    <xf numFmtId="0" fontId="3" fillId="10" borderId="25" xfId="0" applyFont="1" applyFill="1" applyBorder="1"/>
    <xf numFmtId="164" fontId="12" fillId="5" borderId="3" xfId="0" applyNumberFormat="1" applyFont="1" applyFill="1" applyBorder="1"/>
    <xf numFmtId="1" fontId="3" fillId="10" borderId="14" xfId="0" applyNumberFormat="1" applyFont="1" applyFill="1" applyBorder="1"/>
    <xf numFmtId="164" fontId="3" fillId="10" borderId="15" xfId="0" applyNumberFormat="1" applyFont="1" applyFill="1" applyBorder="1"/>
    <xf numFmtId="171" fontId="0" fillId="0" borderId="5" xfId="1" applyNumberFormat="1" applyFont="1" applyBorder="1"/>
    <xf numFmtId="164" fontId="10" fillId="3" borderId="3" xfId="2" applyNumberFormat="1" applyFill="1" applyBorder="1" applyAlignment="1" applyProtection="1"/>
    <xf numFmtId="0" fontId="10" fillId="3" borderId="3" xfId="2" applyFill="1" applyBorder="1" applyAlignment="1" applyProtection="1"/>
    <xf numFmtId="170" fontId="10" fillId="3" borderId="3" xfId="2" applyNumberFormat="1" applyFill="1" applyBorder="1" applyAlignment="1" applyProtection="1"/>
    <xf numFmtId="170" fontId="5" fillId="3" borderId="3" xfId="1" applyNumberFormat="1" applyFont="1" applyFill="1" applyBorder="1"/>
    <xf numFmtId="166" fontId="1" fillId="0" borderId="3" xfId="0" applyNumberFormat="1" applyFont="1" applyFill="1" applyBorder="1"/>
    <xf numFmtId="169" fontId="1" fillId="0" borderId="3" xfId="0" applyNumberFormat="1" applyFont="1" applyFill="1" applyBorder="1"/>
    <xf numFmtId="175" fontId="1" fillId="0" borderId="3" xfId="0" applyNumberFormat="1" applyFont="1" applyFill="1" applyBorder="1"/>
    <xf numFmtId="0" fontId="3" fillId="3" borderId="0" xfId="0" applyFont="1" applyFill="1" applyBorder="1" applyAlignment="1">
      <alignment horizontal="right"/>
    </xf>
    <xf numFmtId="0" fontId="1" fillId="0" borderId="0" xfId="0" applyFont="1" applyFill="1"/>
    <xf numFmtId="0" fontId="13" fillId="3" borderId="3" xfId="0" applyFont="1" applyFill="1" applyBorder="1"/>
    <xf numFmtId="0" fontId="6" fillId="12" borderId="2" xfId="0" applyFont="1" applyFill="1" applyBorder="1"/>
    <xf numFmtId="0" fontId="17" fillId="3" borderId="3" xfId="0" applyFont="1" applyFill="1" applyBorder="1"/>
    <xf numFmtId="174" fontId="1" fillId="0" borderId="3" xfId="0" applyNumberFormat="1" applyFont="1" applyFill="1" applyBorder="1"/>
    <xf numFmtId="175" fontId="1" fillId="0" borderId="0" xfId="0" applyNumberFormat="1" applyFont="1" applyFill="1" applyBorder="1"/>
    <xf numFmtId="0" fontId="6" fillId="12" borderId="29" xfId="0" applyFont="1" applyFill="1" applyBorder="1"/>
    <xf numFmtId="0" fontId="10" fillId="3" borderId="30" xfId="2" applyFill="1" applyBorder="1" applyAlignment="1" applyProtection="1"/>
    <xf numFmtId="0" fontId="5" fillId="3" borderId="30" xfId="0" applyFont="1" applyFill="1" applyBorder="1"/>
    <xf numFmtId="0" fontId="13" fillId="3" borderId="30" xfId="0" applyFont="1" applyFill="1" applyBorder="1"/>
    <xf numFmtId="1" fontId="5" fillId="3" borderId="30" xfId="0" applyNumberFormat="1" applyFont="1" applyFill="1" applyBorder="1"/>
    <xf numFmtId="166" fontId="1" fillId="0" borderId="30" xfId="0" applyNumberFormat="1" applyFont="1" applyFill="1" applyBorder="1"/>
    <xf numFmtId="0" fontId="17" fillId="3" borderId="30" xfId="0" applyFont="1" applyFill="1" applyBorder="1"/>
    <xf numFmtId="169" fontId="1" fillId="0" borderId="30" xfId="0" applyNumberFormat="1" applyFont="1" applyFill="1" applyBorder="1"/>
    <xf numFmtId="175" fontId="1" fillId="0" borderId="30" xfId="0" applyNumberFormat="1" applyFont="1" applyFill="1" applyBorder="1"/>
    <xf numFmtId="174" fontId="1" fillId="0" borderId="30" xfId="0" applyNumberFormat="1" applyFont="1" applyFill="1" applyBorder="1"/>
    <xf numFmtId="0" fontId="5" fillId="3" borderId="31" xfId="0" applyFont="1" applyFill="1" applyBorder="1"/>
    <xf numFmtId="170" fontId="0" fillId="0" borderId="3" xfId="0" applyNumberFormat="1" applyBorder="1"/>
    <xf numFmtId="170" fontId="0" fillId="0" borderId="30" xfId="0" applyNumberFormat="1" applyBorder="1"/>
    <xf numFmtId="0" fontId="19" fillId="0" borderId="32" xfId="0" applyFont="1" applyFill="1" applyBorder="1"/>
    <xf numFmtId="0" fontId="20" fillId="3" borderId="0" xfId="0" applyFont="1" applyFill="1" applyBorder="1" applyAlignment="1">
      <alignment horizontal="right"/>
    </xf>
    <xf numFmtId="0" fontId="19" fillId="3" borderId="0" xfId="0" applyFont="1" applyFill="1" applyBorder="1"/>
    <xf numFmtId="0" fontId="19" fillId="0" borderId="0" xfId="0" applyFont="1" applyBorder="1"/>
    <xf numFmtId="0" fontId="19" fillId="0" borderId="0" xfId="0" applyFont="1" applyBorder="1" applyAlignment="1">
      <alignment horizontal="right"/>
    </xf>
    <xf numFmtId="1" fontId="19" fillId="0" borderId="0" xfId="0" applyNumberFormat="1" applyFont="1" applyBorder="1" applyAlignment="1">
      <alignment horizontal="right"/>
    </xf>
    <xf numFmtId="1" fontId="19" fillId="0" borderId="0" xfId="0" applyNumberFormat="1" applyFont="1" applyFill="1" applyBorder="1" applyAlignment="1">
      <alignment horizontal="right"/>
    </xf>
    <xf numFmtId="0" fontId="19" fillId="0" borderId="0" xfId="0" applyFont="1" applyFill="1" applyBorder="1" applyAlignment="1">
      <alignment horizontal="right"/>
    </xf>
    <xf numFmtId="0" fontId="19" fillId="0" borderId="32" xfId="0" applyFont="1" applyBorder="1"/>
    <xf numFmtId="0" fontId="19" fillId="0" borderId="33" xfId="0" applyFont="1" applyFill="1" applyBorder="1"/>
    <xf numFmtId="0" fontId="19" fillId="0" borderId="34" xfId="0" applyFont="1" applyBorder="1" applyAlignment="1">
      <alignment horizontal="right"/>
    </xf>
    <xf numFmtId="0" fontId="19" fillId="0" borderId="2" xfId="0" applyFont="1" applyFill="1" applyBorder="1"/>
    <xf numFmtId="0" fontId="19" fillId="0" borderId="2" xfId="0" applyFont="1" applyBorder="1"/>
    <xf numFmtId="0" fontId="19" fillId="0" borderId="4" xfId="0" applyFont="1" applyFill="1" applyBorder="1"/>
    <xf numFmtId="0" fontId="19" fillId="0" borderId="5" xfId="0" applyFont="1" applyBorder="1" applyAlignment="1">
      <alignment horizontal="right"/>
    </xf>
    <xf numFmtId="1" fontId="6" fillId="12" borderId="35" xfId="0" applyNumberFormat="1" applyFont="1" applyFill="1" applyBorder="1" applyAlignment="1">
      <alignment horizontal="right"/>
    </xf>
    <xf numFmtId="164" fontId="6" fillId="12" borderId="36" xfId="0" applyNumberFormat="1" applyFont="1" applyFill="1" applyBorder="1"/>
    <xf numFmtId="1" fontId="6" fillId="12" borderId="0" xfId="0" applyNumberFormat="1" applyFont="1" applyFill="1" applyBorder="1" applyAlignment="1">
      <alignment horizontal="right"/>
    </xf>
    <xf numFmtId="164" fontId="6" fillId="12" borderId="3" xfId="0" applyNumberFormat="1" applyFont="1" applyFill="1" applyBorder="1"/>
    <xf numFmtId="0" fontId="5" fillId="3" borderId="3" xfId="0" applyFont="1" applyFill="1" applyBorder="1" applyAlignment="1">
      <alignment horizontal="right"/>
    </xf>
    <xf numFmtId="43" fontId="0" fillId="0" borderId="0" xfId="0" applyNumberFormat="1"/>
    <xf numFmtId="0" fontId="0" fillId="13" borderId="0" xfId="0" applyFill="1"/>
    <xf numFmtId="0" fontId="6" fillId="0" borderId="5" xfId="0" applyFont="1" applyFill="1" applyBorder="1"/>
    <xf numFmtId="43" fontId="0" fillId="0" borderId="0" xfId="0" applyNumberFormat="1" applyBorder="1"/>
    <xf numFmtId="0" fontId="6" fillId="0" borderId="0" xfId="0" applyFont="1"/>
    <xf numFmtId="0" fontId="6" fillId="14" borderId="2" xfId="0" applyFont="1" applyFill="1" applyBorder="1"/>
    <xf numFmtId="0" fontId="0" fillId="15" borderId="0" xfId="0" applyFill="1"/>
    <xf numFmtId="0" fontId="0" fillId="15" borderId="24" xfId="0" applyFill="1" applyBorder="1"/>
    <xf numFmtId="0" fontId="4" fillId="15" borderId="1" xfId="0" applyFont="1" applyFill="1" applyBorder="1"/>
    <xf numFmtId="0" fontId="0" fillId="15" borderId="25" xfId="0" applyFill="1" applyBorder="1"/>
    <xf numFmtId="22" fontId="4" fillId="15" borderId="24" xfId="0" applyNumberFormat="1" applyFont="1" applyFill="1" applyBorder="1" applyAlignment="1">
      <alignment horizontal="center"/>
    </xf>
    <xf numFmtId="0" fontId="0" fillId="15" borderId="1" xfId="0" applyFill="1" applyBorder="1"/>
    <xf numFmtId="0" fontId="0" fillId="15" borderId="2" xfId="0" applyFill="1" applyBorder="1"/>
    <xf numFmtId="0" fontId="3" fillId="15" borderId="0" xfId="0" applyFont="1" applyFill="1" applyBorder="1"/>
    <xf numFmtId="0" fontId="3" fillId="15" borderId="3" xfId="0" applyFont="1" applyFill="1" applyBorder="1" applyAlignment="1">
      <alignment horizontal="center"/>
    </xf>
    <xf numFmtId="0" fontId="3" fillId="15" borderId="0" xfId="0" applyFont="1" applyFill="1" applyAlignment="1">
      <alignment horizontal="center"/>
    </xf>
    <xf numFmtId="0" fontId="3" fillId="15" borderId="2" xfId="0" applyFont="1" applyFill="1" applyBorder="1" applyAlignment="1">
      <alignment horizontal="center"/>
    </xf>
    <xf numFmtId="0" fontId="3" fillId="15" borderId="0" xfId="0" applyFont="1" applyFill="1" applyBorder="1" applyAlignment="1">
      <alignment horizontal="center"/>
    </xf>
    <xf numFmtId="0" fontId="6" fillId="15" borderId="0" xfId="0" applyFont="1" applyFill="1" applyBorder="1" applyAlignment="1">
      <alignment horizontal="center"/>
    </xf>
    <xf numFmtId="0" fontId="0" fillId="15" borderId="3" xfId="0" applyFill="1" applyBorder="1" applyAlignment="1">
      <alignment horizontal="center"/>
    </xf>
    <xf numFmtId="0" fontId="0" fillId="15" borderId="0" xfId="0" applyFill="1" applyAlignment="1">
      <alignment horizontal="center"/>
    </xf>
    <xf numFmtId="167" fontId="0" fillId="15" borderId="2" xfId="0" applyNumberFormat="1" applyFill="1" applyBorder="1" applyAlignment="1">
      <alignment horizontal="center"/>
    </xf>
    <xf numFmtId="166" fontId="0" fillId="15" borderId="0" xfId="0" applyNumberFormat="1" applyFill="1" applyBorder="1" applyAlignment="1">
      <alignment horizontal="center"/>
    </xf>
    <xf numFmtId="2" fontId="0" fillId="15" borderId="3" xfId="0" applyNumberFormat="1" applyFill="1" applyBorder="1" applyAlignment="1">
      <alignment horizontal="center"/>
    </xf>
    <xf numFmtId="166" fontId="0" fillId="15" borderId="2" xfId="0" applyNumberFormat="1" applyFill="1" applyBorder="1" applyAlignment="1">
      <alignment horizontal="center"/>
    </xf>
    <xf numFmtId="168" fontId="0" fillId="15" borderId="0" xfId="0" applyNumberFormat="1" applyFill="1" applyBorder="1" applyAlignment="1">
      <alignment horizontal="center"/>
    </xf>
    <xf numFmtId="1" fontId="0" fillId="15" borderId="3" xfId="0" applyNumberFormat="1" applyFill="1" applyBorder="1" applyAlignment="1">
      <alignment horizontal="center"/>
    </xf>
    <xf numFmtId="0" fontId="0" fillId="15" borderId="3" xfId="0" applyFill="1" applyBorder="1"/>
    <xf numFmtId="0" fontId="0" fillId="15" borderId="4" xfId="0" applyFill="1" applyBorder="1"/>
    <xf numFmtId="166" fontId="0" fillId="15" borderId="5" xfId="0" applyNumberFormat="1" applyFill="1" applyBorder="1"/>
    <xf numFmtId="0" fontId="0" fillId="15" borderId="6" xfId="0" applyFill="1" applyBorder="1"/>
    <xf numFmtId="0" fontId="0" fillId="15" borderId="4" xfId="0" applyFill="1" applyBorder="1" applyAlignment="1">
      <alignment horizontal="center"/>
    </xf>
    <xf numFmtId="0" fontId="0" fillId="15" borderId="5" xfId="0" applyFill="1" applyBorder="1" applyAlignment="1">
      <alignment horizontal="center"/>
    </xf>
    <xf numFmtId="0" fontId="0" fillId="15" borderId="6" xfId="0" applyFill="1" applyBorder="1" applyAlignment="1">
      <alignment horizontal="center"/>
    </xf>
    <xf numFmtId="166" fontId="0" fillId="15" borderId="4" xfId="0" applyNumberFormat="1" applyFill="1" applyBorder="1" applyAlignment="1">
      <alignment horizontal="center"/>
    </xf>
    <xf numFmtId="164" fontId="0" fillId="15" borderId="5" xfId="0" applyNumberFormat="1" applyFill="1" applyBorder="1" applyAlignment="1">
      <alignment horizontal="center"/>
    </xf>
    <xf numFmtId="0" fontId="5" fillId="15" borderId="1" xfId="0" applyFont="1" applyFill="1" applyBorder="1"/>
    <xf numFmtId="0" fontId="0" fillId="15" borderId="5" xfId="0" applyFill="1" applyBorder="1"/>
    <xf numFmtId="0" fontId="5" fillId="15" borderId="6" xfId="0" applyFont="1" applyFill="1" applyBorder="1"/>
    <xf numFmtId="0" fontId="4" fillId="15" borderId="13" xfId="0" applyFont="1" applyFill="1" applyBorder="1"/>
    <xf numFmtId="0" fontId="3" fillId="15" borderId="14" xfId="0" applyFont="1" applyFill="1" applyBorder="1"/>
    <xf numFmtId="0" fontId="0" fillId="15" borderId="14" xfId="0" applyFill="1" applyBorder="1"/>
    <xf numFmtId="0" fontId="3" fillId="15" borderId="15" xfId="0" applyFont="1" applyFill="1" applyBorder="1"/>
    <xf numFmtId="0" fontId="3" fillId="15" borderId="13" xfId="0" applyFont="1" applyFill="1" applyBorder="1"/>
    <xf numFmtId="0" fontId="3" fillId="15" borderId="2" xfId="0" applyFont="1" applyFill="1" applyBorder="1"/>
    <xf numFmtId="0" fontId="0" fillId="15" borderId="0" xfId="0" applyFill="1" applyBorder="1"/>
    <xf numFmtId="0" fontId="3" fillId="15" borderId="3" xfId="0" applyFont="1" applyFill="1" applyBorder="1"/>
    <xf numFmtId="0" fontId="5" fillId="15" borderId="3" xfId="0" applyFont="1" applyFill="1" applyBorder="1"/>
    <xf numFmtId="164" fontId="5" fillId="15" borderId="0" xfId="0" applyNumberFormat="1" applyFont="1" applyFill="1" applyBorder="1"/>
    <xf numFmtId="164" fontId="3" fillId="15" borderId="18" xfId="0" applyNumberFormat="1" applyFont="1" applyFill="1" applyBorder="1"/>
    <xf numFmtId="1" fontId="0" fillId="15" borderId="0" xfId="0" applyNumberFormat="1" applyFill="1" applyBorder="1"/>
    <xf numFmtId="164" fontId="3" fillId="15" borderId="22" xfId="0" applyNumberFormat="1" applyFont="1" applyFill="1" applyBorder="1"/>
    <xf numFmtId="164" fontId="3" fillId="15" borderId="19" xfId="0" applyNumberFormat="1" applyFont="1" applyFill="1" applyBorder="1"/>
    <xf numFmtId="1" fontId="5" fillId="15" borderId="0" xfId="0" applyNumberFormat="1" applyFont="1" applyFill="1" applyBorder="1"/>
    <xf numFmtId="164" fontId="3" fillId="15" borderId="26" xfId="0" applyNumberFormat="1" applyFont="1" applyFill="1" applyBorder="1"/>
    <xf numFmtId="165" fontId="1" fillId="15" borderId="0" xfId="0" applyNumberFormat="1" applyFont="1" applyFill="1" applyBorder="1"/>
    <xf numFmtId="165" fontId="1" fillId="15" borderId="22" xfId="0" applyNumberFormat="1" applyFont="1" applyFill="1" applyBorder="1"/>
    <xf numFmtId="164" fontId="3" fillId="15" borderId="20" xfId="0" applyNumberFormat="1" applyFont="1" applyFill="1" applyBorder="1"/>
    <xf numFmtId="164" fontId="3" fillId="15" borderId="23" xfId="0" applyNumberFormat="1" applyFont="1" applyFill="1" applyBorder="1"/>
    <xf numFmtId="0" fontId="5" fillId="15" borderId="0" xfId="0" applyFont="1" applyFill="1" applyBorder="1"/>
    <xf numFmtId="0" fontId="0" fillId="15" borderId="23" xfId="0" applyFill="1" applyBorder="1"/>
    <xf numFmtId="164" fontId="0" fillId="15" borderId="0" xfId="0" applyNumberFormat="1" applyFill="1" applyBorder="1"/>
    <xf numFmtId="164" fontId="0" fillId="15" borderId="3" xfId="0" applyNumberFormat="1" applyFill="1" applyBorder="1"/>
    <xf numFmtId="172" fontId="1" fillId="15" borderId="0" xfId="0" applyNumberFormat="1" applyFont="1" applyFill="1" applyBorder="1"/>
    <xf numFmtId="172" fontId="6" fillId="15" borderId="22" xfId="0" applyNumberFormat="1" applyFont="1" applyFill="1" applyBorder="1"/>
    <xf numFmtId="11" fontId="5" fillId="15" borderId="0" xfId="0" applyNumberFormat="1" applyFont="1" applyFill="1" applyBorder="1"/>
    <xf numFmtId="11" fontId="0" fillId="15" borderId="23" xfId="0" applyNumberFormat="1" applyFill="1" applyBorder="1"/>
    <xf numFmtId="11" fontId="3" fillId="15" borderId="0" xfId="1" applyNumberFormat="1" applyFont="1" applyFill="1" applyBorder="1"/>
    <xf numFmtId="11" fontId="0" fillId="15" borderId="3" xfId="1" applyNumberFormat="1" applyFont="1" applyFill="1" applyBorder="1"/>
    <xf numFmtId="164" fontId="3" fillId="15" borderId="3" xfId="0" applyNumberFormat="1" applyFont="1" applyFill="1" applyBorder="1"/>
    <xf numFmtId="11" fontId="0" fillId="15" borderId="0" xfId="1" applyNumberFormat="1" applyFont="1" applyFill="1" applyBorder="1"/>
    <xf numFmtId="0" fontId="0" fillId="15" borderId="2" xfId="0" applyFill="1" applyBorder="1" applyAlignment="1">
      <alignment horizontal="left" indent="1"/>
    </xf>
    <xf numFmtId="11" fontId="0" fillId="15" borderId="0" xfId="0" applyNumberFormat="1" applyFill="1" applyBorder="1"/>
    <xf numFmtId="11" fontId="0" fillId="15" borderId="3" xfId="0" applyNumberFormat="1" applyFill="1" applyBorder="1"/>
    <xf numFmtId="166" fontId="0" fillId="15" borderId="3" xfId="0" applyNumberFormat="1" applyFill="1" applyBorder="1"/>
    <xf numFmtId="166" fontId="6" fillId="15" borderId="3" xfId="0" applyNumberFormat="1" applyFont="1" applyFill="1" applyBorder="1"/>
    <xf numFmtId="0" fontId="6" fillId="15" borderId="0" xfId="0" applyFont="1" applyFill="1" applyBorder="1"/>
    <xf numFmtId="170" fontId="0" fillId="15" borderId="0" xfId="0" applyNumberFormat="1" applyFill="1" applyBorder="1"/>
    <xf numFmtId="170" fontId="0" fillId="15" borderId="3" xfId="0" applyNumberFormat="1" applyFill="1" applyBorder="1"/>
    <xf numFmtId="170" fontId="1" fillId="15" borderId="0" xfId="0" applyNumberFormat="1" applyFont="1" applyFill="1" applyBorder="1"/>
    <xf numFmtId="170" fontId="3" fillId="15" borderId="22" xfId="0" applyNumberFormat="1" applyFont="1" applyFill="1" applyBorder="1"/>
    <xf numFmtId="164" fontId="0" fillId="15" borderId="23" xfId="0" applyNumberFormat="1" applyFill="1" applyBorder="1"/>
    <xf numFmtId="43" fontId="0" fillId="15" borderId="0" xfId="1" applyFont="1" applyFill="1" applyBorder="1"/>
    <xf numFmtId="43" fontId="0" fillId="15" borderId="3" xfId="1" applyFont="1" applyFill="1" applyBorder="1"/>
    <xf numFmtId="11" fontId="0" fillId="15" borderId="5" xfId="0" applyNumberFormat="1" applyFill="1" applyBorder="1"/>
    <xf numFmtId="11" fontId="0" fillId="15" borderId="6" xfId="0" applyNumberFormat="1" applyFill="1" applyBorder="1"/>
    <xf numFmtId="0" fontId="5" fillId="15" borderId="14" xfId="0" applyFont="1" applyFill="1" applyBorder="1"/>
    <xf numFmtId="1" fontId="3" fillId="15" borderId="14" xfId="0" applyNumberFormat="1" applyFont="1" applyFill="1" applyBorder="1"/>
    <xf numFmtId="164" fontId="3" fillId="15" borderId="15" xfId="0" applyNumberFormat="1" applyFont="1" applyFill="1" applyBorder="1"/>
    <xf numFmtId="164" fontId="5" fillId="15" borderId="3" xfId="0" applyNumberFormat="1" applyFont="1" applyFill="1" applyBorder="1"/>
    <xf numFmtId="2" fontId="0" fillId="15" borderId="3" xfId="0" applyNumberFormat="1" applyFill="1" applyBorder="1"/>
    <xf numFmtId="1" fontId="0" fillId="15" borderId="3" xfId="0" applyNumberFormat="1" applyFill="1" applyBorder="1"/>
    <xf numFmtId="1" fontId="3" fillId="15" borderId="21" xfId="0" applyNumberFormat="1" applyFont="1" applyFill="1" applyBorder="1"/>
    <xf numFmtId="1" fontId="0" fillId="15" borderId="0" xfId="0" applyNumberFormat="1" applyFill="1" applyBorder="1" applyAlignment="1">
      <alignment horizontal="right"/>
    </xf>
    <xf numFmtId="2" fontId="3" fillId="15" borderId="21" xfId="0" applyNumberFormat="1" applyFont="1" applyFill="1" applyBorder="1"/>
    <xf numFmtId="0" fontId="0" fillId="15" borderId="0" xfId="0" applyFill="1" applyBorder="1" applyAlignment="1">
      <alignment horizontal="right"/>
    </xf>
    <xf numFmtId="172" fontId="0" fillId="15" borderId="3" xfId="1" applyNumberFormat="1" applyFont="1" applyFill="1" applyBorder="1"/>
    <xf numFmtId="0" fontId="0" fillId="15" borderId="5" xfId="0" applyFill="1" applyBorder="1" applyAlignment="1">
      <alignment horizontal="right"/>
    </xf>
    <xf numFmtId="171" fontId="0" fillId="15" borderId="6" xfId="1" applyNumberFormat="1" applyFont="1" applyFill="1" applyBorder="1"/>
    <xf numFmtId="0" fontId="5" fillId="15" borderId="22" xfId="0" applyFont="1" applyFill="1" applyBorder="1"/>
    <xf numFmtId="0" fontId="5" fillId="15" borderId="23" xfId="0" applyFont="1" applyFill="1" applyBorder="1"/>
    <xf numFmtId="164" fontId="1" fillId="15" borderId="3" xfId="0" applyNumberFormat="1" applyFont="1" applyFill="1" applyBorder="1"/>
    <xf numFmtId="1" fontId="5" fillId="15" borderId="3" xfId="0" applyNumberFormat="1" applyFont="1" applyFill="1" applyBorder="1"/>
    <xf numFmtId="1" fontId="1" fillId="15" borderId="3" xfId="0" applyNumberFormat="1" applyFont="1" applyFill="1" applyBorder="1"/>
    <xf numFmtId="0" fontId="4" fillId="15" borderId="2" xfId="0" applyFont="1" applyFill="1" applyBorder="1"/>
    <xf numFmtId="0" fontId="1" fillId="15" borderId="3" xfId="0" applyFont="1" applyFill="1" applyBorder="1"/>
    <xf numFmtId="171" fontId="0" fillId="15" borderId="3" xfId="0" applyNumberFormat="1" applyFill="1" applyBorder="1"/>
    <xf numFmtId="171" fontId="3" fillId="15" borderId="3" xfId="0" applyNumberFormat="1" applyFont="1" applyFill="1" applyBorder="1"/>
    <xf numFmtId="43" fontId="3" fillId="15" borderId="3" xfId="0" applyNumberFormat="1" applyFont="1" applyFill="1" applyBorder="1"/>
    <xf numFmtId="1" fontId="3" fillId="15" borderId="3" xfId="0" applyNumberFormat="1" applyFont="1" applyFill="1" applyBorder="1"/>
    <xf numFmtId="0" fontId="6" fillId="15" borderId="2" xfId="0" applyFont="1" applyFill="1" applyBorder="1"/>
    <xf numFmtId="2" fontId="1" fillId="15" borderId="3" xfId="0" applyNumberFormat="1" applyFont="1" applyFill="1" applyBorder="1"/>
    <xf numFmtId="0" fontId="6" fillId="15" borderId="0" xfId="0" applyFont="1" applyFill="1" applyBorder="1" applyAlignment="1">
      <alignment horizontal="right"/>
    </xf>
    <xf numFmtId="169" fontId="0" fillId="15" borderId="3" xfId="0" applyNumberFormat="1" applyFill="1" applyBorder="1"/>
    <xf numFmtId="165" fontId="0" fillId="15" borderId="3" xfId="0" applyNumberFormat="1" applyFill="1" applyBorder="1"/>
    <xf numFmtId="2" fontId="6" fillId="15" borderId="3" xfId="0" applyNumberFormat="1" applyFont="1" applyFill="1" applyBorder="1"/>
    <xf numFmtId="1" fontId="6" fillId="15" borderId="0" xfId="0" applyNumberFormat="1" applyFont="1" applyFill="1" applyBorder="1" applyAlignment="1">
      <alignment horizontal="right"/>
    </xf>
    <xf numFmtId="1" fontId="6" fillId="15" borderId="3" xfId="0" applyNumberFormat="1" applyFont="1" applyFill="1" applyBorder="1"/>
    <xf numFmtId="0" fontId="6" fillId="15" borderId="4" xfId="0" applyFont="1" applyFill="1" applyBorder="1"/>
    <xf numFmtId="0" fontId="6" fillId="15" borderId="5" xfId="0" applyFont="1" applyFill="1" applyBorder="1" applyAlignment="1">
      <alignment horizontal="right"/>
    </xf>
    <xf numFmtId="1" fontId="6" fillId="15" borderId="6" xfId="0" applyNumberFormat="1" applyFont="1" applyFill="1" applyBorder="1"/>
    <xf numFmtId="171" fontId="0" fillId="15" borderId="0" xfId="1" applyNumberFormat="1" applyFont="1" applyFill="1" applyBorder="1"/>
    <xf numFmtId="170" fontId="0" fillId="15" borderId="0" xfId="1" applyNumberFormat="1" applyFont="1" applyFill="1" applyBorder="1"/>
    <xf numFmtId="0" fontId="3" fillId="15" borderId="24" xfId="0" applyFont="1" applyFill="1" applyBorder="1"/>
    <xf numFmtId="0" fontId="3" fillId="15" borderId="1" xfId="0" applyFont="1" applyFill="1" applyBorder="1"/>
    <xf numFmtId="0" fontId="3" fillId="15" borderId="25" xfId="0" applyFont="1" applyFill="1" applyBorder="1"/>
    <xf numFmtId="0" fontId="6" fillId="15" borderId="24" xfId="0" applyFont="1" applyFill="1" applyBorder="1"/>
    <xf numFmtId="1" fontId="0" fillId="15" borderId="1" xfId="0" applyNumberFormat="1" applyFill="1" applyBorder="1" applyAlignment="1">
      <alignment horizontal="right"/>
    </xf>
    <xf numFmtId="164" fontId="5" fillId="15" borderId="25" xfId="0" applyNumberFormat="1" applyFont="1" applyFill="1" applyBorder="1"/>
    <xf numFmtId="0" fontId="5" fillId="15" borderId="3" xfId="0" applyFont="1" applyFill="1" applyBorder="1" applyAlignment="1">
      <alignment horizontal="left"/>
    </xf>
    <xf numFmtId="0" fontId="1" fillId="15" borderId="0" xfId="0" applyFont="1" applyFill="1" applyBorder="1" applyAlignment="1">
      <alignment horizontal="right"/>
    </xf>
    <xf numFmtId="0" fontId="5" fillId="15" borderId="3" xfId="0" applyFont="1" applyFill="1" applyBorder="1" applyAlignment="1">
      <alignment horizontal="right"/>
    </xf>
    <xf numFmtId="171" fontId="0" fillId="15" borderId="3" xfId="1" applyNumberFormat="1" applyFont="1" applyFill="1" applyBorder="1"/>
    <xf numFmtId="0" fontId="0" fillId="15" borderId="0" xfId="0" applyFill="1" applyBorder="1" applyAlignment="1">
      <alignment horizontal="left"/>
    </xf>
    <xf numFmtId="170" fontId="0" fillId="15" borderId="3" xfId="1" applyNumberFormat="1" applyFont="1" applyFill="1" applyBorder="1"/>
    <xf numFmtId="164" fontId="12" fillId="15" borderId="3" xfId="0" applyNumberFormat="1" applyFont="1" applyFill="1" applyBorder="1"/>
    <xf numFmtId="171" fontId="5" fillId="15" borderId="3" xfId="0" applyNumberFormat="1" applyFont="1" applyFill="1" applyBorder="1"/>
    <xf numFmtId="172" fontId="1" fillId="15" borderId="3" xfId="1" applyNumberFormat="1" applyFont="1" applyFill="1" applyBorder="1"/>
    <xf numFmtId="166" fontId="1" fillId="15" borderId="3" xfId="0" applyNumberFormat="1" applyFont="1" applyFill="1" applyBorder="1"/>
    <xf numFmtId="176" fontId="0" fillId="15" borderId="3" xfId="0" applyNumberFormat="1" applyFill="1" applyBorder="1"/>
    <xf numFmtId="171" fontId="6" fillId="15" borderId="3" xfId="1" applyNumberFormat="1" applyFont="1" applyFill="1" applyBorder="1"/>
    <xf numFmtId="11" fontId="6" fillId="15" borderId="3" xfId="1" applyNumberFormat="1" applyFont="1" applyFill="1" applyBorder="1"/>
    <xf numFmtId="171" fontId="3" fillId="15" borderId="3" xfId="1" applyNumberFormat="1" applyFont="1" applyFill="1" applyBorder="1"/>
    <xf numFmtId="169" fontId="3" fillId="15" borderId="3" xfId="1" applyNumberFormat="1" applyFont="1" applyFill="1" applyBorder="1"/>
    <xf numFmtId="172" fontId="1" fillId="15" borderId="3" xfId="0" applyNumberFormat="1" applyFont="1" applyFill="1" applyBorder="1"/>
    <xf numFmtId="171" fontId="1" fillId="15" borderId="3" xfId="1" applyNumberFormat="1" applyFont="1" applyFill="1" applyBorder="1"/>
    <xf numFmtId="166" fontId="12" fillId="15" borderId="3" xfId="0" applyNumberFormat="1" applyFont="1" applyFill="1" applyBorder="1"/>
    <xf numFmtId="0" fontId="3" fillId="15" borderId="0" xfId="0" applyFont="1" applyFill="1" applyBorder="1" applyAlignment="1">
      <alignment horizontal="right"/>
    </xf>
    <xf numFmtId="172" fontId="3" fillId="15" borderId="3" xfId="1" applyNumberFormat="1" applyFont="1" applyFill="1" applyBorder="1"/>
    <xf numFmtId="171" fontId="1" fillId="15" borderId="3" xfId="0" applyNumberFormat="1" applyFont="1" applyFill="1" applyBorder="1"/>
    <xf numFmtId="170" fontId="3" fillId="15" borderId="3" xfId="1" applyNumberFormat="1" applyFont="1" applyFill="1" applyBorder="1"/>
    <xf numFmtId="172" fontId="6" fillId="15" borderId="3" xfId="1" applyNumberFormat="1" applyFont="1" applyFill="1" applyBorder="1"/>
    <xf numFmtId="169" fontId="5" fillId="15" borderId="3" xfId="0" applyNumberFormat="1" applyFont="1" applyFill="1" applyBorder="1"/>
    <xf numFmtId="169" fontId="12" fillId="15" borderId="3" xfId="0" applyNumberFormat="1" applyFont="1" applyFill="1" applyBorder="1"/>
    <xf numFmtId="166" fontId="3" fillId="15" borderId="3" xfId="0" applyNumberFormat="1" applyFont="1" applyFill="1" applyBorder="1"/>
    <xf numFmtId="43" fontId="0" fillId="15" borderId="3" xfId="0" applyNumberFormat="1" applyFill="1" applyBorder="1"/>
    <xf numFmtId="166" fontId="18" fillId="15" borderId="3" xfId="0" applyNumberFormat="1" applyFont="1" applyFill="1" applyBorder="1"/>
    <xf numFmtId="166" fontId="5" fillId="15" borderId="3" xfId="0" applyNumberFormat="1" applyFont="1" applyFill="1" applyBorder="1"/>
    <xf numFmtId="0" fontId="3" fillId="15" borderId="2" xfId="0" applyFont="1" applyFill="1" applyBorder="1" applyAlignment="1">
      <alignment horizontal="left"/>
    </xf>
    <xf numFmtId="169" fontId="3" fillId="15" borderId="3" xfId="0" applyNumberFormat="1" applyFont="1" applyFill="1" applyBorder="1"/>
    <xf numFmtId="169" fontId="12" fillId="15" borderId="3" xfId="1" applyNumberFormat="1" applyFont="1" applyFill="1" applyBorder="1"/>
    <xf numFmtId="0" fontId="12" fillId="15" borderId="3" xfId="0" applyFont="1" applyFill="1" applyBorder="1"/>
    <xf numFmtId="43" fontId="1" fillId="15" borderId="3" xfId="0" applyNumberFormat="1" applyFont="1" applyFill="1" applyBorder="1"/>
    <xf numFmtId="0" fontId="4" fillId="15" borderId="2" xfId="0" applyFont="1" applyFill="1" applyBorder="1" applyAlignment="1">
      <alignment horizontal="left"/>
    </xf>
    <xf numFmtId="171" fontId="6" fillId="15" borderId="3" xfId="0" applyNumberFormat="1" applyFont="1" applyFill="1" applyBorder="1"/>
    <xf numFmtId="171" fontId="15" fillId="15" borderId="3" xfId="0" applyNumberFormat="1" applyFont="1" applyFill="1" applyBorder="1"/>
    <xf numFmtId="169" fontId="1" fillId="15" borderId="3" xfId="0" applyNumberFormat="1" applyFont="1" applyFill="1" applyBorder="1"/>
    <xf numFmtId="1" fontId="15" fillId="15" borderId="3" xfId="0" applyNumberFormat="1" applyFont="1" applyFill="1" applyBorder="1"/>
    <xf numFmtId="0" fontId="0" fillId="15" borderId="2" xfId="0" applyFill="1" applyBorder="1" applyAlignment="1">
      <alignment horizontal="left"/>
    </xf>
    <xf numFmtId="0" fontId="6" fillId="15" borderId="37" xfId="0" applyFont="1" applyFill="1" applyBorder="1"/>
    <xf numFmtId="0" fontId="0" fillId="15" borderId="28" xfId="0" applyFill="1" applyBorder="1" applyAlignment="1">
      <alignment horizontal="right"/>
    </xf>
    <xf numFmtId="1" fontId="6" fillId="15" borderId="38" xfId="0" applyNumberFormat="1" applyFont="1" applyFill="1" applyBorder="1"/>
    <xf numFmtId="171" fontId="14" fillId="15" borderId="3" xfId="0" applyNumberFormat="1" applyFont="1" applyFill="1" applyBorder="1"/>
    <xf numFmtId="164" fontId="1" fillId="15" borderId="3" xfId="0" applyNumberFormat="1" applyFont="1" applyFill="1" applyBorder="1" applyAlignment="1">
      <alignment horizontal="right"/>
    </xf>
    <xf numFmtId="176" fontId="3" fillId="15" borderId="3" xfId="0" applyNumberFormat="1" applyFont="1" applyFill="1" applyBorder="1"/>
    <xf numFmtId="1" fontId="3" fillId="15" borderId="0" xfId="0" applyNumberFormat="1" applyFont="1" applyFill="1" applyBorder="1" applyAlignment="1">
      <alignment horizontal="right"/>
    </xf>
    <xf numFmtId="164" fontId="10" fillId="15" borderId="3" xfId="2" applyNumberFormat="1" applyFill="1" applyBorder="1" applyAlignment="1" applyProtection="1"/>
    <xf numFmtId="0" fontId="6" fillId="15" borderId="3" xfId="0" applyFont="1" applyFill="1" applyBorder="1"/>
    <xf numFmtId="164" fontId="6" fillId="15" borderId="3" xfId="0" applyNumberFormat="1" applyFont="1" applyFill="1" applyBorder="1"/>
    <xf numFmtId="0" fontId="0" fillId="15" borderId="2" xfId="0" applyFont="1" applyFill="1" applyBorder="1"/>
    <xf numFmtId="164" fontId="7" fillId="15" borderId="3" xfId="0" applyNumberFormat="1" applyFont="1" applyFill="1" applyBorder="1"/>
    <xf numFmtId="164" fontId="13" fillId="15" borderId="3" xfId="0" applyNumberFormat="1" applyFont="1" applyFill="1" applyBorder="1"/>
    <xf numFmtId="0" fontId="6" fillId="15" borderId="39" xfId="0" applyFont="1" applyFill="1" applyBorder="1"/>
    <xf numFmtId="1" fontId="6" fillId="15" borderId="27" xfId="0" applyNumberFormat="1" applyFont="1" applyFill="1" applyBorder="1" applyAlignment="1">
      <alignment horizontal="right"/>
    </xf>
    <xf numFmtId="0" fontId="5" fillId="15" borderId="40" xfId="0" applyFont="1" applyFill="1" applyBorder="1"/>
    <xf numFmtId="1" fontId="1" fillId="15" borderId="3" xfId="0" applyNumberFormat="1" applyFont="1" applyFill="1" applyBorder="1" applyAlignment="1">
      <alignment horizontal="right"/>
    </xf>
    <xf numFmtId="0" fontId="10" fillId="15" borderId="3" xfId="2" applyFill="1" applyBorder="1" applyAlignment="1" applyProtection="1"/>
    <xf numFmtId="0" fontId="13" fillId="15" borderId="3" xfId="0" applyFont="1" applyFill="1" applyBorder="1"/>
    <xf numFmtId="0" fontId="17" fillId="15" borderId="3" xfId="0" applyFont="1" applyFill="1" applyBorder="1"/>
    <xf numFmtId="0" fontId="0" fillId="15" borderId="0" xfId="0" applyFont="1" applyFill="1" applyBorder="1" applyAlignment="1">
      <alignment horizontal="right"/>
    </xf>
    <xf numFmtId="175" fontId="1" fillId="15" borderId="3" xfId="0" applyNumberFormat="1" applyFont="1" applyFill="1" applyBorder="1"/>
    <xf numFmtId="2" fontId="3" fillId="15" borderId="3" xfId="0" applyNumberFormat="1" applyFont="1" applyFill="1" applyBorder="1"/>
    <xf numFmtId="174" fontId="1" fillId="15" borderId="3" xfId="0" applyNumberFormat="1" applyFont="1" applyFill="1" applyBorder="1"/>
    <xf numFmtId="9" fontId="0" fillId="15" borderId="3" xfId="3" applyFont="1" applyFill="1" applyBorder="1"/>
    <xf numFmtId="0" fontId="12" fillId="15" borderId="3" xfId="0" applyFont="1" applyFill="1" applyBorder="1" applyAlignment="1">
      <alignment horizontal="right"/>
    </xf>
    <xf numFmtId="0" fontId="1" fillId="15" borderId="3" xfId="0" applyFont="1" applyFill="1" applyBorder="1" applyAlignment="1">
      <alignment horizontal="right"/>
    </xf>
    <xf numFmtId="168" fontId="0" fillId="15" borderId="3" xfId="0" applyNumberFormat="1" applyFill="1" applyBorder="1" applyAlignment="1">
      <alignment horizontal="right"/>
    </xf>
    <xf numFmtId="170" fontId="10" fillId="15" borderId="3" xfId="2" applyNumberFormat="1" applyFill="1" applyBorder="1" applyAlignment="1" applyProtection="1"/>
    <xf numFmtId="171" fontId="0" fillId="15" borderId="0" xfId="1" applyNumberFormat="1" applyFont="1" applyFill="1" applyBorder="1" applyAlignment="1">
      <alignment horizontal="right"/>
    </xf>
    <xf numFmtId="171" fontId="5" fillId="15" borderId="3" xfId="1" applyNumberFormat="1" applyFont="1" applyFill="1" applyBorder="1"/>
    <xf numFmtId="43" fontId="5" fillId="15" borderId="3" xfId="1" applyNumberFormat="1" applyFont="1" applyFill="1" applyBorder="1"/>
    <xf numFmtId="170" fontId="5" fillId="15" borderId="3" xfId="1" applyNumberFormat="1" applyFont="1" applyFill="1" applyBorder="1"/>
    <xf numFmtId="11" fontId="5" fillId="15" borderId="3" xfId="0" applyNumberFormat="1" applyFont="1" applyFill="1" applyBorder="1"/>
    <xf numFmtId="0" fontId="5" fillId="15" borderId="3" xfId="0" quotePrefix="1" applyFont="1" applyFill="1" applyBorder="1" applyAlignment="1">
      <alignment horizontal="right"/>
    </xf>
    <xf numFmtId="0" fontId="3" fillId="15" borderId="2" xfId="0" applyFont="1" applyFill="1" applyBorder="1" applyAlignment="1">
      <alignment horizontal="left" indent="1"/>
    </xf>
    <xf numFmtId="0" fontId="0" fillId="15" borderId="2" xfId="0" applyFill="1" applyBorder="1" applyAlignment="1">
      <alignment horizontal="left" indent="2"/>
    </xf>
    <xf numFmtId="165" fontId="5" fillId="15" borderId="3" xfId="0" applyNumberFormat="1" applyFont="1" applyFill="1" applyBorder="1"/>
    <xf numFmtId="176" fontId="1" fillId="15" borderId="3" xfId="0" applyNumberFormat="1" applyFont="1" applyFill="1" applyBorder="1"/>
    <xf numFmtId="177" fontId="0" fillId="15" borderId="3" xfId="0" applyNumberFormat="1" applyFill="1" applyBorder="1"/>
    <xf numFmtId="43" fontId="3" fillId="15" borderId="3" xfId="1" applyFont="1" applyFill="1" applyBorder="1"/>
    <xf numFmtId="164" fontId="16" fillId="15" borderId="3" xfId="0" applyNumberFormat="1" applyFont="1" applyFill="1" applyBorder="1"/>
    <xf numFmtId="0" fontId="16" fillId="15" borderId="3" xfId="0" applyFont="1" applyFill="1" applyBorder="1"/>
    <xf numFmtId="171" fontId="3" fillId="15" borderId="6" xfId="0" applyNumberFormat="1" applyFont="1" applyFill="1" applyBorder="1"/>
    <xf numFmtId="0" fontId="0" fillId="15" borderId="0" xfId="0" applyFill="1" applyAlignment="1">
      <alignment horizontal="right"/>
    </xf>
    <xf numFmtId="0" fontId="5" fillId="15" borderId="0" xfId="0" applyFont="1" applyFill="1"/>
    <xf numFmtId="166" fontId="0" fillId="15" borderId="0" xfId="0" applyNumberFormat="1" applyFill="1"/>
    <xf numFmtId="164" fontId="0" fillId="15" borderId="0" xfId="0" applyNumberFormat="1" applyFill="1"/>
    <xf numFmtId="1" fontId="5" fillId="15" borderId="0" xfId="0" applyNumberFormat="1" applyFont="1" applyFill="1"/>
    <xf numFmtId="164" fontId="5" fillId="15" borderId="0" xfId="0" applyNumberFormat="1" applyFont="1" applyFill="1"/>
    <xf numFmtId="2" fontId="1" fillId="15" borderId="0" xfId="0" applyNumberFormat="1" applyFont="1" applyFill="1"/>
    <xf numFmtId="1" fontId="1" fillId="15" borderId="0" xfId="0" applyNumberFormat="1" applyFont="1" applyFill="1" applyBorder="1"/>
    <xf numFmtId="1" fontId="1" fillId="15" borderId="0" xfId="0" applyNumberFormat="1" applyFont="1" applyFill="1"/>
    <xf numFmtId="1" fontId="0" fillId="15" borderId="0" xfId="0" applyNumberFormat="1" applyFill="1"/>
    <xf numFmtId="1" fontId="6" fillId="15" borderId="0" xfId="0" applyNumberFormat="1" applyFont="1" applyFill="1"/>
    <xf numFmtId="1" fontId="7" fillId="15" borderId="0" xfId="0" applyNumberFormat="1" applyFont="1" applyFill="1"/>
    <xf numFmtId="164" fontId="1" fillId="15" borderId="0" xfId="0" applyNumberFormat="1" applyFont="1" applyFill="1"/>
    <xf numFmtId="0" fontId="0" fillId="15" borderId="7" xfId="0" applyFill="1" applyBorder="1"/>
    <xf numFmtId="0" fontId="0" fillId="15" borderId="16" xfId="0" applyFill="1" applyBorder="1" applyAlignment="1">
      <alignment horizontal="right"/>
    </xf>
    <xf numFmtId="0" fontId="0" fillId="15" borderId="8" xfId="0" applyFill="1" applyBorder="1"/>
    <xf numFmtId="0" fontId="0" fillId="15" borderId="9" xfId="0" applyFill="1" applyBorder="1"/>
    <xf numFmtId="164" fontId="5" fillId="15" borderId="10" xfId="0" applyNumberFormat="1" applyFont="1" applyFill="1" applyBorder="1"/>
    <xf numFmtId="164" fontId="1" fillId="15" borderId="10" xfId="0" applyNumberFormat="1" applyFont="1" applyFill="1" applyBorder="1"/>
    <xf numFmtId="1" fontId="5" fillId="15" borderId="10" xfId="0" applyNumberFormat="1" applyFont="1" applyFill="1" applyBorder="1"/>
    <xf numFmtId="0" fontId="5" fillId="15" borderId="10" xfId="0" applyFont="1" applyFill="1" applyBorder="1"/>
    <xf numFmtId="1" fontId="6" fillId="15" borderId="10" xfId="0" applyNumberFormat="1" applyFont="1" applyFill="1" applyBorder="1"/>
    <xf numFmtId="1" fontId="7" fillId="15" borderId="10" xfId="0" applyNumberFormat="1" applyFont="1" applyFill="1" applyBorder="1"/>
    <xf numFmtId="0" fontId="0" fillId="15" borderId="11" xfId="0" applyFill="1" applyBorder="1"/>
    <xf numFmtId="0" fontId="0" fillId="15" borderId="17" xfId="0" applyFill="1" applyBorder="1" applyAlignment="1">
      <alignment horizontal="right"/>
    </xf>
    <xf numFmtId="164" fontId="0" fillId="15" borderId="12" xfId="0" applyNumberFormat="1" applyFill="1" applyBorder="1"/>
  </cellXfs>
  <cellStyles count="4">
    <cellStyle name="Comma" xfId="1" builtinId="3"/>
    <cellStyle name="Hyperlink" xfId="2" builtinId="8"/>
    <cellStyle name="Normal" xfId="0" builtinId="0"/>
    <cellStyle name="Percent" xfId="3" builtinId="5"/>
  </cellStyles>
  <dxfs count="10">
    <dxf>
      <fill>
        <patternFill>
          <bgColor indexed="1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5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542925</xdr:colOff>
          <xdr:row>1</xdr:row>
          <xdr:rowOff>28575</xdr:rowOff>
        </xdr:from>
        <xdr:to>
          <xdr:col>1</xdr:col>
          <xdr:colOff>904875</xdr:colOff>
          <xdr:row>3</xdr:row>
          <xdr:rowOff>142875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xdr:row>
          <xdr:rowOff>38100</xdr:rowOff>
        </xdr:from>
        <xdr:to>
          <xdr:col>1</xdr:col>
          <xdr:colOff>485775</xdr:colOff>
          <xdr:row>3</xdr:row>
          <xdr:rowOff>142875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www.maxonmotorusa.com/medias/sys_master/root/8816809312286/15-314-315-316-EN.pdf" TargetMode="External"/><Relationship Id="rId13" Type="http://schemas.openxmlformats.org/officeDocument/2006/relationships/hyperlink" Target="http://www.maxonmotorusa.com/medias/sys_master/root/8816809312286/15-314-315-316-EN.pdf" TargetMode="External"/><Relationship Id="rId18" Type="http://schemas.openxmlformats.org/officeDocument/2006/relationships/image" Target="../media/image1.emf"/><Relationship Id="rId3" Type="http://schemas.openxmlformats.org/officeDocument/2006/relationships/hyperlink" Target="http://www.maxonmotorusa.com/maxon/view/product/control/1-Q-EC-Verstaerker/367661" TargetMode="External"/><Relationship Id="rId21" Type="http://schemas.openxmlformats.org/officeDocument/2006/relationships/comments" Target="../comments1.xml"/><Relationship Id="rId7" Type="http://schemas.openxmlformats.org/officeDocument/2006/relationships/hyperlink" Target="http://www.essentracomponents.ca/sku/NNB-07" TargetMode="External"/><Relationship Id="rId12" Type="http://schemas.openxmlformats.org/officeDocument/2006/relationships/hyperlink" Target="http://www.maxonmotorusa.com/medias/sys_master/root/8816809312286/15-314-315-316-EN.pdf" TargetMode="External"/><Relationship Id="rId17" Type="http://schemas.openxmlformats.org/officeDocument/2006/relationships/oleObject" Target="../embeddings/Microsoft_Visio_2003-2010_Drawing.vsd"/><Relationship Id="rId2" Type="http://schemas.openxmlformats.org/officeDocument/2006/relationships/hyperlink" Target="http://www.maxonmotor.com/medias/sys_master/root/8816808460318/15-295-296-EN.pdf" TargetMode="External"/><Relationship Id="rId16" Type="http://schemas.openxmlformats.org/officeDocument/2006/relationships/vmlDrawing" Target="../drawings/vmlDrawing1.vml"/><Relationship Id="rId20" Type="http://schemas.openxmlformats.org/officeDocument/2006/relationships/image" Target="../media/image2.emf"/><Relationship Id="rId1" Type="http://schemas.openxmlformats.org/officeDocument/2006/relationships/hyperlink" Target="http://www.maxonmotor.com/medias/sys_master/root/8816806527006/15-257-EN.pdf" TargetMode="External"/><Relationship Id="rId6" Type="http://schemas.openxmlformats.org/officeDocument/2006/relationships/hyperlink" Target="http://www.maxonmotorusa.com/medias/sys_master/root/8816815112222/15-383-384-385-387-EN.pdf" TargetMode="External"/><Relationship Id="rId11" Type="http://schemas.openxmlformats.org/officeDocument/2006/relationships/hyperlink" Target="http://www.maxonmotorusa.com/medias/sys_master/root/8816809312286/15-314-315-316-EN.pdf" TargetMode="External"/><Relationship Id="rId5" Type="http://schemas.openxmlformats.org/officeDocument/2006/relationships/hyperlink" Target="http://www.maxonmotorusa.com/medias/sys_master/root/8817172480030/15-261-EN-Juli.pdf" TargetMode="External"/><Relationship Id="rId15" Type="http://schemas.openxmlformats.org/officeDocument/2006/relationships/drawing" Target="../drawings/drawing1.xml"/><Relationship Id="rId10" Type="http://schemas.openxmlformats.org/officeDocument/2006/relationships/hyperlink" Target="http://www.maxonmotorusa.com/medias/sys_master/root/8816809312286/15-314-315-316-EN.pdf" TargetMode="External"/><Relationship Id="rId19" Type="http://schemas.openxmlformats.org/officeDocument/2006/relationships/oleObject" Target="../embeddings/Microsoft_Visio_2003-2010_Drawing1.vsd"/><Relationship Id="rId4" Type="http://schemas.openxmlformats.org/officeDocument/2006/relationships/hyperlink" Target="http://www.trelectronic.com/brochures/RotaryEncoders_Overview.pdf" TargetMode="External"/><Relationship Id="rId9" Type="http://schemas.openxmlformats.org/officeDocument/2006/relationships/hyperlink" Target="http://www.maxonmotorusa.com/medias/sys_master/root/8816809312286/15-314-315-316-EN.pdf"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D4" sqref="D4"/>
    </sheetView>
  </sheetViews>
  <sheetFormatPr defaultRowHeight="12.75" x14ac:dyDescent="0.2"/>
  <cols>
    <col min="1" max="1" width="4.140625" style="56" customWidth="1"/>
  </cols>
  <sheetData>
    <row r="1" spans="2:2" s="56" customFormat="1" x14ac:dyDescent="0.2"/>
    <row r="2" spans="2:2" x14ac:dyDescent="0.2">
      <c r="B2" s="3" t="s">
        <v>152</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Y563"/>
  <sheetViews>
    <sheetView tabSelected="1" zoomScaleNormal="85" workbookViewId="0">
      <pane ySplit="10" topLeftCell="A85" activePane="bottomLeft" state="frozenSplit"/>
      <selection pane="bottomLeft" activeCell="D109" sqref="D109"/>
    </sheetView>
  </sheetViews>
  <sheetFormatPr defaultRowHeight="12.75" outlineLevelRow="1" x14ac:dyDescent="0.2"/>
  <cols>
    <col min="1" max="1" width="2.5703125" style="5" customWidth="1"/>
    <col min="2" max="2" width="31.42578125" customWidth="1"/>
    <col min="3" max="3" width="9.5703125" customWidth="1"/>
    <col min="4" max="4" width="10.7109375" customWidth="1"/>
    <col min="5" max="5" width="1.85546875" style="5" customWidth="1"/>
    <col min="6" max="6" width="32.140625" customWidth="1"/>
    <col min="7" max="7" width="11.5703125" customWidth="1"/>
    <col min="8" max="8" width="13.28515625" customWidth="1"/>
    <col min="9" max="9" width="1.85546875" style="5" customWidth="1"/>
    <col min="10" max="10" width="28.5703125" customWidth="1"/>
    <col min="11" max="11" width="13.7109375" customWidth="1"/>
    <col min="12" max="12" width="11.42578125" customWidth="1"/>
    <col min="13" max="13" width="2.28515625" style="5" customWidth="1"/>
    <col min="14" max="14" width="17.5703125" customWidth="1"/>
    <col min="15" max="15" width="9.42578125" customWidth="1"/>
    <col min="17" max="17" width="2.85546875" style="5" customWidth="1"/>
    <col min="18" max="18" width="17.85546875" customWidth="1"/>
    <col min="19" max="19" width="9.85546875" customWidth="1"/>
    <col min="20" max="20" width="8.28515625" customWidth="1"/>
    <col min="21" max="21" width="2.85546875" style="5" customWidth="1"/>
    <col min="22" max="22" width="18.42578125" customWidth="1"/>
    <col min="25" max="25" width="3" style="5" customWidth="1"/>
  </cols>
  <sheetData>
    <row r="1" spans="2:12" s="229" customFormat="1" ht="8.25" customHeight="1" x14ac:dyDescent="0.2"/>
    <row r="2" spans="2:12" s="229" customFormat="1" x14ac:dyDescent="0.2">
      <c r="B2" s="230"/>
      <c r="C2" s="231" t="s">
        <v>0</v>
      </c>
      <c r="D2" s="232"/>
      <c r="F2" s="233">
        <f ca="1">NOW()</f>
        <v>42771.904751041664</v>
      </c>
      <c r="G2" s="234"/>
      <c r="H2" s="232"/>
      <c r="J2" s="230"/>
      <c r="K2" s="234"/>
      <c r="L2" s="232"/>
    </row>
    <row r="3" spans="2:12" s="229" customFormat="1" x14ac:dyDescent="0.2">
      <c r="B3" s="235"/>
      <c r="C3" s="236" t="s">
        <v>572</v>
      </c>
      <c r="D3" s="237" t="s">
        <v>436</v>
      </c>
      <c r="E3" s="238"/>
      <c r="F3" s="239" t="s">
        <v>202</v>
      </c>
      <c r="G3" s="240" t="s">
        <v>203</v>
      </c>
      <c r="H3" s="237" t="s">
        <v>67</v>
      </c>
      <c r="I3" s="238"/>
      <c r="J3" s="239" t="s">
        <v>204</v>
      </c>
      <c r="K3" s="240" t="s">
        <v>205</v>
      </c>
      <c r="L3" s="237" t="s">
        <v>433</v>
      </c>
    </row>
    <row r="4" spans="2:12" s="229" customFormat="1" collapsed="1" x14ac:dyDescent="0.2">
      <c r="B4" s="235"/>
      <c r="C4" s="241">
        <f>1/100^2/1000</f>
        <v>1.0000000000000001E-7</v>
      </c>
      <c r="D4" s="242">
        <f>(100)^3/1000</f>
        <v>1000</v>
      </c>
      <c r="E4" s="243"/>
      <c r="F4" s="244">
        <v>398600.44179999997</v>
      </c>
      <c r="G4" s="245">
        <v>6378.1364899999999</v>
      </c>
      <c r="H4" s="246">
        <v>9.8066499999999994</v>
      </c>
      <c r="I4" s="243"/>
      <c r="J4" s="247">
        <f>(mu/w_geo^2)^(1/3)</f>
        <v>42164.172613495393</v>
      </c>
      <c r="K4" s="248">
        <f>360*(1+1/365.256366)*PI()/180/86400</f>
        <v>7.2921150824074138E-5</v>
      </c>
      <c r="L4" s="249">
        <f>(100/in2cm)^2*lbf2N</f>
        <v>6894.7578895157803</v>
      </c>
    </row>
    <row r="5" spans="2:12" s="229" customFormat="1" hidden="1" outlineLevel="1" x14ac:dyDescent="0.2">
      <c r="B5" s="235"/>
      <c r="C5" s="240" t="s">
        <v>178</v>
      </c>
      <c r="D5" s="237" t="s">
        <v>110</v>
      </c>
      <c r="E5" s="238"/>
      <c r="F5" s="239" t="s">
        <v>105</v>
      </c>
      <c r="G5" s="240" t="s">
        <v>12</v>
      </c>
      <c r="H5" s="237" t="s">
        <v>13</v>
      </c>
      <c r="I5" s="238"/>
      <c r="J5" s="239" t="s">
        <v>23</v>
      </c>
      <c r="K5" s="240" t="s">
        <v>24</v>
      </c>
      <c r="L5" s="250"/>
    </row>
    <row r="6" spans="2:12" s="229" customFormat="1" hidden="1" outlineLevel="1" x14ac:dyDescent="0.2">
      <c r="B6" s="251"/>
      <c r="C6" s="252">
        <f>2*PI()/60</f>
        <v>0.10471975511965977</v>
      </c>
      <c r="D6" s="253">
        <v>4.4482220000000003</v>
      </c>
      <c r="E6" s="243"/>
      <c r="F6" s="254">
        <v>2.2046199999999998</v>
      </c>
      <c r="G6" s="255">
        <v>12</v>
      </c>
      <c r="H6" s="256">
        <v>2.54</v>
      </c>
      <c r="I6" s="243"/>
      <c r="J6" s="257">
        <f>PI()/180</f>
        <v>1.7453292519943295E-2</v>
      </c>
      <c r="K6" s="258">
        <f>1/J6</f>
        <v>57.295779513082323</v>
      </c>
      <c r="L6" s="253"/>
    </row>
    <row r="7" spans="2:12" s="229" customFormat="1" x14ac:dyDescent="0.2"/>
    <row r="8" spans="2:12" s="229" customFormat="1" x14ac:dyDescent="0.2">
      <c r="B8" s="230" t="s">
        <v>22</v>
      </c>
      <c r="C8" s="259">
        <v>10</v>
      </c>
      <c r="D8" s="232">
        <f>1/C8</f>
        <v>0.1</v>
      </c>
      <c r="F8" s="230" t="s">
        <v>16</v>
      </c>
      <c r="G8" s="259">
        <v>200</v>
      </c>
      <c r="H8" s="232">
        <f>1/G8</f>
        <v>5.0000000000000001E-3</v>
      </c>
      <c r="J8" s="230" t="s">
        <v>21</v>
      </c>
      <c r="K8" s="259">
        <v>10</v>
      </c>
      <c r="L8" s="232">
        <f>1/K8</f>
        <v>0.1</v>
      </c>
    </row>
    <row r="9" spans="2:12" s="229" customFormat="1" x14ac:dyDescent="0.2">
      <c r="B9" s="251" t="s">
        <v>118</v>
      </c>
      <c r="C9" s="260"/>
      <c r="D9" s="261">
        <v>4</v>
      </c>
      <c r="F9" s="251"/>
      <c r="G9" s="260"/>
      <c r="H9" s="253"/>
      <c r="J9" s="251" t="s">
        <v>103</v>
      </c>
      <c r="K9" s="260"/>
      <c r="L9" s="261">
        <v>2.25</v>
      </c>
    </row>
    <row r="10" spans="2:12" s="229" customFormat="1" x14ac:dyDescent="0.2"/>
    <row r="11" spans="2:12" s="229" customFormat="1" x14ac:dyDescent="0.2">
      <c r="B11" s="262" t="s">
        <v>73</v>
      </c>
      <c r="C11" s="263" t="s">
        <v>2</v>
      </c>
      <c r="D11" s="263" t="s">
        <v>3</v>
      </c>
      <c r="E11" s="264"/>
      <c r="F11" s="264"/>
      <c r="G11" s="263" t="s">
        <v>2</v>
      </c>
      <c r="H11" s="265" t="s">
        <v>3</v>
      </c>
      <c r="J11" s="266" t="s">
        <v>38</v>
      </c>
      <c r="K11" s="263" t="s">
        <v>2</v>
      </c>
      <c r="L11" s="265" t="s">
        <v>3</v>
      </c>
    </row>
    <row r="12" spans="2:12" s="229" customFormat="1" ht="13.5" outlineLevel="1" thickBot="1" x14ac:dyDescent="0.25">
      <c r="B12" s="267" t="s">
        <v>7</v>
      </c>
      <c r="C12" s="236"/>
      <c r="D12" s="236"/>
      <c r="E12" s="268"/>
      <c r="F12" s="236" t="s">
        <v>37</v>
      </c>
      <c r="G12" s="236"/>
      <c r="H12" s="269"/>
      <c r="J12" s="235" t="s">
        <v>25</v>
      </c>
      <c r="K12" s="268">
        <f>L12/tscl</f>
        <v>10</v>
      </c>
      <c r="L12" s="270">
        <v>1</v>
      </c>
    </row>
    <row r="13" spans="2:12" s="229" customFormat="1" ht="14.25" outlineLevel="1" thickTop="1" thickBot="1" x14ac:dyDescent="0.25">
      <c r="B13" s="235" t="s">
        <v>4</v>
      </c>
      <c r="C13" s="271">
        <v>236.22</v>
      </c>
      <c r="D13" s="272">
        <f>C13*dscl</f>
        <v>23.622</v>
      </c>
      <c r="E13" s="268"/>
      <c r="F13" s="268" t="s">
        <v>26</v>
      </c>
      <c r="G13" s="273">
        <v>3085.5</v>
      </c>
      <c r="H13" s="274">
        <f>G13*mscl</f>
        <v>15.4275</v>
      </c>
      <c r="J13" s="235" t="s">
        <v>362</v>
      </c>
      <c r="K13" s="268"/>
      <c r="L13" s="250"/>
    </row>
    <row r="14" spans="2:12" s="229" customFormat="1" ht="13.5" outlineLevel="1" thickTop="1" x14ac:dyDescent="0.2">
      <c r="B14" s="235" t="s">
        <v>5</v>
      </c>
      <c r="C14" s="271">
        <v>222.68</v>
      </c>
      <c r="D14" s="275">
        <f>C14*dscl</f>
        <v>22.268000000000001</v>
      </c>
      <c r="E14" s="268"/>
      <c r="F14" s="268" t="s">
        <v>27</v>
      </c>
      <c r="G14" s="276">
        <v>2289</v>
      </c>
      <c r="H14" s="277">
        <f>G14*mscl</f>
        <v>11.445</v>
      </c>
      <c r="J14" s="235" t="s">
        <v>153</v>
      </c>
      <c r="K14" s="278">
        <f>K66/1000</f>
        <v>1.4500000000000001E-2</v>
      </c>
      <c r="L14" s="279">
        <f>L66/1000</f>
        <v>1.4499999999999997E-2</v>
      </c>
    </row>
    <row r="15" spans="2:12" s="229" customFormat="1" ht="13.5" outlineLevel="1" thickBot="1" x14ac:dyDescent="0.25">
      <c r="B15" s="235" t="s">
        <v>6</v>
      </c>
      <c r="C15" s="271">
        <v>312.42</v>
      </c>
      <c r="D15" s="280">
        <f>C15*dscl</f>
        <v>31.242000000000004</v>
      </c>
      <c r="E15" s="268"/>
      <c r="F15" s="268" t="s">
        <v>28</v>
      </c>
      <c r="G15" s="273">
        <v>1651.8</v>
      </c>
      <c r="H15" s="281">
        <f>G15*mscl</f>
        <v>8.2590000000000003</v>
      </c>
      <c r="J15" s="235" t="s">
        <v>154</v>
      </c>
      <c r="K15" s="282">
        <v>1.35E-2</v>
      </c>
      <c r="L15" s="283">
        <f>K15*dscl/tscl/tscl</f>
        <v>0.13499999999999998</v>
      </c>
    </row>
    <row r="16" spans="2:12" s="229" customFormat="1" ht="14.25" outlineLevel="1" thickTop="1" thickBot="1" x14ac:dyDescent="0.25">
      <c r="B16" s="235" t="s">
        <v>367</v>
      </c>
      <c r="C16" s="268"/>
      <c r="D16" s="268"/>
      <c r="E16" s="268"/>
      <c r="F16" s="268" t="s">
        <v>366</v>
      </c>
      <c r="G16" s="284"/>
      <c r="H16" s="285"/>
      <c r="J16" s="235" t="s">
        <v>363</v>
      </c>
      <c r="K16" s="268"/>
      <c r="L16" s="250"/>
    </row>
    <row r="17" spans="2:12" s="229" customFormat="1" ht="13.5" outlineLevel="1" thickTop="1" x14ac:dyDescent="0.2">
      <c r="B17" s="267" t="s">
        <v>8</v>
      </c>
      <c r="C17" s="268"/>
      <c r="D17" s="268"/>
      <c r="E17" s="268"/>
      <c r="F17" s="268" t="s">
        <v>62</v>
      </c>
      <c r="G17" s="268"/>
      <c r="H17" s="250"/>
      <c r="J17" s="235" t="s">
        <v>159</v>
      </c>
      <c r="K17" s="286">
        <f>K19*rad2deg</f>
        <v>6.4399999999999999E-2</v>
      </c>
      <c r="L17" s="287">
        <f>L19*rad2deg</f>
        <v>6.4399999999999999E-2</v>
      </c>
    </row>
    <row r="18" spans="2:12" s="229" customFormat="1" ht="13.5" outlineLevel="1" thickBot="1" x14ac:dyDescent="0.25">
      <c r="B18" s="235" t="s">
        <v>4</v>
      </c>
      <c r="C18" s="271">
        <v>211.96</v>
      </c>
      <c r="D18" s="284">
        <f>C18*dscl</f>
        <v>21.196000000000002</v>
      </c>
      <c r="E18" s="268"/>
      <c r="F18" s="268" t="s">
        <v>18</v>
      </c>
      <c r="G18" s="271">
        <v>0</v>
      </c>
      <c r="H18" s="285">
        <f>G18*dscl</f>
        <v>0</v>
      </c>
      <c r="J18" s="235" t="s">
        <v>160</v>
      </c>
      <c r="K18" s="288">
        <v>3.2200000000000002E-4</v>
      </c>
      <c r="L18" s="289">
        <f>K18/tscl/tscl</f>
        <v>3.2199999999999999E-2</v>
      </c>
    </row>
    <row r="19" spans="2:12" s="229" customFormat="1" ht="13.5" outlineLevel="1" thickTop="1" x14ac:dyDescent="0.2">
      <c r="B19" s="235" t="s">
        <v>5</v>
      </c>
      <c r="C19" s="271">
        <v>312.42</v>
      </c>
      <c r="D19" s="284">
        <f>C19*dscl</f>
        <v>31.242000000000004</v>
      </c>
      <c r="E19" s="268"/>
      <c r="F19" s="268" t="s">
        <v>19</v>
      </c>
      <c r="G19" s="271">
        <v>0</v>
      </c>
      <c r="H19" s="285">
        <f>G19*dscl</f>
        <v>0</v>
      </c>
      <c r="J19" s="235" t="s">
        <v>216</v>
      </c>
      <c r="K19" s="290">
        <f>K75</f>
        <v>1.1239920382843482E-3</v>
      </c>
      <c r="L19" s="291">
        <f>L75</f>
        <v>1.1239920382843482E-3</v>
      </c>
    </row>
    <row r="20" spans="2:12" s="229" customFormat="1" outlineLevel="1" x14ac:dyDescent="0.2">
      <c r="B20" s="235" t="s">
        <v>6</v>
      </c>
      <c r="C20" s="271">
        <v>1</v>
      </c>
      <c r="D20" s="284">
        <f>C20*dscl</f>
        <v>0.1</v>
      </c>
      <c r="E20" s="268"/>
      <c r="F20" s="268" t="s">
        <v>20</v>
      </c>
      <c r="G20" s="271">
        <v>107.8</v>
      </c>
      <c r="H20" s="292">
        <f>G20*dscl</f>
        <v>10.780000000000001</v>
      </c>
      <c r="J20" s="235" t="s">
        <v>288</v>
      </c>
      <c r="K20" s="293">
        <f>H45</f>
        <v>1.1189626674572867E-3</v>
      </c>
      <c r="L20" s="291">
        <f>K20/tscl</f>
        <v>1.1189626674572867E-2</v>
      </c>
    </row>
    <row r="21" spans="2:12" s="229" customFormat="1" outlineLevel="1" x14ac:dyDescent="0.2">
      <c r="B21" s="267" t="s">
        <v>9</v>
      </c>
      <c r="C21" s="268"/>
      <c r="D21" s="268"/>
      <c r="E21" s="268"/>
      <c r="F21" s="268"/>
      <c r="G21" s="271"/>
      <c r="H21" s="292"/>
      <c r="J21" s="294" t="s">
        <v>289</v>
      </c>
      <c r="K21" s="293">
        <f>K19-K20</f>
        <v>5.0293708270614766E-6</v>
      </c>
      <c r="L21" s="291">
        <f>L19-L20</f>
        <v>-1.0065634636288519E-2</v>
      </c>
    </row>
    <row r="22" spans="2:12" s="229" customFormat="1" outlineLevel="1" x14ac:dyDescent="0.2">
      <c r="B22" s="235" t="s">
        <v>4</v>
      </c>
      <c r="C22" s="271">
        <v>211.96</v>
      </c>
      <c r="D22" s="284">
        <f>C22*dscl</f>
        <v>21.196000000000002</v>
      </c>
      <c r="E22" s="268"/>
      <c r="F22" s="268"/>
      <c r="G22" s="268"/>
      <c r="H22" s="250"/>
      <c r="J22" s="235" t="s">
        <v>217</v>
      </c>
      <c r="K22" s="295">
        <f>K18*deg2rad</f>
        <v>5.6199601914217416E-6</v>
      </c>
      <c r="L22" s="296">
        <f>L18*deg2rad</f>
        <v>5.6199601914217411E-4</v>
      </c>
    </row>
    <row r="23" spans="2:12" s="229" customFormat="1" ht="13.5" outlineLevel="1" thickBot="1" x14ac:dyDescent="0.25">
      <c r="B23" s="235" t="s">
        <v>5</v>
      </c>
      <c r="C23" s="271">
        <f>31270.2/2/10-(2226.8/2/10+11/28*3124.2/10)</f>
        <v>1329.4335714285714</v>
      </c>
      <c r="D23" s="284">
        <f>C23*dscl</f>
        <v>132.94335714285714</v>
      </c>
      <c r="E23" s="268"/>
      <c r="F23" s="268" t="s">
        <v>32</v>
      </c>
      <c r="G23" s="284"/>
      <c r="H23" s="285"/>
      <c r="J23" s="235" t="s">
        <v>364</v>
      </c>
      <c r="K23" s="268"/>
      <c r="L23" s="250"/>
    </row>
    <row r="24" spans="2:12" s="229" customFormat="1" ht="13.5" outlineLevel="1" thickTop="1" x14ac:dyDescent="0.2">
      <c r="B24" s="235" t="s">
        <v>6</v>
      </c>
      <c r="C24" s="271">
        <v>1</v>
      </c>
      <c r="D24" s="284">
        <f>C24*dscl</f>
        <v>0.1</v>
      </c>
      <c r="E24" s="268"/>
      <c r="F24" s="268" t="s">
        <v>63</v>
      </c>
      <c r="G24" s="268"/>
      <c r="H24" s="250"/>
      <c r="J24" s="235" t="s">
        <v>157</v>
      </c>
      <c r="K24" s="278">
        <f>K58/1000</f>
        <v>1.35E-2</v>
      </c>
      <c r="L24" s="279">
        <f>L58/1000</f>
        <v>1.35E-2</v>
      </c>
    </row>
    <row r="25" spans="2:12" s="229" customFormat="1" ht="13.5" outlineLevel="1" thickBot="1" x14ac:dyDescent="0.25">
      <c r="B25" s="235" t="s">
        <v>10</v>
      </c>
      <c r="C25" s="284">
        <f>C23/C19</f>
        <v>4.2552767794269615</v>
      </c>
      <c r="D25" s="268"/>
      <c r="E25" s="268"/>
      <c r="F25" s="268" t="s">
        <v>577</v>
      </c>
      <c r="G25" s="271">
        <v>7123.4</v>
      </c>
      <c r="H25" s="297">
        <f t="shared" ref="H25:H30" si="0">G25*mscl*dscl*dscl</f>
        <v>0.35617000000000004</v>
      </c>
      <c r="J25" s="235" t="s">
        <v>158</v>
      </c>
      <c r="K25" s="282">
        <v>1.4500000000000001E-2</v>
      </c>
      <c r="L25" s="283">
        <f>K25*dscl/tscl/tscl</f>
        <v>0.14499999999999999</v>
      </c>
    </row>
    <row r="26" spans="2:12" s="229" customFormat="1" ht="13.5" outlineLevel="1" thickTop="1" x14ac:dyDescent="0.2">
      <c r="B26" s="235"/>
      <c r="C26" s="268"/>
      <c r="D26" s="268"/>
      <c r="E26" s="268"/>
      <c r="F26" s="268" t="s">
        <v>578</v>
      </c>
      <c r="G26" s="271">
        <v>71.400000000000006</v>
      </c>
      <c r="H26" s="298">
        <f t="shared" si="0"/>
        <v>3.5700000000000003E-3</v>
      </c>
      <c r="J26" s="235" t="s">
        <v>365</v>
      </c>
      <c r="K26" s="268"/>
      <c r="L26" s="250"/>
    </row>
    <row r="27" spans="2:12" s="229" customFormat="1" outlineLevel="1" x14ac:dyDescent="0.2">
      <c r="B27" s="235"/>
      <c r="C27" s="268"/>
      <c r="D27" s="268"/>
      <c r="E27" s="268"/>
      <c r="F27" s="268" t="s">
        <v>579</v>
      </c>
      <c r="G27" s="271">
        <v>7205.6</v>
      </c>
      <c r="H27" s="297">
        <f t="shared" si="0"/>
        <v>0.3602800000000001</v>
      </c>
      <c r="J27" s="235" t="s">
        <v>288</v>
      </c>
      <c r="K27" s="299">
        <f>L27</f>
        <v>3</v>
      </c>
      <c r="L27" s="270">
        <v>3</v>
      </c>
    </row>
    <row r="28" spans="2:12" s="229" customFormat="1" ht="13.5" outlineLevel="1" thickBot="1" x14ac:dyDescent="0.25">
      <c r="B28" s="235"/>
      <c r="C28" s="268"/>
      <c r="D28" s="268"/>
      <c r="E28" s="268"/>
      <c r="F28" s="268" t="s">
        <v>580</v>
      </c>
      <c r="G28" s="271">
        <v>-1.2</v>
      </c>
      <c r="H28" s="297">
        <f t="shared" si="0"/>
        <v>-6.0000000000000008E-5</v>
      </c>
      <c r="J28" s="294" t="s">
        <v>289</v>
      </c>
      <c r="K28" s="300">
        <f>K27-K29</f>
        <v>0</v>
      </c>
      <c r="L28" s="301">
        <f>L27-L29</f>
        <v>0</v>
      </c>
    </row>
    <row r="29" spans="2:12" s="229" customFormat="1" ht="13.5" outlineLevel="1" thickTop="1" x14ac:dyDescent="0.2">
      <c r="B29" s="235"/>
      <c r="C29" s="268"/>
      <c r="D29" s="268"/>
      <c r="E29" s="268"/>
      <c r="F29" s="268" t="s">
        <v>581</v>
      </c>
      <c r="G29" s="271">
        <v>0</v>
      </c>
      <c r="H29" s="297">
        <f t="shared" si="0"/>
        <v>0</v>
      </c>
      <c r="J29" s="235" t="s">
        <v>155</v>
      </c>
      <c r="K29" s="302">
        <f>K31*rad2deg</f>
        <v>3</v>
      </c>
      <c r="L29" s="303">
        <f>L31*rad2deg</f>
        <v>2.9999999999999996</v>
      </c>
    </row>
    <row r="30" spans="2:12" s="229" customFormat="1" ht="13.5" outlineLevel="1" thickBot="1" x14ac:dyDescent="0.25">
      <c r="B30" s="235"/>
      <c r="C30" s="268"/>
      <c r="D30" s="268"/>
      <c r="E30" s="268"/>
      <c r="F30" s="268" t="s">
        <v>582</v>
      </c>
      <c r="G30" s="271">
        <v>0</v>
      </c>
      <c r="H30" s="297">
        <f t="shared" si="0"/>
        <v>0</v>
      </c>
      <c r="J30" s="235" t="s">
        <v>156</v>
      </c>
      <c r="K30" s="282">
        <v>1.4999999999999999E-2</v>
      </c>
      <c r="L30" s="304">
        <f>K30/tscl/tscl</f>
        <v>1.4999999999999998</v>
      </c>
    </row>
    <row r="31" spans="2:12" s="229" customFormat="1" ht="13.5" outlineLevel="1" thickTop="1" x14ac:dyDescent="0.2">
      <c r="B31" s="235"/>
      <c r="C31" s="268"/>
      <c r="D31" s="268"/>
      <c r="E31" s="268"/>
      <c r="F31" s="268"/>
      <c r="G31" s="268"/>
      <c r="H31" s="250"/>
      <c r="J31" s="235" t="s">
        <v>218</v>
      </c>
      <c r="K31" s="305">
        <f>K87</f>
        <v>5.2359877559829883E-2</v>
      </c>
      <c r="L31" s="306">
        <f>L87</f>
        <v>5.2359877559829876E-2</v>
      </c>
    </row>
    <row r="32" spans="2:12" s="229" customFormat="1" outlineLevel="1" x14ac:dyDescent="0.2">
      <c r="B32" s="251"/>
      <c r="C32" s="260"/>
      <c r="D32" s="260"/>
      <c r="E32" s="260"/>
      <c r="F32" s="260"/>
      <c r="G32" s="260"/>
      <c r="H32" s="253"/>
      <c r="J32" s="251" t="s">
        <v>219</v>
      </c>
      <c r="K32" s="307">
        <f>K30*deg2rad</f>
        <v>2.6179938779914941E-4</v>
      </c>
      <c r="L32" s="308">
        <f>L30*deg2rad</f>
        <v>2.6179938779914938E-2</v>
      </c>
    </row>
    <row r="33" spans="1:12" s="229" customFormat="1" x14ac:dyDescent="0.2">
      <c r="B33" s="309"/>
      <c r="C33" s="309"/>
      <c r="D33" s="309"/>
      <c r="E33" s="259"/>
      <c r="F33" s="309"/>
      <c r="G33" s="309"/>
      <c r="H33" s="309"/>
    </row>
    <row r="34" spans="1:12" s="229" customFormat="1" x14ac:dyDescent="0.2">
      <c r="B34" s="266" t="s">
        <v>61</v>
      </c>
      <c r="C34" s="263" t="s">
        <v>14</v>
      </c>
      <c r="D34" s="265" t="s">
        <v>15</v>
      </c>
      <c r="E34" s="235"/>
      <c r="F34" s="266" t="s">
        <v>285</v>
      </c>
      <c r="G34" s="310" t="s">
        <v>370</v>
      </c>
      <c r="H34" s="311" t="s">
        <v>3</v>
      </c>
      <c r="J34" s="266" t="s">
        <v>39</v>
      </c>
      <c r="K34" s="263" t="s">
        <v>2</v>
      </c>
      <c r="L34" s="265" t="s">
        <v>3</v>
      </c>
    </row>
    <row r="35" spans="1:12" s="229" customFormat="1" ht="13.5" outlineLevel="1" thickBot="1" x14ac:dyDescent="0.25">
      <c r="B35" s="235" t="s">
        <v>1</v>
      </c>
      <c r="C35" s="273">
        <f>D35/10/dscl</f>
        <v>241.3</v>
      </c>
      <c r="D35" s="312">
        <f>95*in2cm</f>
        <v>241.3</v>
      </c>
      <c r="E35" s="235"/>
      <c r="F35" s="235" t="s">
        <v>284</v>
      </c>
      <c r="G35" s="268" t="s">
        <v>174</v>
      </c>
      <c r="H35" s="313">
        <f>H97</f>
        <v>0.80325000000000002</v>
      </c>
      <c r="J35" s="235" t="s">
        <v>41</v>
      </c>
      <c r="K35" s="273">
        <f>L35/tscl</f>
        <v>33750</v>
      </c>
      <c r="L35" s="314">
        <f>L36*60</f>
        <v>3375</v>
      </c>
    </row>
    <row r="36" spans="1:12" s="229" customFormat="1" ht="14.25" outlineLevel="1" thickTop="1" thickBot="1" x14ac:dyDescent="0.25">
      <c r="B36" s="235" t="s">
        <v>11</v>
      </c>
      <c r="C36" s="273">
        <f>D36/10/dscl</f>
        <v>350.52</v>
      </c>
      <c r="D36" s="312">
        <f>138*in2cm</f>
        <v>350.52</v>
      </c>
      <c r="E36" s="235"/>
      <c r="F36" s="235" t="s">
        <v>48</v>
      </c>
      <c r="G36" s="268"/>
      <c r="H36" s="270">
        <v>2</v>
      </c>
      <c r="J36" s="235" t="s">
        <v>40</v>
      </c>
      <c r="K36" s="273">
        <f>K35/60</f>
        <v>562.5</v>
      </c>
      <c r="L36" s="315">
        <f>MAX(L39,SUM(L40:L43))*L9</f>
        <v>56.25</v>
      </c>
    </row>
    <row r="37" spans="1:12" s="229" customFormat="1" ht="14.25" outlineLevel="1" thickTop="1" thickBot="1" x14ac:dyDescent="0.25">
      <c r="B37" s="235" t="s">
        <v>141</v>
      </c>
      <c r="C37" s="316" t="s">
        <v>142</v>
      </c>
      <c r="D37" s="312">
        <v>23.6</v>
      </c>
      <c r="E37" s="235"/>
      <c r="F37" s="235" t="s">
        <v>286</v>
      </c>
      <c r="G37" s="268" t="s">
        <v>174</v>
      </c>
      <c r="H37" s="317">
        <f>H35/H36</f>
        <v>0.40162500000000001</v>
      </c>
      <c r="J37" s="235" t="s">
        <v>42</v>
      </c>
      <c r="K37" s="273">
        <f>K36/60</f>
        <v>9.375</v>
      </c>
      <c r="L37" s="285">
        <f>L36/60</f>
        <v>0.9375</v>
      </c>
    </row>
    <row r="38" spans="1:12" s="229" customFormat="1" ht="13.5" outlineLevel="1" thickTop="1" x14ac:dyDescent="0.2">
      <c r="B38" s="235"/>
      <c r="C38" s="316" t="s">
        <v>140</v>
      </c>
      <c r="D38" s="312">
        <v>0.6</v>
      </c>
      <c r="E38" s="235"/>
      <c r="F38" s="235" t="s">
        <v>287</v>
      </c>
      <c r="G38" s="268" t="s">
        <v>174</v>
      </c>
      <c r="H38" s="313">
        <f>H99</f>
        <v>0.96390000000000009</v>
      </c>
      <c r="J38" s="235" t="s">
        <v>360</v>
      </c>
      <c r="K38" s="268"/>
      <c r="L38" s="250"/>
    </row>
    <row r="39" spans="1:12" s="229" customFormat="1" ht="13.5" outlineLevel="1" thickBot="1" x14ac:dyDescent="0.25">
      <c r="B39" s="268"/>
      <c r="C39" s="316"/>
      <c r="D39" s="271"/>
      <c r="E39" s="235"/>
      <c r="F39" s="235" t="s">
        <v>48</v>
      </c>
      <c r="G39" s="268"/>
      <c r="H39" s="250">
        <f>H36</f>
        <v>2</v>
      </c>
      <c r="J39" s="235" t="s">
        <v>44</v>
      </c>
      <c r="K39" s="268">
        <f>L39/tscl</f>
        <v>50</v>
      </c>
      <c r="L39" s="270">
        <v>5</v>
      </c>
    </row>
    <row r="40" spans="1:12" s="229" customFormat="1" ht="14.25" outlineLevel="1" thickTop="1" thickBot="1" x14ac:dyDescent="0.25">
      <c r="E40" s="235"/>
      <c r="F40" s="251" t="s">
        <v>287</v>
      </c>
      <c r="G40" s="260" t="s">
        <v>174</v>
      </c>
      <c r="H40" s="317">
        <f>H38/H39</f>
        <v>0.48195000000000005</v>
      </c>
      <c r="J40" s="235" t="s">
        <v>43</v>
      </c>
      <c r="K40" s="268">
        <f>L40/tscl</f>
        <v>50</v>
      </c>
      <c r="L40" s="270">
        <v>5</v>
      </c>
    </row>
    <row r="41" spans="1:12" s="229" customFormat="1" ht="13.5" outlineLevel="1" thickTop="1" x14ac:dyDescent="0.2">
      <c r="E41" s="235"/>
      <c r="J41" s="235" t="s">
        <v>45</v>
      </c>
      <c r="K41" s="268">
        <f>L41/tscl</f>
        <v>50</v>
      </c>
      <c r="L41" s="270">
        <v>5</v>
      </c>
    </row>
    <row r="42" spans="1:12" s="229" customFormat="1" outlineLevel="1" x14ac:dyDescent="0.2">
      <c r="E42" s="235"/>
      <c r="F42" s="266" t="s">
        <v>206</v>
      </c>
      <c r="G42" s="310" t="s">
        <v>370</v>
      </c>
      <c r="H42" s="311" t="s">
        <v>2</v>
      </c>
      <c r="J42" s="235" t="s">
        <v>46</v>
      </c>
      <c r="K42" s="268">
        <f>L42/tscl</f>
        <v>100</v>
      </c>
      <c r="L42" s="270">
        <v>10</v>
      </c>
    </row>
    <row r="43" spans="1:12" s="229" customFormat="1" outlineLevel="1" x14ac:dyDescent="0.2">
      <c r="B43" s="235"/>
      <c r="C43" s="268"/>
      <c r="D43" s="250"/>
      <c r="E43" s="235"/>
      <c r="F43" s="235" t="s">
        <v>207</v>
      </c>
      <c r="G43" s="318" t="s">
        <v>208</v>
      </c>
      <c r="H43" s="270">
        <v>450</v>
      </c>
      <c r="J43" s="235" t="s">
        <v>47</v>
      </c>
      <c r="K43" s="268">
        <f>L43/tscl</f>
        <v>50</v>
      </c>
      <c r="L43" s="270">
        <v>5</v>
      </c>
    </row>
    <row r="44" spans="1:12" s="229" customFormat="1" outlineLevel="1" x14ac:dyDescent="0.2">
      <c r="B44" s="235"/>
      <c r="C44" s="268"/>
      <c r="D44" s="250"/>
      <c r="E44" s="268"/>
      <c r="F44" s="235" t="s">
        <v>209</v>
      </c>
      <c r="G44" s="318" t="s">
        <v>208</v>
      </c>
      <c r="H44" s="314">
        <f>H43+Re</f>
        <v>6828.1364899999999</v>
      </c>
    </row>
    <row r="45" spans="1:12" s="229" customFormat="1" outlineLevel="1" x14ac:dyDescent="0.2">
      <c r="B45" s="235"/>
      <c r="C45" s="268"/>
      <c r="D45" s="250"/>
      <c r="E45" s="268"/>
      <c r="F45" s="235" t="s">
        <v>212</v>
      </c>
      <c r="G45" s="318" t="s">
        <v>177</v>
      </c>
      <c r="H45" s="296">
        <f>SQRT(mu/(H44^3))</f>
        <v>1.1189626674572867E-3</v>
      </c>
      <c r="J45" s="235"/>
      <c r="K45" s="268"/>
      <c r="L45" s="250"/>
    </row>
    <row r="46" spans="1:12" s="229" customFormat="1" outlineLevel="1" x14ac:dyDescent="0.2">
      <c r="B46" s="235"/>
      <c r="C46" s="268"/>
      <c r="D46" s="250"/>
      <c r="E46" s="268"/>
      <c r="F46" s="235"/>
      <c r="G46" s="318" t="s">
        <v>176</v>
      </c>
      <c r="H46" s="319">
        <f>H45/rpm2rps</f>
        <v>1.0685306379667194E-2</v>
      </c>
      <c r="J46" s="235"/>
      <c r="K46" s="268"/>
      <c r="L46" s="250"/>
    </row>
    <row r="47" spans="1:12" s="229" customFormat="1" outlineLevel="1" x14ac:dyDescent="0.2">
      <c r="B47" s="251"/>
      <c r="C47" s="260"/>
      <c r="D47" s="253"/>
      <c r="E47" s="268"/>
      <c r="F47" s="251" t="s">
        <v>210</v>
      </c>
      <c r="G47" s="320" t="s">
        <v>211</v>
      </c>
      <c r="H47" s="321">
        <f>1/H46</f>
        <v>93.586460178893446</v>
      </c>
      <c r="J47" s="251"/>
      <c r="K47" s="260"/>
      <c r="L47" s="253"/>
    </row>
    <row r="48" spans="1:12" x14ac:dyDescent="0.2">
      <c r="A48" s="229"/>
      <c r="B48" s="229"/>
      <c r="C48" s="229"/>
      <c r="D48" s="229"/>
      <c r="F48" s="5"/>
      <c r="G48" s="5"/>
      <c r="H48" s="5"/>
      <c r="J48" s="5"/>
      <c r="K48" s="5"/>
      <c r="L48" s="5"/>
    </row>
    <row r="49" spans="1:12" ht="13.5" thickBot="1" x14ac:dyDescent="0.25">
      <c r="A49" s="229"/>
      <c r="B49" s="266" t="s">
        <v>185</v>
      </c>
      <c r="C49" s="310" t="s">
        <v>370</v>
      </c>
      <c r="D49" s="311" t="s">
        <v>3</v>
      </c>
      <c r="F49" s="60" t="s">
        <v>161</v>
      </c>
      <c r="G49" s="173" t="s">
        <v>370</v>
      </c>
      <c r="H49" s="174" t="s">
        <v>3</v>
      </c>
      <c r="J49" s="60" t="s">
        <v>194</v>
      </c>
      <c r="K49" s="61" t="s">
        <v>2</v>
      </c>
      <c r="L49" s="62" t="s">
        <v>3</v>
      </c>
    </row>
    <row r="50" spans="1:12" ht="13.5" thickTop="1" x14ac:dyDescent="0.2">
      <c r="A50" s="229"/>
      <c r="B50" s="235" t="s">
        <v>187</v>
      </c>
      <c r="C50" s="318" t="s">
        <v>87</v>
      </c>
      <c r="D50" s="322">
        <v>20</v>
      </c>
      <c r="F50" s="18" t="s">
        <v>162</v>
      </c>
      <c r="G50" s="69" t="s">
        <v>106</v>
      </c>
      <c r="H50" s="102">
        <v>4</v>
      </c>
      <c r="J50" s="57" t="s">
        <v>197</v>
      </c>
      <c r="K50" s="83">
        <f>L50/tscl</f>
        <v>1</v>
      </c>
      <c r="L50" s="24">
        <f>D61</f>
        <v>0.1</v>
      </c>
    </row>
    <row r="51" spans="1:12" ht="13.5" thickBot="1" x14ac:dyDescent="0.25">
      <c r="A51" s="229"/>
      <c r="B51" s="235" t="s">
        <v>91</v>
      </c>
      <c r="C51" s="318" t="s">
        <v>186</v>
      </c>
      <c r="D51" s="323">
        <v>4</v>
      </c>
      <c r="F51" s="18" t="s">
        <v>169</v>
      </c>
      <c r="G51" s="69" t="s">
        <v>106</v>
      </c>
      <c r="H51" s="101">
        <v>2</v>
      </c>
      <c r="J51" s="84" t="s">
        <v>198</v>
      </c>
      <c r="K51" s="19"/>
      <c r="L51" s="22"/>
    </row>
    <row r="52" spans="1:12" ht="13.5" thickTop="1" x14ac:dyDescent="0.2">
      <c r="A52" s="229"/>
      <c r="B52" s="235" t="s">
        <v>144</v>
      </c>
      <c r="C52" s="318"/>
      <c r="D52" s="270">
        <v>0.5</v>
      </c>
      <c r="F52" s="18" t="s">
        <v>162</v>
      </c>
      <c r="G52" s="69" t="s">
        <v>15</v>
      </c>
      <c r="H52" s="156">
        <f>H50*in2cm</f>
        <v>10.16</v>
      </c>
      <c r="J52" s="57" t="s">
        <v>183</v>
      </c>
      <c r="K52" s="66">
        <f>2</f>
        <v>2</v>
      </c>
      <c r="L52" s="64">
        <f>D57</f>
        <v>2</v>
      </c>
    </row>
    <row r="53" spans="1:12" x14ac:dyDescent="0.2">
      <c r="A53" s="229"/>
      <c r="B53" s="235"/>
      <c r="C53" s="318" t="s">
        <v>106</v>
      </c>
      <c r="D53" s="313">
        <f>D51/10/in2cm</f>
        <v>0.15748031496062992</v>
      </c>
      <c r="F53" s="18" t="s">
        <v>163</v>
      </c>
      <c r="G53" s="69" t="s">
        <v>15</v>
      </c>
      <c r="H53" s="24">
        <f>H51*in2cm</f>
        <v>5.08</v>
      </c>
      <c r="J53" s="57" t="s">
        <v>196</v>
      </c>
      <c r="K53" s="85">
        <f>K55/K52</f>
        <v>2.5065408156337519</v>
      </c>
      <c r="L53" s="24">
        <f>L55/L52</f>
        <v>0.1253270407816876</v>
      </c>
    </row>
    <row r="54" spans="1:12" x14ac:dyDescent="0.2">
      <c r="A54" s="229"/>
      <c r="B54" s="235" t="s">
        <v>86</v>
      </c>
      <c r="C54" s="318" t="s">
        <v>109</v>
      </c>
      <c r="D54" s="285">
        <f>D50*D56*D52</f>
        <v>0.19477913408083536</v>
      </c>
      <c r="F54" s="150" t="s">
        <v>321</v>
      </c>
      <c r="G54" s="69"/>
      <c r="H54" s="59">
        <v>0.1</v>
      </c>
      <c r="J54" s="57" t="s">
        <v>199</v>
      </c>
      <c r="K54" s="32">
        <f>K15*G15</f>
        <v>22.299299999999999</v>
      </c>
      <c r="L54" s="33">
        <f>L15*H15</f>
        <v>1.114965</v>
      </c>
    </row>
    <row r="55" spans="1:12" x14ac:dyDescent="0.2">
      <c r="A55" s="229"/>
      <c r="B55" s="229"/>
      <c r="C55" s="316" t="s">
        <v>70</v>
      </c>
      <c r="D55" s="324">
        <f>D54*lbf2N</f>
        <v>0.86642082935932174</v>
      </c>
      <c r="F55" s="150" t="s">
        <v>322</v>
      </c>
      <c r="G55" s="69" t="s">
        <v>246</v>
      </c>
      <c r="H55" s="155">
        <f>D122*(1+H54)</f>
        <v>0.95275590551181111</v>
      </c>
      <c r="J55" s="57" t="s">
        <v>200</v>
      </c>
      <c r="K55" s="32">
        <f>K54/lbf2N</f>
        <v>5.0130816312675037</v>
      </c>
      <c r="L55" s="24">
        <f>L54/lbf2N</f>
        <v>0.25065408156337521</v>
      </c>
    </row>
    <row r="56" spans="1:12" x14ac:dyDescent="0.2">
      <c r="A56" s="229"/>
      <c r="B56" s="235" t="s">
        <v>188</v>
      </c>
      <c r="C56" s="318" t="s">
        <v>108</v>
      </c>
      <c r="D56" s="313">
        <f>PI()*(D53/2)^2</f>
        <v>1.9477913408083535E-2</v>
      </c>
      <c r="F56" s="18"/>
      <c r="G56" s="152" t="s">
        <v>15</v>
      </c>
      <c r="H56" s="154">
        <f>H55*in2cm</f>
        <v>2.4200000000000004</v>
      </c>
      <c r="J56" s="57" t="s">
        <v>184</v>
      </c>
      <c r="K56" s="32">
        <f>K53*lbf2N</f>
        <v>11.149649999999999</v>
      </c>
      <c r="L56" s="33">
        <f>L53*lbf2N</f>
        <v>0.55748249999999999</v>
      </c>
    </row>
    <row r="57" spans="1:12" x14ac:dyDescent="0.2">
      <c r="A57" s="229"/>
      <c r="B57" s="235" t="s">
        <v>189</v>
      </c>
      <c r="C57" s="316"/>
      <c r="D57" s="325">
        <v>2</v>
      </c>
      <c r="F57" s="150" t="s">
        <v>323</v>
      </c>
      <c r="G57" s="69" t="s">
        <v>246</v>
      </c>
      <c r="H57" s="24">
        <f>D124</f>
        <v>1.5354330708661417</v>
      </c>
      <c r="J57" s="57" t="s">
        <v>182</v>
      </c>
      <c r="K57" s="32">
        <f>K54*K50</f>
        <v>22.299299999999999</v>
      </c>
      <c r="L57" s="20">
        <f>L54*L50</f>
        <v>0.1114965</v>
      </c>
    </row>
    <row r="58" spans="1:12" x14ac:dyDescent="0.2">
      <c r="A58" s="229"/>
      <c r="B58" s="235" t="s">
        <v>190</v>
      </c>
      <c r="C58" s="316" t="s">
        <v>70</v>
      </c>
      <c r="D58" s="326">
        <f>D57*D55</f>
        <v>1.7328416587186435</v>
      </c>
      <c r="F58" s="18"/>
      <c r="G58" s="152" t="s">
        <v>15</v>
      </c>
      <c r="H58" s="154">
        <f>H57*in2cm</f>
        <v>3.9</v>
      </c>
      <c r="J58" s="57" t="s">
        <v>215</v>
      </c>
      <c r="K58" s="23">
        <f>K57/G15*1000</f>
        <v>13.5</v>
      </c>
      <c r="L58" s="24">
        <f>L57/H15*1000</f>
        <v>13.5</v>
      </c>
    </row>
    <row r="59" spans="1:12" x14ac:dyDescent="0.2">
      <c r="A59" s="229"/>
      <c r="B59" s="235" t="s">
        <v>361</v>
      </c>
      <c r="C59" s="268"/>
      <c r="D59" s="250"/>
      <c r="F59" s="150" t="s">
        <v>325</v>
      </c>
      <c r="G59" s="69"/>
      <c r="H59" s="59">
        <v>3</v>
      </c>
      <c r="J59" s="84" t="s">
        <v>195</v>
      </c>
      <c r="K59" s="19"/>
      <c r="L59" s="22"/>
    </row>
    <row r="60" spans="1:12" x14ac:dyDescent="0.2">
      <c r="A60" s="229"/>
      <c r="B60" s="327" t="s">
        <v>213</v>
      </c>
      <c r="C60" s="268"/>
      <c r="D60" s="250"/>
      <c r="F60" s="150" t="s">
        <v>326</v>
      </c>
      <c r="G60" s="69" t="s">
        <v>246</v>
      </c>
      <c r="H60" s="157">
        <f>H59*D119</f>
        <v>0.47244094488188976</v>
      </c>
      <c r="J60" s="57" t="s">
        <v>199</v>
      </c>
      <c r="K60" s="32">
        <f>K25*G13</f>
        <v>44.739750000000001</v>
      </c>
      <c r="L60" s="33">
        <f>L25*H13</f>
        <v>2.2369874999999997</v>
      </c>
    </row>
    <row r="61" spans="1:12" x14ac:dyDescent="0.2">
      <c r="A61" s="229"/>
      <c r="B61" s="235" t="s">
        <v>191</v>
      </c>
      <c r="C61" s="316" t="s">
        <v>192</v>
      </c>
      <c r="D61" s="312">
        <v>0.1</v>
      </c>
      <c r="F61" s="18"/>
      <c r="G61" s="152" t="s">
        <v>15</v>
      </c>
      <c r="H61" s="154">
        <f>H60*in2cm</f>
        <v>1.2</v>
      </c>
      <c r="J61" s="57" t="s">
        <v>200</v>
      </c>
      <c r="K61" s="32">
        <f>K60/lbf2N</f>
        <v>10.057895042108958</v>
      </c>
      <c r="L61" s="33">
        <f>L60/lbf2N</f>
        <v>0.50289475210544787</v>
      </c>
    </row>
    <row r="62" spans="1:12" x14ac:dyDescent="0.2">
      <c r="A62" s="229"/>
      <c r="B62" s="235" t="s">
        <v>74</v>
      </c>
      <c r="C62" s="316" t="s">
        <v>193</v>
      </c>
      <c r="D62" s="324">
        <f>D61*D58</f>
        <v>0.17328416587186435</v>
      </c>
      <c r="F62" s="150" t="s">
        <v>324</v>
      </c>
      <c r="G62" s="69" t="s">
        <v>246</v>
      </c>
      <c r="H62" s="154">
        <f>H51-H57</f>
        <v>0.46456692913385833</v>
      </c>
      <c r="J62" s="57" t="s">
        <v>183</v>
      </c>
      <c r="K62" s="66">
        <v>4</v>
      </c>
      <c r="L62" s="64">
        <f>D57</f>
        <v>2</v>
      </c>
    </row>
    <row r="63" spans="1:12" x14ac:dyDescent="0.2">
      <c r="A63" s="229"/>
      <c r="B63" s="327" t="s">
        <v>214</v>
      </c>
      <c r="C63" s="273"/>
      <c r="D63" s="312"/>
      <c r="F63" s="18"/>
      <c r="G63" s="152" t="s">
        <v>15</v>
      </c>
      <c r="H63" s="154">
        <f>H62*in2cm</f>
        <v>1.1800000000000002</v>
      </c>
      <c r="J63" s="57" t="s">
        <v>196</v>
      </c>
      <c r="K63" s="85">
        <f>K61/K62</f>
        <v>2.5144737605272396</v>
      </c>
      <c r="L63" s="24">
        <f>L61/L62</f>
        <v>0.25144737605272394</v>
      </c>
    </row>
    <row r="64" spans="1:12" x14ac:dyDescent="0.2">
      <c r="A64" s="229"/>
      <c r="B64" s="235" t="s">
        <v>191</v>
      </c>
      <c r="C64" s="316" t="s">
        <v>192</v>
      </c>
      <c r="D64" s="312">
        <v>1</v>
      </c>
      <c r="F64" s="18" t="s">
        <v>166</v>
      </c>
      <c r="G64" s="69" t="s">
        <v>170</v>
      </c>
      <c r="H64" s="33">
        <f>PI()*((H52/2)^2)</f>
        <v>81.073196655599631</v>
      </c>
      <c r="J64" s="57" t="s">
        <v>184</v>
      </c>
      <c r="K64" s="32">
        <f>K63*lbf2N</f>
        <v>11.1849375</v>
      </c>
      <c r="L64" s="33">
        <f>L63*lbf2N</f>
        <v>1.1184937499999998</v>
      </c>
    </row>
    <row r="65" spans="1:12" x14ac:dyDescent="0.2">
      <c r="A65" s="229"/>
      <c r="B65" s="235" t="s">
        <v>74</v>
      </c>
      <c r="C65" s="316" t="s">
        <v>193</v>
      </c>
      <c r="D65" s="324">
        <f>D64*D58</f>
        <v>1.7328416587186435</v>
      </c>
      <c r="F65" s="158" t="s">
        <v>314</v>
      </c>
      <c r="G65" s="69" t="s">
        <v>170</v>
      </c>
      <c r="H65" s="33">
        <f>PI()*((H56/2)^2)</f>
        <v>4.5996058041208174</v>
      </c>
      <c r="J65" s="57" t="s">
        <v>182</v>
      </c>
      <c r="K65" s="32">
        <f>K60*K50</f>
        <v>44.739750000000001</v>
      </c>
      <c r="L65" s="20">
        <f>L60*L50</f>
        <v>0.22369874999999997</v>
      </c>
    </row>
    <row r="66" spans="1:12" x14ac:dyDescent="0.2">
      <c r="A66" s="229"/>
      <c r="B66" s="268"/>
      <c r="C66" s="273"/>
      <c r="D66" s="271"/>
      <c r="F66" s="158" t="s">
        <v>315</v>
      </c>
      <c r="G66" s="69" t="s">
        <v>170</v>
      </c>
      <c r="H66" s="33">
        <f>PI()*((H61/2)^2)</f>
        <v>1.1309733552923256</v>
      </c>
      <c r="J66" s="57" t="s">
        <v>215</v>
      </c>
      <c r="K66" s="23">
        <f>K65/G13*1000</f>
        <v>14.5</v>
      </c>
      <c r="L66" s="24">
        <f>L65/H13*1000</f>
        <v>14.499999999999996</v>
      </c>
    </row>
    <row r="67" spans="1:12" x14ac:dyDescent="0.2">
      <c r="A67" s="229"/>
      <c r="B67" s="266" t="s">
        <v>244</v>
      </c>
      <c r="C67" s="310" t="s">
        <v>370</v>
      </c>
      <c r="D67" s="311" t="s">
        <v>3</v>
      </c>
      <c r="F67" s="18" t="s">
        <v>167</v>
      </c>
      <c r="G67" s="69" t="s">
        <v>171</v>
      </c>
      <c r="H67" s="33">
        <f>H64*H53</f>
        <v>411.85183901044616</v>
      </c>
      <c r="J67" s="21" t="s">
        <v>359</v>
      </c>
      <c r="K67" s="17"/>
      <c r="L67" s="31"/>
    </row>
    <row r="68" spans="1:12" x14ac:dyDescent="0.2">
      <c r="A68" s="229"/>
      <c r="B68" s="327" t="s">
        <v>273</v>
      </c>
      <c r="C68" s="268"/>
      <c r="D68" s="250"/>
      <c r="F68" s="158" t="s">
        <v>316</v>
      </c>
      <c r="G68" s="69" t="s">
        <v>171</v>
      </c>
      <c r="H68" s="33">
        <f>H65*H58</f>
        <v>17.938462636071186</v>
      </c>
      <c r="J68" s="57" t="s">
        <v>201</v>
      </c>
      <c r="K68" s="66">
        <v>20</v>
      </c>
      <c r="L68" s="22">
        <f>K68*tscl</f>
        <v>2</v>
      </c>
    </row>
    <row r="69" spans="1:12" x14ac:dyDescent="0.2">
      <c r="A69" s="229"/>
      <c r="B69" s="235" t="s">
        <v>268</v>
      </c>
      <c r="C69" s="318" t="s">
        <v>176</v>
      </c>
      <c r="D69" s="328">
        <f>D109</f>
        <v>6800</v>
      </c>
      <c r="F69" s="158" t="s">
        <v>317</v>
      </c>
      <c r="G69" s="69" t="s">
        <v>171</v>
      </c>
      <c r="H69" s="33">
        <f>H66*H63</f>
        <v>1.3345485592449444</v>
      </c>
      <c r="J69" s="21" t="s">
        <v>198</v>
      </c>
      <c r="K69" s="17"/>
      <c r="L69" s="31"/>
    </row>
    <row r="70" spans="1:12" x14ac:dyDescent="0.2">
      <c r="A70" s="229"/>
      <c r="B70" s="235"/>
      <c r="C70" s="318" t="s">
        <v>177</v>
      </c>
      <c r="D70" s="314">
        <f>D69*rpm2rps</f>
        <v>712.09433481368637</v>
      </c>
      <c r="F70" s="147" t="s">
        <v>318</v>
      </c>
      <c r="G70" s="69" t="s">
        <v>171</v>
      </c>
      <c r="H70" s="33">
        <f>H67-H68-H69</f>
        <v>392.57882781513007</v>
      </c>
      <c r="J70" s="57" t="s">
        <v>220</v>
      </c>
      <c r="K70" s="125">
        <f>K22*G99</f>
        <v>4.8151818920101483E-4</v>
      </c>
      <c r="L70" s="126">
        <f>L22*H99</f>
        <v>5.4170796285114169E-4</v>
      </c>
    </row>
    <row r="71" spans="1:12" x14ac:dyDescent="0.2">
      <c r="A71" s="229"/>
      <c r="B71" s="235" t="s">
        <v>264</v>
      </c>
      <c r="C71" s="318" t="s">
        <v>177</v>
      </c>
      <c r="D71" s="329">
        <f>H89</f>
        <v>13.435742166295968</v>
      </c>
      <c r="F71" s="18" t="s">
        <v>164</v>
      </c>
      <c r="G71" s="69"/>
      <c r="H71" s="222" t="s">
        <v>278</v>
      </c>
      <c r="J71" s="57" t="s">
        <v>261</v>
      </c>
      <c r="K71" s="127">
        <f>K70*1000</f>
        <v>0.48151818920101486</v>
      </c>
      <c r="L71" s="128">
        <f>L70*1000</f>
        <v>0.54170796285114164</v>
      </c>
    </row>
    <row r="72" spans="1:12" x14ac:dyDescent="0.2">
      <c r="A72" s="229"/>
      <c r="B72" s="235"/>
      <c r="C72" s="318" t="s">
        <v>241</v>
      </c>
      <c r="D72" s="330">
        <f>D71*rad2deg</f>
        <v>769.8113207547168</v>
      </c>
      <c r="F72" s="18" t="s">
        <v>165</v>
      </c>
      <c r="G72" s="69" t="s">
        <v>168</v>
      </c>
      <c r="H72" s="59">
        <f>(7.85+8.06)/2</f>
        <v>7.9550000000000001</v>
      </c>
      <c r="J72" s="57" t="s">
        <v>181</v>
      </c>
      <c r="K72" s="32">
        <f>K70*K68</f>
        <v>9.630363784020296E-3</v>
      </c>
      <c r="L72" s="107">
        <f>L70*L68</f>
        <v>1.0834159257022834E-3</v>
      </c>
    </row>
    <row r="73" spans="1:12" x14ac:dyDescent="0.2">
      <c r="A73" s="229"/>
      <c r="B73" s="235" t="s">
        <v>266</v>
      </c>
      <c r="C73" s="316" t="s">
        <v>247</v>
      </c>
      <c r="D73" s="331">
        <f>D76/D78*D71/D70</f>
        <v>1.6139969932817404</v>
      </c>
      <c r="F73" s="18" t="s">
        <v>173</v>
      </c>
      <c r="G73" s="69"/>
      <c r="H73" s="59">
        <v>1</v>
      </c>
      <c r="J73" s="57" t="s">
        <v>280</v>
      </c>
      <c r="K73" s="88">
        <f>K72/G$99</f>
        <v>1.1239920382843482E-4</v>
      </c>
      <c r="L73" s="63">
        <f>L72/H$99</f>
        <v>1.1239920382843482E-3</v>
      </c>
    </row>
    <row r="74" spans="1:12" x14ac:dyDescent="0.2">
      <c r="A74" s="229"/>
      <c r="B74" s="235" t="s">
        <v>263</v>
      </c>
      <c r="C74" s="316" t="s">
        <v>247</v>
      </c>
      <c r="D74" s="326">
        <f>L82*1000</f>
        <v>25.234842989960011</v>
      </c>
      <c r="F74" s="18" t="s">
        <v>172</v>
      </c>
      <c r="G74" s="69" t="s">
        <v>68</v>
      </c>
      <c r="H74" s="24">
        <f>H72*H70/1000*H73</f>
        <v>3.1229645752693598</v>
      </c>
      <c r="J74" s="57" t="s">
        <v>281</v>
      </c>
      <c r="K74" s="19">
        <f>K73*rad2deg</f>
        <v>6.4400000000000004E-3</v>
      </c>
      <c r="L74" s="22">
        <f>L73*rad2deg</f>
        <v>6.4399999999999999E-2</v>
      </c>
    </row>
    <row r="75" spans="1:12" x14ac:dyDescent="0.2">
      <c r="A75" s="229"/>
      <c r="B75" s="235" t="s">
        <v>48</v>
      </c>
      <c r="C75" s="268"/>
      <c r="D75" s="270">
        <v>2</v>
      </c>
      <c r="F75" s="18"/>
      <c r="G75" s="69" t="s">
        <v>134</v>
      </c>
      <c r="H75" s="33">
        <f>H74*kg2lb</f>
        <v>6.8849501619303357</v>
      </c>
      <c r="J75" s="57" t="s">
        <v>282</v>
      </c>
      <c r="K75" s="119">
        <f>K73*K68/2</f>
        <v>1.1239920382843482E-3</v>
      </c>
      <c r="L75" s="25">
        <f>L73*L68/2</f>
        <v>1.1239920382843482E-3</v>
      </c>
    </row>
    <row r="76" spans="1:12" x14ac:dyDescent="0.2">
      <c r="A76" s="229"/>
      <c r="B76" s="235" t="s">
        <v>267</v>
      </c>
      <c r="C76" s="318" t="s">
        <v>247</v>
      </c>
      <c r="D76" s="332">
        <f>D75*D74</f>
        <v>50.469685979920023</v>
      </c>
      <c r="F76" s="57" t="s">
        <v>714</v>
      </c>
      <c r="G76" s="69" t="s">
        <v>170</v>
      </c>
      <c r="H76" s="33">
        <f>H64-H65</f>
        <v>76.473590851478818</v>
      </c>
      <c r="J76" s="57" t="s">
        <v>283</v>
      </c>
      <c r="K76" s="119">
        <f>K75*rad2deg</f>
        <v>6.4399999999999999E-2</v>
      </c>
      <c r="L76" s="26">
        <f>L75*rad2deg</f>
        <v>6.4399999999999999E-2</v>
      </c>
    </row>
    <row r="77" spans="1:12" x14ac:dyDescent="0.2">
      <c r="A77" s="229"/>
      <c r="B77" s="333" t="s">
        <v>336</v>
      </c>
      <c r="C77" s="268"/>
      <c r="D77" s="330">
        <f>D70/D71</f>
        <v>53.000000000000007</v>
      </c>
      <c r="F77" s="57" t="s">
        <v>715</v>
      </c>
      <c r="G77" s="69" t="s">
        <v>170</v>
      </c>
      <c r="H77" s="33">
        <f>H64-H66</f>
        <v>79.942223300307305</v>
      </c>
      <c r="J77" s="57" t="s">
        <v>224</v>
      </c>
      <c r="K77" s="93">
        <f>K70/G102</f>
        <v>1.5905605288468763E-8</v>
      </c>
      <c r="L77" s="112">
        <f>L70/H102</f>
        <v>1.6550957591576941E-4</v>
      </c>
    </row>
    <row r="78" spans="1:12" x14ac:dyDescent="0.2">
      <c r="A78" s="229"/>
      <c r="B78" s="333" t="s">
        <v>335</v>
      </c>
      <c r="C78" s="268"/>
      <c r="D78" s="334">
        <f>D133</f>
        <v>0.59</v>
      </c>
      <c r="F78" s="18" t="s">
        <v>712</v>
      </c>
      <c r="G78" s="69" t="s">
        <v>171</v>
      </c>
      <c r="H78" s="33">
        <f>H76*H58</f>
        <v>298.24700432076736</v>
      </c>
      <c r="J78" s="57" t="s">
        <v>227</v>
      </c>
      <c r="K78" s="111">
        <f>K77*rad2deg</f>
        <v>9.1132405363022245E-7</v>
      </c>
      <c r="L78" s="110">
        <f>L77*rad2deg</f>
        <v>9.4830001689736841E-3</v>
      </c>
    </row>
    <row r="79" spans="1:12" x14ac:dyDescent="0.2">
      <c r="A79" s="229"/>
      <c r="B79" s="333" t="s">
        <v>337</v>
      </c>
      <c r="C79" s="316"/>
      <c r="D79" s="312"/>
      <c r="F79" s="18" t="s">
        <v>713</v>
      </c>
      <c r="G79" s="69" t="s">
        <v>171</v>
      </c>
      <c r="H79" s="33">
        <f>H77*H63</f>
        <v>94.331823494362638</v>
      </c>
      <c r="J79" s="57" t="s">
        <v>225</v>
      </c>
      <c r="K79" s="87">
        <f>K77/rpm2rps</f>
        <v>1.5188734227170375E-7</v>
      </c>
      <c r="L79" s="109">
        <f>L77/rpm2rps</f>
        <v>1.5805000281622808E-3</v>
      </c>
    </row>
    <row r="80" spans="1:12" x14ac:dyDescent="0.2">
      <c r="A80" s="229"/>
      <c r="B80" s="333" t="s">
        <v>347</v>
      </c>
      <c r="C80" s="335" t="s">
        <v>15</v>
      </c>
      <c r="D80" s="270">
        <v>5.34</v>
      </c>
      <c r="F80" s="18" t="s">
        <v>710</v>
      </c>
      <c r="G80" s="69" t="s">
        <v>68</v>
      </c>
      <c r="H80" s="24">
        <f>H78*H72/1000</f>
        <v>2.3725549193717042</v>
      </c>
      <c r="J80" s="57" t="s">
        <v>226</v>
      </c>
      <c r="K80" s="86">
        <f>1/K79</f>
        <v>6583827.098713397</v>
      </c>
      <c r="L80" s="94">
        <f>1/L79</f>
        <v>632.71115607808338</v>
      </c>
    </row>
    <row r="81" spans="1:12" x14ac:dyDescent="0.2">
      <c r="A81" s="229"/>
      <c r="B81" s="333" t="s">
        <v>339</v>
      </c>
      <c r="C81" s="318" t="s">
        <v>174</v>
      </c>
      <c r="D81" s="336">
        <f>(D128+D97)</f>
        <v>1.4300000000000003E-6</v>
      </c>
      <c r="F81" s="18" t="s">
        <v>711</v>
      </c>
      <c r="G81" s="69" t="s">
        <v>68</v>
      </c>
      <c r="H81" s="24">
        <f>H72*H79/1000</f>
        <v>0.75040965589765485</v>
      </c>
      <c r="J81" s="153" t="s">
        <v>195</v>
      </c>
      <c r="K81" s="17"/>
      <c r="L81" s="31"/>
    </row>
    <row r="82" spans="1:12" x14ac:dyDescent="0.2">
      <c r="A82" s="229"/>
      <c r="B82" s="333" t="s">
        <v>340</v>
      </c>
      <c r="C82" s="318" t="s">
        <v>174</v>
      </c>
      <c r="D82" s="337">
        <f>H84</f>
        <v>7.3749510000000002E-3</v>
      </c>
      <c r="F82" s="18" t="s">
        <v>716</v>
      </c>
      <c r="G82" s="69" t="s">
        <v>174</v>
      </c>
      <c r="H82" s="96">
        <f>H80*((H52/2/100)^2+(H56/2/100)^2)/2</f>
        <v>3.2350379464363027E-3</v>
      </c>
      <c r="J82" s="57" t="s">
        <v>220</v>
      </c>
      <c r="K82" s="90">
        <f>K32*G99</f>
        <v>2.2430971546631123E-2</v>
      </c>
      <c r="L82" s="123">
        <f>L32*H99</f>
        <v>2.523484298996001E-2</v>
      </c>
    </row>
    <row r="83" spans="1:12" x14ac:dyDescent="0.2">
      <c r="A83" s="229"/>
      <c r="B83" s="333" t="s">
        <v>342</v>
      </c>
      <c r="C83" s="318"/>
      <c r="D83" s="314">
        <f>D82/D81</f>
        <v>5157.3083916083906</v>
      </c>
      <c r="F83" s="57" t="s">
        <v>717</v>
      </c>
      <c r="G83" s="69" t="s">
        <v>174</v>
      </c>
      <c r="H83" s="96">
        <f>H81*((H52/2/100)^2+(H61/2/100)^2)/2</f>
        <v>9.8177596100401969E-4</v>
      </c>
      <c r="J83" s="57" t="s">
        <v>261</v>
      </c>
      <c r="K83" s="130">
        <f>K82*1000</f>
        <v>22.430971546631124</v>
      </c>
      <c r="L83" s="108">
        <f>L82*1000</f>
        <v>25.234842989960011</v>
      </c>
    </row>
    <row r="84" spans="1:12" x14ac:dyDescent="0.2">
      <c r="A84" s="229"/>
      <c r="B84" s="333" t="s">
        <v>305</v>
      </c>
      <c r="C84" s="316"/>
      <c r="D84" s="332">
        <f>SQRT(D83)</f>
        <v>71.814402396792175</v>
      </c>
      <c r="F84" s="228" t="s">
        <v>733</v>
      </c>
      <c r="G84" s="69" t="s">
        <v>174</v>
      </c>
      <c r="H84" s="96">
        <v>7.3749510000000002E-3</v>
      </c>
      <c r="J84" s="57" t="s">
        <v>181</v>
      </c>
      <c r="K84" s="32">
        <f>K82*K68</f>
        <v>0.44861943093262246</v>
      </c>
      <c r="L84" s="107">
        <f>L82*L68</f>
        <v>5.046968597992002E-2</v>
      </c>
    </row>
    <row r="85" spans="1:12" x14ac:dyDescent="0.2">
      <c r="A85" s="229"/>
      <c r="B85" s="333" t="s">
        <v>341</v>
      </c>
      <c r="C85" s="316" t="s">
        <v>718</v>
      </c>
      <c r="D85" s="338">
        <f>D116/D84</f>
        <v>0.73801352139870235</v>
      </c>
      <c r="F85" s="18" t="s">
        <v>175</v>
      </c>
      <c r="G85" s="69" t="s">
        <v>176</v>
      </c>
      <c r="H85" s="146">
        <f>H86</f>
        <v>128.30188679245282</v>
      </c>
      <c r="J85" s="57" t="s">
        <v>280</v>
      </c>
      <c r="K85" s="119">
        <f>K84/G$99</f>
        <v>5.2359877559829881E-3</v>
      </c>
      <c r="L85" s="25">
        <f>L84/H$99</f>
        <v>5.2359877559829876E-2</v>
      </c>
    </row>
    <row r="86" spans="1:12" x14ac:dyDescent="0.2">
      <c r="A86" s="229"/>
      <c r="B86" s="333" t="s">
        <v>306</v>
      </c>
      <c r="C86" s="339" t="s">
        <v>247</v>
      </c>
      <c r="D86" s="340">
        <f>D138</f>
        <v>248.28398437500002</v>
      </c>
      <c r="F86" s="150" t="s">
        <v>311</v>
      </c>
      <c r="G86" s="152" t="s">
        <v>176</v>
      </c>
      <c r="H86" s="148">
        <f>D88</f>
        <v>128.30188679245282</v>
      </c>
      <c r="J86" s="57" t="s">
        <v>281</v>
      </c>
      <c r="K86" s="19">
        <f>K85*rad2deg</f>
        <v>0.3</v>
      </c>
      <c r="L86" s="22">
        <f>L85*rad2deg</f>
        <v>2.9999999999999996</v>
      </c>
    </row>
    <row r="87" spans="1:12" x14ac:dyDescent="0.2">
      <c r="A87" s="229"/>
      <c r="B87" s="333" t="s">
        <v>307</v>
      </c>
      <c r="C87" s="339" t="s">
        <v>247</v>
      </c>
      <c r="D87" s="340">
        <f>D139</f>
        <v>149.42882799768464</v>
      </c>
      <c r="F87" s="150" t="s">
        <v>310</v>
      </c>
      <c r="G87" s="69"/>
      <c r="H87" s="148">
        <f>H86-H85</f>
        <v>0</v>
      </c>
      <c r="J87" s="57" t="s">
        <v>282</v>
      </c>
      <c r="K87" s="119">
        <f>K85*K68/2</f>
        <v>5.2359877559829883E-2</v>
      </c>
      <c r="L87" s="25">
        <f>L85*L68/2</f>
        <v>5.2359877559829876E-2</v>
      </c>
    </row>
    <row r="88" spans="1:12" x14ac:dyDescent="0.2">
      <c r="A88" s="229"/>
      <c r="B88" s="333" t="s">
        <v>328</v>
      </c>
      <c r="C88" s="339" t="s">
        <v>176</v>
      </c>
      <c r="D88" s="340">
        <f>D109/D116</f>
        <v>128.30188679245282</v>
      </c>
      <c r="F88" s="18"/>
      <c r="G88" s="69" t="s">
        <v>265</v>
      </c>
      <c r="H88" s="97">
        <f>H85/60</f>
        <v>2.1383647798742138</v>
      </c>
      <c r="J88" s="57" t="s">
        <v>283</v>
      </c>
      <c r="K88" s="23">
        <f>K87*rad2deg</f>
        <v>3</v>
      </c>
      <c r="L88" s="20">
        <f>L87*rad2deg</f>
        <v>2.9999999999999996</v>
      </c>
    </row>
    <row r="89" spans="1:12" x14ac:dyDescent="0.2">
      <c r="A89" s="229"/>
      <c r="B89" s="341" t="s">
        <v>338</v>
      </c>
      <c r="C89" s="342" t="s">
        <v>333</v>
      </c>
      <c r="D89" s="343">
        <f>D102/1000*(1+D83)</f>
        <v>414.21216384615377</v>
      </c>
      <c r="F89" s="18"/>
      <c r="G89" s="69" t="s">
        <v>177</v>
      </c>
      <c r="H89" s="121">
        <f>H85*rpm2rps</f>
        <v>13.435742166295968</v>
      </c>
      <c r="J89" s="57" t="s">
        <v>224</v>
      </c>
      <c r="K89" s="87">
        <f>K82/G102</f>
        <v>7.4094434573612235E-7</v>
      </c>
      <c r="L89" s="109">
        <f>L82/H102</f>
        <v>7.7100734122252804E-3</v>
      </c>
    </row>
    <row r="90" spans="1:12" x14ac:dyDescent="0.2">
      <c r="B90" s="153" t="s">
        <v>313</v>
      </c>
      <c r="C90" s="98"/>
      <c r="D90" s="99"/>
      <c r="F90" s="18"/>
      <c r="G90" s="78" t="s">
        <v>241</v>
      </c>
      <c r="H90" s="33">
        <f>H89*rad2deg</f>
        <v>769.8113207547168</v>
      </c>
      <c r="J90" s="57" t="s">
        <v>227</v>
      </c>
      <c r="K90" s="111">
        <f>K89*rad2deg</f>
        <v>4.2452983864761904E-5</v>
      </c>
      <c r="L90" s="110">
        <f>L89*rad2deg</f>
        <v>0.44175466625653792</v>
      </c>
    </row>
    <row r="91" spans="1:12" x14ac:dyDescent="0.2">
      <c r="B91" s="147" t="s">
        <v>515</v>
      </c>
      <c r="C91" s="183" t="s">
        <v>514</v>
      </c>
      <c r="D91" s="176" t="s">
        <v>719</v>
      </c>
      <c r="F91" s="18" t="s">
        <v>259</v>
      </c>
      <c r="G91" s="78" t="s">
        <v>260</v>
      </c>
      <c r="H91" s="24">
        <f>H84*H89*H89/2</f>
        <v>0.66566000765488387</v>
      </c>
      <c r="J91" s="57" t="s">
        <v>225</v>
      </c>
      <c r="K91" s="87">
        <f>K89/rpm2rps</f>
        <v>7.0754973107936513E-6</v>
      </c>
      <c r="L91" s="109">
        <f>L89/rpm2rps</f>
        <v>7.3625777709422996E-2</v>
      </c>
    </row>
    <row r="92" spans="1:12" x14ac:dyDescent="0.2">
      <c r="B92" s="18" t="s">
        <v>258</v>
      </c>
      <c r="C92" s="66">
        <v>339260</v>
      </c>
      <c r="D92" s="59" t="s">
        <v>270</v>
      </c>
      <c r="F92" s="18" t="s">
        <v>180</v>
      </c>
      <c r="G92" s="69" t="s">
        <v>179</v>
      </c>
      <c r="H92" s="95">
        <f>H84*H89</f>
        <v>9.9087940125066623E-2</v>
      </c>
      <c r="J92" s="57" t="s">
        <v>226</v>
      </c>
      <c r="K92" s="86">
        <f>1/K91</f>
        <v>141332.82171904761</v>
      </c>
      <c r="L92" s="94">
        <f>1/L91</f>
        <v>13.582199483809527</v>
      </c>
    </row>
    <row r="93" spans="1:12" x14ac:dyDescent="0.2">
      <c r="B93" s="57" t="s">
        <v>17</v>
      </c>
      <c r="C93" s="100" t="s">
        <v>68</v>
      </c>
      <c r="D93" s="59">
        <v>3.2000000000000001E-2</v>
      </c>
      <c r="F93" s="80" t="s">
        <v>48</v>
      </c>
      <c r="G93" s="28"/>
      <c r="H93" s="124">
        <f>H92/L84</f>
        <v>1.9633159628631327</v>
      </c>
      <c r="J93" s="131" t="s">
        <v>353</v>
      </c>
      <c r="K93" s="132" t="s">
        <v>370</v>
      </c>
      <c r="L93" s="133" t="s">
        <v>3</v>
      </c>
    </row>
    <row r="94" spans="1:12" x14ac:dyDescent="0.2">
      <c r="B94" s="57" t="s">
        <v>274</v>
      </c>
      <c r="C94" s="100" t="s">
        <v>275</v>
      </c>
      <c r="D94" s="59">
        <v>13.2</v>
      </c>
      <c r="F94" s="58"/>
      <c r="G94" s="58"/>
      <c r="H94" s="89"/>
      <c r="J94" t="s">
        <v>727</v>
      </c>
      <c r="K94" t="s">
        <v>725</v>
      </c>
      <c r="L94" s="224">
        <v>10</v>
      </c>
    </row>
    <row r="95" spans="1:12" x14ac:dyDescent="0.2">
      <c r="B95" s="147" t="s">
        <v>319</v>
      </c>
      <c r="C95" s="149"/>
      <c r="D95" s="59">
        <v>0.56999999999999995</v>
      </c>
      <c r="F95" s="60" t="s">
        <v>223</v>
      </c>
      <c r="G95" s="61" t="s">
        <v>2</v>
      </c>
      <c r="H95" s="62" t="s">
        <v>3</v>
      </c>
      <c r="J95" t="s">
        <v>728</v>
      </c>
      <c r="K95" t="s">
        <v>721</v>
      </c>
      <c r="L95">
        <f>L94*360/60</f>
        <v>60</v>
      </c>
    </row>
    <row r="96" spans="1:12" x14ac:dyDescent="0.2">
      <c r="B96" s="57" t="s">
        <v>32</v>
      </c>
      <c r="C96" s="69" t="s">
        <v>277</v>
      </c>
      <c r="D96" s="59">
        <v>13.9</v>
      </c>
      <c r="F96" s="57" t="s">
        <v>240</v>
      </c>
      <c r="G96" s="129">
        <v>1</v>
      </c>
      <c r="H96" s="104">
        <v>225</v>
      </c>
      <c r="K96" t="s">
        <v>726</v>
      </c>
      <c r="L96">
        <f>L95*PI()/180</f>
        <v>1.0471975511965976</v>
      </c>
    </row>
    <row r="97" spans="2:12" x14ac:dyDescent="0.2">
      <c r="B97" s="57"/>
      <c r="C97" s="78" t="s">
        <v>174</v>
      </c>
      <c r="D97" s="181">
        <f>D96*gcs2kgms</f>
        <v>1.3900000000000002E-6</v>
      </c>
      <c r="F97" s="57" t="s">
        <v>583</v>
      </c>
      <c r="G97" s="32">
        <f>G96*G26</f>
        <v>71.400000000000006</v>
      </c>
      <c r="H97" s="95">
        <f>H96*H26</f>
        <v>0.80325000000000002</v>
      </c>
      <c r="J97" s="227" t="s">
        <v>731</v>
      </c>
      <c r="K97" t="s">
        <v>729</v>
      </c>
      <c r="L97">
        <f>$L$96*$H$99</f>
        <v>1.0093937195984006</v>
      </c>
    </row>
    <row r="98" spans="2:12" x14ac:dyDescent="0.2">
      <c r="B98" s="18" t="s">
        <v>91</v>
      </c>
      <c r="C98" s="67" t="s">
        <v>15</v>
      </c>
      <c r="D98" s="59">
        <v>3.2</v>
      </c>
      <c r="F98" s="57" t="s">
        <v>222</v>
      </c>
      <c r="G98" s="129">
        <v>1.2</v>
      </c>
      <c r="H98" s="105">
        <f>H96*G98</f>
        <v>270</v>
      </c>
      <c r="J98" s="225" t="s">
        <v>730</v>
      </c>
      <c r="K98" s="28"/>
      <c r="L98" s="28">
        <f>$L$97/$H$89/H84</f>
        <v>10.186847343121332</v>
      </c>
    </row>
    <row r="99" spans="2:12" x14ac:dyDescent="0.2">
      <c r="B99" s="18" t="s">
        <v>92</v>
      </c>
      <c r="C99" s="67" t="s">
        <v>15</v>
      </c>
      <c r="D99" s="59">
        <v>1.8</v>
      </c>
      <c r="F99" s="57" t="s">
        <v>584</v>
      </c>
      <c r="G99" s="32">
        <f>G98*G26</f>
        <v>85.68</v>
      </c>
      <c r="H99" s="95">
        <f>H98*H26</f>
        <v>0.96390000000000009</v>
      </c>
      <c r="J99" s="19" t="s">
        <v>720</v>
      </c>
      <c r="K99" s="19" t="s">
        <v>721</v>
      </c>
      <c r="L99" s="226">
        <f>$L$110/$H$99*180/PI()</f>
        <v>5.889947888589397</v>
      </c>
    </row>
    <row r="100" spans="2:12" x14ac:dyDescent="0.2">
      <c r="B100" s="57" t="s">
        <v>245</v>
      </c>
      <c r="C100" s="67" t="s">
        <v>15</v>
      </c>
      <c r="D100" s="59">
        <v>0.4</v>
      </c>
      <c r="F100" s="57" t="s">
        <v>221</v>
      </c>
      <c r="G100" s="23">
        <f>C19</f>
        <v>312.42</v>
      </c>
      <c r="H100" s="24">
        <f>D19</f>
        <v>31.242000000000004</v>
      </c>
      <c r="J100" s="18" t="s">
        <v>722</v>
      </c>
      <c r="K100" s="19" t="s">
        <v>723</v>
      </c>
      <c r="L100" s="103">
        <f>360/L99</f>
        <v>61.121084058727995</v>
      </c>
    </row>
    <row r="101" spans="2:12" x14ac:dyDescent="0.2">
      <c r="B101" s="57" t="s">
        <v>494</v>
      </c>
      <c r="C101" s="67" t="s">
        <v>15</v>
      </c>
      <c r="D101" s="65">
        <f>2.03-1.03</f>
        <v>0.99999999999999978</v>
      </c>
      <c r="F101" s="57" t="s">
        <v>585</v>
      </c>
      <c r="G101" s="32">
        <f>G13*(G100/100)^2</f>
        <v>30116.410412220001</v>
      </c>
      <c r="H101" s="24">
        <f>H13*(H100/100)^2</f>
        <v>1.5058205206110002</v>
      </c>
      <c r="J101" t="s">
        <v>724</v>
      </c>
      <c r="K101" t="s">
        <v>725</v>
      </c>
      <c r="L101" s="223">
        <f>60/$L$100</f>
        <v>0.98165798143156613</v>
      </c>
    </row>
    <row r="102" spans="2:12" x14ac:dyDescent="0.2">
      <c r="B102" s="158" t="s">
        <v>332</v>
      </c>
      <c r="C102" s="149" t="s">
        <v>334</v>
      </c>
      <c r="D102" s="59">
        <v>80.3</v>
      </c>
      <c r="F102" s="57" t="s">
        <v>586</v>
      </c>
      <c r="G102" s="32">
        <f>G99+G101+G97</f>
        <v>30273.490412220002</v>
      </c>
      <c r="H102" s="106">
        <f>H99+H101+H97</f>
        <v>3.2729705206110005</v>
      </c>
      <c r="J102" s="227" t="s">
        <v>732</v>
      </c>
      <c r="K102" s="227" t="s">
        <v>40</v>
      </c>
      <c r="L102" s="223">
        <f>1/$L$101</f>
        <v>1.0186847343121332</v>
      </c>
    </row>
    <row r="103" spans="2:12" x14ac:dyDescent="0.2">
      <c r="B103" s="18" t="s">
        <v>256</v>
      </c>
      <c r="C103" s="67" t="s">
        <v>257</v>
      </c>
      <c r="D103" s="59">
        <v>12</v>
      </c>
      <c r="F103" s="21" t="s">
        <v>358</v>
      </c>
      <c r="G103" s="17"/>
      <c r="H103" s="31"/>
      <c r="I103" s="58"/>
      <c r="J103" s="58"/>
      <c r="K103" s="117"/>
      <c r="L103" s="118"/>
    </row>
    <row r="104" spans="2:12" x14ac:dyDescent="0.2">
      <c r="B104" s="150" t="s">
        <v>320</v>
      </c>
      <c r="C104" s="67" t="s">
        <v>255</v>
      </c>
      <c r="D104" s="59">
        <v>6</v>
      </c>
      <c r="F104" s="18" t="s">
        <v>228</v>
      </c>
      <c r="G104" s="87">
        <f>H45</f>
        <v>1.1189626674572867E-3</v>
      </c>
      <c r="H104" s="76">
        <f>G104/tscl</f>
        <v>1.1189626674572867E-2</v>
      </c>
      <c r="J104" s="131" t="s">
        <v>353</v>
      </c>
      <c r="K104" s="132" t="s">
        <v>370</v>
      </c>
      <c r="L104" s="133" t="s">
        <v>3</v>
      </c>
    </row>
    <row r="105" spans="2:12" x14ac:dyDescent="0.2">
      <c r="B105" s="147" t="s">
        <v>331</v>
      </c>
      <c r="C105" s="100" t="s">
        <v>276</v>
      </c>
      <c r="D105" s="103">
        <f>D104/D103</f>
        <v>0.5</v>
      </c>
      <c r="F105" s="18" t="s">
        <v>230</v>
      </c>
      <c r="G105" s="91">
        <f>G104*rad2deg</f>
        <v>6.4111838278003153E-2</v>
      </c>
      <c r="H105" s="92">
        <f>H104*rad2deg</f>
        <v>0.64111838278003153</v>
      </c>
      <c r="J105" s="18" t="s">
        <v>290</v>
      </c>
      <c r="K105" s="69" t="s">
        <v>279</v>
      </c>
      <c r="L105" s="77">
        <f>L70</f>
        <v>5.4170796285114169E-4</v>
      </c>
    </row>
    <row r="106" spans="2:12" x14ac:dyDescent="0.2">
      <c r="B106" s="57" t="s">
        <v>271</v>
      </c>
      <c r="C106" s="69" t="s">
        <v>176</v>
      </c>
      <c r="D106" s="59">
        <v>7970</v>
      </c>
      <c r="F106" s="18" t="s">
        <v>231</v>
      </c>
      <c r="G106" s="86">
        <f>1/(G104/rpm2rps)</f>
        <v>93.586460178893446</v>
      </c>
      <c r="H106" s="92">
        <f>1/(H104/rpm2rps)</f>
        <v>9.3586460178893454</v>
      </c>
      <c r="J106" s="113" t="s">
        <v>291</v>
      </c>
      <c r="K106" s="139" t="s">
        <v>279</v>
      </c>
      <c r="L106" s="135">
        <f>L82</f>
        <v>2.523484298996001E-2</v>
      </c>
    </row>
    <row r="107" spans="2:12" x14ac:dyDescent="0.2">
      <c r="B107" s="18" t="s">
        <v>269</v>
      </c>
      <c r="C107" s="67" t="s">
        <v>247</v>
      </c>
      <c r="D107" s="59">
        <v>7.98</v>
      </c>
      <c r="F107" s="57" t="s">
        <v>233</v>
      </c>
      <c r="G107" s="88">
        <f>G97*G104</f>
        <v>7.989393445645028E-2</v>
      </c>
      <c r="H107" s="25">
        <f>H97*H104</f>
        <v>8.988067626350656E-3</v>
      </c>
      <c r="J107" s="80" t="s">
        <v>294</v>
      </c>
      <c r="K107" s="81" t="s">
        <v>279</v>
      </c>
      <c r="L107" s="136">
        <f>D87/1000</f>
        <v>0.14942882799768464</v>
      </c>
    </row>
    <row r="108" spans="2:12" x14ac:dyDescent="0.2">
      <c r="B108" s="147" t="s">
        <v>329</v>
      </c>
      <c r="C108" s="100"/>
      <c r="D108" s="159">
        <f>D107/D73</f>
        <v>4.9442471288464205</v>
      </c>
      <c r="F108" s="18" t="s">
        <v>229</v>
      </c>
      <c r="G108" s="87">
        <f>G104</f>
        <v>1.1189626674572867E-3</v>
      </c>
      <c r="H108" s="76">
        <f>H104</f>
        <v>1.1189626674572867E-2</v>
      </c>
      <c r="J108" s="113" t="s">
        <v>292</v>
      </c>
      <c r="K108" s="140" t="s">
        <v>179</v>
      </c>
      <c r="L108" s="135">
        <f>L84</f>
        <v>5.046968597992002E-2</v>
      </c>
    </row>
    <row r="109" spans="2:12" x14ac:dyDescent="0.2">
      <c r="B109" s="147" t="s">
        <v>308</v>
      </c>
      <c r="C109" s="149" t="s">
        <v>176</v>
      </c>
      <c r="D109" s="59">
        <v>6800</v>
      </c>
      <c r="F109" s="57" t="s">
        <v>234</v>
      </c>
      <c r="G109" s="88">
        <f>G108*G99</f>
        <v>9.5872721347740331E-2</v>
      </c>
      <c r="H109" s="25">
        <f>H108*H99</f>
        <v>1.0785681151620787E-2</v>
      </c>
      <c r="J109" s="18" t="s">
        <v>300</v>
      </c>
      <c r="K109" s="78" t="s">
        <v>179</v>
      </c>
      <c r="L109" s="134">
        <f>H113</f>
        <v>5.0423059383827185E-2</v>
      </c>
    </row>
    <row r="110" spans="2:12" x14ac:dyDescent="0.2">
      <c r="B110" s="147"/>
      <c r="C110" s="149" t="s">
        <v>177</v>
      </c>
      <c r="D110" s="160">
        <f>D109*rpm2rps</f>
        <v>712.09433481368637</v>
      </c>
      <c r="F110" s="18" t="s">
        <v>232</v>
      </c>
      <c r="G110" s="88">
        <f>G107+G109</f>
        <v>0.1757666558041906</v>
      </c>
      <c r="H110" s="114">
        <f>H107+H109</f>
        <v>1.9773748777971445E-2</v>
      </c>
      <c r="J110" s="80" t="s">
        <v>293</v>
      </c>
      <c r="K110" s="141" t="s">
        <v>179</v>
      </c>
      <c r="L110" s="136">
        <f>H92</f>
        <v>9.9087940125066623E-2</v>
      </c>
    </row>
    <row r="111" spans="2:12" x14ac:dyDescent="0.2">
      <c r="B111" s="150" t="s">
        <v>309</v>
      </c>
      <c r="C111" s="151" t="s">
        <v>247</v>
      </c>
      <c r="D111" s="116">
        <f>D104*D95/D110*1000</f>
        <v>4.8027344591848422</v>
      </c>
      <c r="F111" s="21" t="s">
        <v>357</v>
      </c>
      <c r="G111" s="17"/>
      <c r="H111" s="31"/>
      <c r="J111" s="137" t="s">
        <v>295</v>
      </c>
      <c r="K111" s="142" t="s">
        <v>247</v>
      </c>
      <c r="L111" s="164">
        <f>D73</f>
        <v>1.6139969932817404</v>
      </c>
    </row>
    <row r="112" spans="2:12" x14ac:dyDescent="0.2">
      <c r="B112" s="147" t="s">
        <v>330</v>
      </c>
      <c r="C112" s="100"/>
      <c r="D112" s="159">
        <f>D111/D73</f>
        <v>2.9756774511825088</v>
      </c>
      <c r="F112" s="18" t="s">
        <v>235</v>
      </c>
      <c r="G112" s="66">
        <v>1.55</v>
      </c>
      <c r="H112" s="22">
        <f>G112</f>
        <v>1.55</v>
      </c>
      <c r="J112" s="80" t="s">
        <v>299</v>
      </c>
      <c r="K112" s="143" t="s">
        <v>247</v>
      </c>
      <c r="L112" s="165">
        <f>D107</f>
        <v>7.98</v>
      </c>
    </row>
    <row r="113" spans="2:13" x14ac:dyDescent="0.2">
      <c r="B113" s="153" t="s">
        <v>312</v>
      </c>
      <c r="C113" s="98"/>
      <c r="D113" s="99"/>
      <c r="F113" s="18" t="s">
        <v>236</v>
      </c>
      <c r="G113" s="115">
        <f>G112*G110+G110</f>
        <v>0.44820497230068601</v>
      </c>
      <c r="H113" s="95">
        <f>H112*H110+H110</f>
        <v>5.0423059383827185E-2</v>
      </c>
      <c r="J113" s="137" t="s">
        <v>298</v>
      </c>
      <c r="K113" s="142" t="s">
        <v>176</v>
      </c>
      <c r="L113" s="144">
        <f>D69</f>
        <v>6800</v>
      </c>
    </row>
    <row r="114" spans="2:13" x14ac:dyDescent="0.2">
      <c r="B114" s="147" t="s">
        <v>515</v>
      </c>
      <c r="C114" s="183" t="s">
        <v>514</v>
      </c>
      <c r="D114" s="177" t="s">
        <v>303</v>
      </c>
      <c r="F114" s="18" t="s">
        <v>237</v>
      </c>
      <c r="G114" s="93">
        <f>G113/G102</f>
        <v>1.4805196434163616E-5</v>
      </c>
      <c r="H114" s="77">
        <f>H113/H102</f>
        <v>1.5405900867819051E-2</v>
      </c>
      <c r="J114" s="80" t="s">
        <v>297</v>
      </c>
      <c r="K114" s="143" t="s">
        <v>176</v>
      </c>
      <c r="L114" s="145">
        <f>D134</f>
        <v>8000</v>
      </c>
    </row>
    <row r="115" spans="2:13" x14ac:dyDescent="0.2">
      <c r="B115" s="57" t="s">
        <v>258</v>
      </c>
      <c r="C115" s="66">
        <v>143980</v>
      </c>
      <c r="D115" s="59" t="s">
        <v>304</v>
      </c>
      <c r="F115" s="18" t="s">
        <v>238</v>
      </c>
      <c r="G115" s="90">
        <f>G114*rad2deg</f>
        <v>8.4827527053971119E-4</v>
      </c>
      <c r="H115" s="79">
        <f>H114*rad2deg</f>
        <v>0.88269309932296391</v>
      </c>
      <c r="J115" s="137" t="s">
        <v>301</v>
      </c>
      <c r="K115" s="142"/>
      <c r="L115" s="138">
        <f>D77</f>
        <v>53.000000000000007</v>
      </c>
    </row>
    <row r="116" spans="2:13" x14ac:dyDescent="0.2">
      <c r="B116" s="57" t="s">
        <v>272</v>
      </c>
      <c r="C116" s="19"/>
      <c r="D116" s="59">
        <v>53</v>
      </c>
      <c r="F116" s="27" t="s">
        <v>239</v>
      </c>
      <c r="G116" s="175">
        <f>1/(G114/rpm2rps)</f>
        <v>7073.1756640536369</v>
      </c>
      <c r="H116" s="82">
        <f>1/(H114/rpm2rps)</f>
        <v>6.7973795247771509</v>
      </c>
      <c r="J116" s="80" t="s">
        <v>302</v>
      </c>
      <c r="K116" s="143"/>
      <c r="L116" s="120">
        <f>D117</f>
        <v>52.734375</v>
      </c>
    </row>
    <row r="117" spans="2:13" x14ac:dyDescent="0.2">
      <c r="B117" s="158" t="s">
        <v>343</v>
      </c>
      <c r="C117" s="19"/>
      <c r="D117" s="104">
        <f>3375/64</f>
        <v>52.734375</v>
      </c>
      <c r="E117" s="229"/>
      <c r="F117" s="268"/>
      <c r="G117" s="268"/>
      <c r="H117" s="268"/>
      <c r="I117" s="268"/>
      <c r="J117" s="268"/>
      <c r="K117" s="344"/>
      <c r="L117" s="345"/>
      <c r="M117" s="229"/>
    </row>
    <row r="118" spans="2:13" x14ac:dyDescent="0.2">
      <c r="B118" s="147" t="s">
        <v>245</v>
      </c>
      <c r="C118" s="152" t="s">
        <v>15</v>
      </c>
      <c r="D118" s="59">
        <v>0.4</v>
      </c>
      <c r="E118" s="229"/>
      <c r="F118" s="346" t="s">
        <v>356</v>
      </c>
      <c r="G118" s="347" t="s">
        <v>370</v>
      </c>
      <c r="H118" s="348" t="s">
        <v>3</v>
      </c>
      <c r="I118" s="229"/>
      <c r="J118" s="266" t="s">
        <v>354</v>
      </c>
      <c r="K118" s="263" t="s">
        <v>370</v>
      </c>
      <c r="L118" s="265" t="s">
        <v>3</v>
      </c>
      <c r="M118" s="229"/>
    </row>
    <row r="119" spans="2:13" x14ac:dyDescent="0.2">
      <c r="B119" s="147"/>
      <c r="C119" s="152" t="s">
        <v>246</v>
      </c>
      <c r="D119" s="180">
        <f>D118/in2cm</f>
        <v>0.15748031496062992</v>
      </c>
      <c r="E119" s="229"/>
      <c r="F119" s="349" t="s">
        <v>355</v>
      </c>
      <c r="G119" s="350"/>
      <c r="H119" s="351"/>
      <c r="I119" s="229"/>
      <c r="J119" s="333" t="s">
        <v>381</v>
      </c>
      <c r="K119" s="316"/>
      <c r="L119" s="312"/>
      <c r="M119" s="229"/>
    </row>
    <row r="120" spans="2:13" x14ac:dyDescent="0.2">
      <c r="B120" s="57" t="s">
        <v>494</v>
      </c>
      <c r="C120" s="67" t="s">
        <v>15</v>
      </c>
      <c r="D120" s="59">
        <f>1.485-0.315</f>
        <v>1.1700000000000002</v>
      </c>
      <c r="E120" s="229"/>
      <c r="F120" s="235" t="s">
        <v>421</v>
      </c>
      <c r="G120" s="268"/>
      <c r="H120" s="270" t="s">
        <v>422</v>
      </c>
      <c r="I120" s="229"/>
      <c r="J120" s="235" t="s">
        <v>382</v>
      </c>
      <c r="K120" s="318"/>
      <c r="L120" s="270">
        <v>3</v>
      </c>
      <c r="M120" s="229"/>
    </row>
    <row r="121" spans="2:13" x14ac:dyDescent="0.2">
      <c r="B121" s="57" t="s">
        <v>91</v>
      </c>
      <c r="C121" s="100" t="s">
        <v>15</v>
      </c>
      <c r="D121" s="59">
        <v>2.2000000000000002</v>
      </c>
      <c r="E121" s="229"/>
      <c r="F121" s="235" t="s">
        <v>423</v>
      </c>
      <c r="G121" s="268"/>
      <c r="H121" s="270" t="s">
        <v>424</v>
      </c>
      <c r="I121" s="229"/>
      <c r="J121" s="235" t="s">
        <v>384</v>
      </c>
      <c r="K121" s="318"/>
      <c r="L121" s="352" t="s">
        <v>634</v>
      </c>
      <c r="M121" s="229"/>
    </row>
    <row r="122" spans="2:13" x14ac:dyDescent="0.2">
      <c r="B122" s="57"/>
      <c r="C122" s="149" t="s">
        <v>246</v>
      </c>
      <c r="D122" s="180">
        <f>D121/in2cm</f>
        <v>0.86614173228346458</v>
      </c>
      <c r="E122" s="229"/>
      <c r="F122" s="235" t="s">
        <v>420</v>
      </c>
      <c r="G122" s="353" t="s">
        <v>168</v>
      </c>
      <c r="H122" s="270">
        <v>1.55</v>
      </c>
      <c r="I122" s="229"/>
      <c r="J122" s="235" t="s">
        <v>385</v>
      </c>
      <c r="K122" s="318"/>
      <c r="L122" s="270">
        <v>2</v>
      </c>
      <c r="M122" s="229"/>
    </row>
    <row r="123" spans="2:13" x14ac:dyDescent="0.2">
      <c r="B123" s="57" t="s">
        <v>92</v>
      </c>
      <c r="C123" s="100" t="s">
        <v>15</v>
      </c>
      <c r="D123" s="59">
        <v>3.9</v>
      </c>
      <c r="E123" s="229"/>
      <c r="F123" s="235"/>
      <c r="G123" s="353" t="s">
        <v>442</v>
      </c>
      <c r="H123" s="250">
        <f>H122*gcc2kgcm</f>
        <v>1550</v>
      </c>
      <c r="I123" s="229"/>
      <c r="J123" s="235" t="s">
        <v>387</v>
      </c>
      <c r="K123" s="318"/>
      <c r="L123" s="354" t="s">
        <v>399</v>
      </c>
      <c r="M123" s="229"/>
    </row>
    <row r="124" spans="2:13" x14ac:dyDescent="0.2">
      <c r="B124" s="57"/>
      <c r="C124" s="149" t="s">
        <v>246</v>
      </c>
      <c r="D124" s="180">
        <f>D123/in2cm</f>
        <v>1.5354330708661417</v>
      </c>
      <c r="E124" s="229"/>
      <c r="F124" s="235" t="s">
        <v>427</v>
      </c>
      <c r="G124" s="353" t="s">
        <v>426</v>
      </c>
      <c r="H124" s="270">
        <v>300</v>
      </c>
      <c r="I124" s="229"/>
      <c r="J124" s="333" t="s">
        <v>379</v>
      </c>
      <c r="K124" s="316"/>
      <c r="L124" s="312"/>
      <c r="M124" s="229"/>
    </row>
    <row r="125" spans="2:13" x14ac:dyDescent="0.2">
      <c r="B125" s="57" t="s">
        <v>17</v>
      </c>
      <c r="C125" s="69" t="s">
        <v>68</v>
      </c>
      <c r="D125" s="59">
        <v>6.8000000000000005E-2</v>
      </c>
      <c r="E125" s="229"/>
      <c r="F125" s="235"/>
      <c r="G125" s="353" t="s">
        <v>434</v>
      </c>
      <c r="H125" s="355">
        <f>H124*1000*psi2Pa/1000000</f>
        <v>2068.4273668547344</v>
      </c>
      <c r="I125" s="229"/>
      <c r="J125" s="235" t="s">
        <v>383</v>
      </c>
      <c r="K125" s="318" t="s">
        <v>255</v>
      </c>
      <c r="L125" s="270">
        <v>72.72</v>
      </c>
      <c r="M125" s="229"/>
    </row>
    <row r="126" spans="2:13" x14ac:dyDescent="0.2">
      <c r="B126" s="18"/>
      <c r="C126" s="149" t="s">
        <v>134</v>
      </c>
      <c r="D126" s="25">
        <f>D125*kg2lb</f>
        <v>0.14991415999999999</v>
      </c>
      <c r="E126" s="229"/>
      <c r="F126" s="235" t="s">
        <v>428</v>
      </c>
      <c r="G126" s="353" t="s">
        <v>425</v>
      </c>
      <c r="H126" s="270">
        <v>15</v>
      </c>
      <c r="I126" s="229"/>
      <c r="J126" s="235" t="s">
        <v>394</v>
      </c>
      <c r="K126" s="356" t="s">
        <v>395</v>
      </c>
      <c r="L126" s="250"/>
      <c r="M126" s="229"/>
    </row>
    <row r="127" spans="2:13" x14ac:dyDescent="0.2">
      <c r="B127" s="57" t="s">
        <v>32</v>
      </c>
      <c r="C127" s="69" t="s">
        <v>277</v>
      </c>
      <c r="D127" s="59">
        <v>0.4</v>
      </c>
      <c r="E127" s="229"/>
      <c r="F127" s="235"/>
      <c r="G127" s="353" t="s">
        <v>435</v>
      </c>
      <c r="H127" s="355">
        <f>H126*1000000*psi2Pa/1000000000</f>
        <v>103.42136834273671</v>
      </c>
      <c r="I127" s="229"/>
      <c r="J127" s="235" t="s">
        <v>451</v>
      </c>
      <c r="K127" s="318" t="s">
        <v>257</v>
      </c>
      <c r="L127" s="250">
        <v>12</v>
      </c>
      <c r="M127" s="229"/>
    </row>
    <row r="128" spans="2:13" x14ac:dyDescent="0.2">
      <c r="B128" s="57"/>
      <c r="C128" s="69" t="s">
        <v>174</v>
      </c>
      <c r="D128" s="181">
        <f>D127*gcs2kgms</f>
        <v>4.0000000000000007E-8</v>
      </c>
      <c r="E128" s="229"/>
      <c r="F128" s="235" t="s">
        <v>429</v>
      </c>
      <c r="G128" s="353" t="s">
        <v>425</v>
      </c>
      <c r="H128" s="270">
        <v>0.6</v>
      </c>
      <c r="I128" s="229"/>
      <c r="J128" s="235" t="s">
        <v>553</v>
      </c>
      <c r="K128" s="318" t="s">
        <v>255</v>
      </c>
      <c r="L128" s="250">
        <f t="shared" ref="L128:L134" si="1">$L$125/3</f>
        <v>24.24</v>
      </c>
      <c r="M128" s="229"/>
    </row>
    <row r="129" spans="2:13" x14ac:dyDescent="0.2">
      <c r="B129" s="158" t="s">
        <v>344</v>
      </c>
      <c r="C129" s="161" t="s">
        <v>70</v>
      </c>
      <c r="D129" s="162">
        <v>100</v>
      </c>
      <c r="E129" s="229"/>
      <c r="F129" s="235"/>
      <c r="G129" s="353" t="s">
        <v>435</v>
      </c>
      <c r="H129" s="357">
        <f>H128*1000000*psi2Pa/1000000000</f>
        <v>4.1368547337094688</v>
      </c>
      <c r="I129" s="229"/>
      <c r="J129" s="235" t="s">
        <v>552</v>
      </c>
      <c r="K129" s="318" t="s">
        <v>255</v>
      </c>
      <c r="L129" s="250">
        <f t="shared" si="1"/>
        <v>24.24</v>
      </c>
      <c r="M129" s="229"/>
    </row>
    <row r="130" spans="2:13" x14ac:dyDescent="0.2">
      <c r="B130" s="158" t="s">
        <v>345</v>
      </c>
      <c r="C130" s="161" t="s">
        <v>70</v>
      </c>
      <c r="D130" s="162">
        <v>100</v>
      </c>
      <c r="E130" s="229"/>
      <c r="F130" s="235" t="s">
        <v>430</v>
      </c>
      <c r="G130" s="353" t="s">
        <v>426</v>
      </c>
      <c r="H130" s="270">
        <v>20</v>
      </c>
      <c r="I130" s="229"/>
      <c r="J130" s="235" t="s">
        <v>390</v>
      </c>
      <c r="K130" s="318" t="s">
        <v>255</v>
      </c>
      <c r="L130" s="250">
        <f t="shared" si="1"/>
        <v>24.24</v>
      </c>
      <c r="M130" s="229"/>
    </row>
    <row r="131" spans="2:13" x14ac:dyDescent="0.2">
      <c r="B131" s="158" t="s">
        <v>346</v>
      </c>
      <c r="C131" s="19"/>
      <c r="D131" s="162">
        <v>3</v>
      </c>
      <c r="E131" s="229"/>
      <c r="F131" s="235"/>
      <c r="G131" s="353" t="s">
        <v>434</v>
      </c>
      <c r="H131" s="355">
        <f>H130*1000*psi2Pa/1000000</f>
        <v>137.89515779031561</v>
      </c>
      <c r="I131" s="229"/>
      <c r="J131" s="235" t="s">
        <v>389</v>
      </c>
      <c r="K131" s="318" t="s">
        <v>255</v>
      </c>
      <c r="L131" s="250">
        <f t="shared" si="1"/>
        <v>24.24</v>
      </c>
      <c r="M131" s="229"/>
    </row>
    <row r="132" spans="2:13" x14ac:dyDescent="0.2">
      <c r="B132" s="158" t="s">
        <v>348</v>
      </c>
      <c r="C132" s="161" t="s">
        <v>349</v>
      </c>
      <c r="D132" s="162">
        <v>1.6</v>
      </c>
      <c r="E132" s="229"/>
      <c r="F132" s="235" t="s">
        <v>431</v>
      </c>
      <c r="G132" s="353" t="s">
        <v>425</v>
      </c>
      <c r="H132" s="270">
        <v>2.2000000000000002</v>
      </c>
      <c r="I132" s="229"/>
      <c r="J132" s="235" t="s">
        <v>388</v>
      </c>
      <c r="K132" s="318" t="s">
        <v>255</v>
      </c>
      <c r="L132" s="250">
        <f t="shared" si="1"/>
        <v>24.24</v>
      </c>
      <c r="M132" s="229"/>
    </row>
    <row r="133" spans="2:13" x14ac:dyDescent="0.2">
      <c r="B133" s="158" t="s">
        <v>327</v>
      </c>
      <c r="C133" s="19"/>
      <c r="D133" s="162">
        <v>0.59</v>
      </c>
      <c r="E133" s="229"/>
      <c r="F133" s="235"/>
      <c r="G133" s="353" t="s">
        <v>435</v>
      </c>
      <c r="H133" s="355">
        <f>H132*1000000*psi2Pa/1000000000</f>
        <v>15.168467356934718</v>
      </c>
      <c r="I133" s="229"/>
      <c r="J133" s="235" t="s">
        <v>544</v>
      </c>
      <c r="K133" s="318" t="s">
        <v>255</v>
      </c>
      <c r="L133" s="250">
        <f t="shared" si="1"/>
        <v>24.24</v>
      </c>
      <c r="M133" s="229"/>
    </row>
    <row r="134" spans="2:13" x14ac:dyDescent="0.2">
      <c r="B134" s="57" t="s">
        <v>296</v>
      </c>
      <c r="C134" s="69" t="s">
        <v>176</v>
      </c>
      <c r="D134" s="59">
        <v>8000</v>
      </c>
      <c r="E134" s="229"/>
      <c r="F134" s="235" t="s">
        <v>432</v>
      </c>
      <c r="G134" s="353" t="s">
        <v>425</v>
      </c>
      <c r="H134" s="270">
        <v>4.5</v>
      </c>
      <c r="I134" s="229"/>
      <c r="J134" s="235" t="s">
        <v>543</v>
      </c>
      <c r="K134" s="318" t="s">
        <v>255</v>
      </c>
      <c r="L134" s="250">
        <f t="shared" si="1"/>
        <v>24.24</v>
      </c>
      <c r="M134" s="229"/>
    </row>
    <row r="135" spans="2:13" x14ac:dyDescent="0.2">
      <c r="B135" s="57"/>
      <c r="C135" s="69"/>
      <c r="D135" s="59"/>
      <c r="E135" s="229"/>
      <c r="F135" s="235"/>
      <c r="G135" s="353" t="s">
        <v>435</v>
      </c>
      <c r="H135" s="355">
        <f>H134*1000000*psi2Pa/1000000000</f>
        <v>31.026410502821012</v>
      </c>
      <c r="I135" s="229"/>
      <c r="J135" s="235" t="s">
        <v>576</v>
      </c>
      <c r="K135" s="318" t="s">
        <v>276</v>
      </c>
      <c r="L135" s="250">
        <f t="shared" ref="L135:L141" si="2">L128/$L$127</f>
        <v>2.02</v>
      </c>
      <c r="M135" s="229"/>
    </row>
    <row r="136" spans="2:13" x14ac:dyDescent="0.2">
      <c r="B136" s="147" t="s">
        <v>351</v>
      </c>
      <c r="C136" s="67" t="s">
        <v>247</v>
      </c>
      <c r="D136" s="162">
        <v>1200</v>
      </c>
      <c r="E136" s="229"/>
      <c r="F136" s="333" t="s">
        <v>405</v>
      </c>
      <c r="G136" s="316"/>
      <c r="H136" s="358"/>
      <c r="I136" s="229"/>
      <c r="J136" s="235" t="s">
        <v>575</v>
      </c>
      <c r="K136" s="318" t="s">
        <v>276</v>
      </c>
      <c r="L136" s="250">
        <f t="shared" si="2"/>
        <v>2.02</v>
      </c>
      <c r="M136" s="229"/>
    </row>
    <row r="137" spans="2:13" x14ac:dyDescent="0.2">
      <c r="B137" s="147" t="s">
        <v>350</v>
      </c>
      <c r="C137" s="67" t="s">
        <v>247</v>
      </c>
      <c r="D137" s="162">
        <v>1900</v>
      </c>
      <c r="E137" s="229"/>
      <c r="F137" s="267" t="s">
        <v>400</v>
      </c>
      <c r="G137" s="318"/>
      <c r="H137" s="359"/>
      <c r="I137" s="229"/>
      <c r="J137" s="235" t="s">
        <v>454</v>
      </c>
      <c r="K137" s="318" t="s">
        <v>276</v>
      </c>
      <c r="L137" s="250">
        <f t="shared" si="2"/>
        <v>2.02</v>
      </c>
      <c r="M137" s="229"/>
    </row>
    <row r="138" spans="2:13" x14ac:dyDescent="0.2">
      <c r="B138" s="147" t="s">
        <v>352</v>
      </c>
      <c r="C138" s="67" t="s">
        <v>247</v>
      </c>
      <c r="D138" s="163">
        <f>D117*D133*D107</f>
        <v>248.28398437500002</v>
      </c>
      <c r="E138" s="229"/>
      <c r="F138" s="294" t="s">
        <v>403</v>
      </c>
      <c r="G138" s="318" t="s">
        <v>106</v>
      </c>
      <c r="H138" s="360">
        <f>H139/10/in2cm</f>
        <v>0.78740157480314954</v>
      </c>
      <c r="I138" s="229"/>
      <c r="J138" s="235" t="s">
        <v>453</v>
      </c>
      <c r="K138" s="318" t="s">
        <v>276</v>
      </c>
      <c r="L138" s="250">
        <f t="shared" si="2"/>
        <v>2.02</v>
      </c>
      <c r="M138" s="229"/>
    </row>
    <row r="139" spans="2:13" x14ac:dyDescent="0.2">
      <c r="B139" s="18" t="s">
        <v>263</v>
      </c>
      <c r="C139" s="67" t="s">
        <v>247</v>
      </c>
      <c r="D139" s="163">
        <f>D117*D133*D111</f>
        <v>149.42882799768464</v>
      </c>
      <c r="E139" s="229"/>
      <c r="F139" s="294"/>
      <c r="G139" s="318" t="s">
        <v>186</v>
      </c>
      <c r="H139" s="359">
        <v>20</v>
      </c>
      <c r="I139" s="229"/>
      <c r="J139" s="235" t="s">
        <v>452</v>
      </c>
      <c r="K139" s="318" t="s">
        <v>276</v>
      </c>
      <c r="L139" s="250">
        <f t="shared" si="2"/>
        <v>2.02</v>
      </c>
      <c r="M139" s="229"/>
    </row>
    <row r="140" spans="2:13" x14ac:dyDescent="0.2">
      <c r="B140" s="18" t="s">
        <v>48</v>
      </c>
      <c r="C140" s="67"/>
      <c r="D140" s="146">
        <f>D139/D76</f>
        <v>2.9607639733906153</v>
      </c>
      <c r="E140" s="229"/>
      <c r="F140" s="294" t="s">
        <v>404</v>
      </c>
      <c r="G140" s="318" t="s">
        <v>106</v>
      </c>
      <c r="H140" s="360">
        <f>H141/10/in2cm</f>
        <v>0.86614173228346458</v>
      </c>
      <c r="I140" s="229"/>
      <c r="J140" s="235" t="s">
        <v>574</v>
      </c>
      <c r="K140" s="318" t="s">
        <v>276</v>
      </c>
      <c r="L140" s="250">
        <f t="shared" si="2"/>
        <v>2.02</v>
      </c>
      <c r="M140" s="229"/>
    </row>
    <row r="141" spans="2:13" x14ac:dyDescent="0.2">
      <c r="B141" s="153" t="s">
        <v>479</v>
      </c>
      <c r="C141" s="98"/>
      <c r="D141" s="172"/>
      <c r="E141" s="229"/>
      <c r="F141" s="294"/>
      <c r="G141" s="318" t="s">
        <v>186</v>
      </c>
      <c r="H141" s="359">
        <v>22</v>
      </c>
      <c r="I141" s="229"/>
      <c r="J141" s="235" t="s">
        <v>573</v>
      </c>
      <c r="K141" s="318" t="s">
        <v>276</v>
      </c>
      <c r="L141" s="250">
        <f t="shared" si="2"/>
        <v>2.02</v>
      </c>
      <c r="M141" s="229"/>
    </row>
    <row r="142" spans="2:13" x14ac:dyDescent="0.2">
      <c r="B142" s="147" t="s">
        <v>515</v>
      </c>
      <c r="C142" s="183" t="s">
        <v>514</v>
      </c>
      <c r="D142" s="178" t="s">
        <v>480</v>
      </c>
      <c r="E142" s="229"/>
      <c r="F142" s="294" t="s">
        <v>92</v>
      </c>
      <c r="G142" s="318" t="s">
        <v>106</v>
      </c>
      <c r="H142" s="360">
        <f>H144/10/in2cm</f>
        <v>14.092304082852054</v>
      </c>
      <c r="I142" s="229"/>
      <c r="J142" s="333" t="s">
        <v>17</v>
      </c>
      <c r="K142" s="316"/>
      <c r="L142" s="312"/>
      <c r="M142" s="229"/>
    </row>
    <row r="143" spans="2:13" x14ac:dyDescent="0.2">
      <c r="B143" s="57" t="s">
        <v>258</v>
      </c>
      <c r="C143" s="66">
        <v>367661</v>
      </c>
      <c r="D143" s="179" t="s">
        <v>530</v>
      </c>
      <c r="E143" s="229"/>
      <c r="F143" s="294"/>
      <c r="G143" s="318"/>
      <c r="H143" s="360"/>
      <c r="I143" s="229"/>
      <c r="J143" s="235" t="s">
        <v>702</v>
      </c>
      <c r="K143" s="318" t="s">
        <v>68</v>
      </c>
      <c r="L143" s="361">
        <f>H13</f>
        <v>15.4275</v>
      </c>
      <c r="M143" s="229"/>
    </row>
    <row r="144" spans="2:13" x14ac:dyDescent="0.2">
      <c r="B144" s="57" t="s">
        <v>451</v>
      </c>
      <c r="C144" s="68" t="s">
        <v>257</v>
      </c>
      <c r="D144" s="184">
        <f>L127</f>
        <v>12</v>
      </c>
      <c r="E144" s="229"/>
      <c r="F144" s="294"/>
      <c r="G144" s="318" t="s">
        <v>186</v>
      </c>
      <c r="H144" s="326">
        <f>L289*10</f>
        <v>357.94452370444219</v>
      </c>
      <c r="I144" s="229"/>
      <c r="J144" s="235" t="s">
        <v>507</v>
      </c>
      <c r="K144" s="318" t="s">
        <v>68</v>
      </c>
      <c r="L144" s="361">
        <f>L329</f>
        <v>3</v>
      </c>
      <c r="M144" s="229"/>
    </row>
    <row r="145" spans="2:13" x14ac:dyDescent="0.2">
      <c r="B145" s="57" t="s">
        <v>532</v>
      </c>
      <c r="C145" s="68" t="s">
        <v>276</v>
      </c>
      <c r="D145" s="7">
        <v>4</v>
      </c>
      <c r="E145" s="229"/>
      <c r="F145" s="294" t="s">
        <v>438</v>
      </c>
      <c r="G145" s="318" t="s">
        <v>437</v>
      </c>
      <c r="H145" s="362">
        <f>PI()*((H139/1000)/2)^2</f>
        <v>3.1415926535897931E-4</v>
      </c>
      <c r="I145" s="229"/>
      <c r="J145" s="235" t="s">
        <v>508</v>
      </c>
      <c r="K145" s="318" t="s">
        <v>68</v>
      </c>
      <c r="L145" s="361">
        <f>L333</f>
        <v>0.2</v>
      </c>
      <c r="M145" s="229"/>
    </row>
    <row r="146" spans="2:13" x14ac:dyDescent="0.2">
      <c r="B146" s="57" t="s">
        <v>320</v>
      </c>
      <c r="C146" s="68" t="s">
        <v>255</v>
      </c>
      <c r="D146" s="184">
        <f>D145*D144</f>
        <v>48</v>
      </c>
      <c r="E146" s="229"/>
      <c r="F146" s="294" t="s">
        <v>439</v>
      </c>
      <c r="G146" s="318" t="s">
        <v>437</v>
      </c>
      <c r="H146" s="362">
        <f>PI()*((H141/1000)/2)^2</f>
        <v>3.8013271108436493E-4</v>
      </c>
      <c r="I146" s="229"/>
      <c r="J146" s="235" t="s">
        <v>553</v>
      </c>
      <c r="K146" s="318" t="s">
        <v>68</v>
      </c>
      <c r="L146" s="361">
        <f t="shared" ref="L146:L152" si="3">$H$179</f>
        <v>0.75500565592430291</v>
      </c>
      <c r="M146" s="229"/>
    </row>
    <row r="147" spans="2:13" x14ac:dyDescent="0.2">
      <c r="B147" s="57" t="s">
        <v>525</v>
      </c>
      <c r="C147" s="68" t="s">
        <v>276</v>
      </c>
      <c r="D147" s="7">
        <v>2</v>
      </c>
      <c r="E147" s="229"/>
      <c r="F147" s="294" t="s">
        <v>440</v>
      </c>
      <c r="G147" s="318" t="s">
        <v>437</v>
      </c>
      <c r="H147" s="362">
        <f>H146-H145</f>
        <v>6.5973445725385623E-5</v>
      </c>
      <c r="I147" s="229"/>
      <c r="J147" s="235" t="s">
        <v>552</v>
      </c>
      <c r="K147" s="318" t="s">
        <v>68</v>
      </c>
      <c r="L147" s="361">
        <f t="shared" si="3"/>
        <v>0.75500565592430291</v>
      </c>
      <c r="M147" s="229"/>
    </row>
    <row r="148" spans="2:13" x14ac:dyDescent="0.2">
      <c r="B148" s="57" t="s">
        <v>526</v>
      </c>
      <c r="C148" s="68" t="s">
        <v>255</v>
      </c>
      <c r="D148" s="184">
        <f>D144*D147</f>
        <v>24</v>
      </c>
      <c r="E148" s="229"/>
      <c r="F148" s="294" t="s">
        <v>85</v>
      </c>
      <c r="G148" s="318" t="s">
        <v>441</v>
      </c>
      <c r="H148" s="336">
        <f>H147*H144/1000</f>
        <v>2.3614833607314024E-5</v>
      </c>
      <c r="I148" s="229"/>
      <c r="J148" s="235" t="s">
        <v>390</v>
      </c>
      <c r="K148" s="318" t="s">
        <v>68</v>
      </c>
      <c r="L148" s="361">
        <f t="shared" si="3"/>
        <v>0.75500565592430291</v>
      </c>
      <c r="M148" s="229"/>
    </row>
    <row r="149" spans="2:13" x14ac:dyDescent="0.2">
      <c r="B149" s="57" t="s">
        <v>92</v>
      </c>
      <c r="C149" s="68" t="s">
        <v>15</v>
      </c>
      <c r="D149" s="7">
        <v>12</v>
      </c>
      <c r="E149" s="229"/>
      <c r="F149" s="294" t="s">
        <v>17</v>
      </c>
      <c r="G149" s="318" t="s">
        <v>68</v>
      </c>
      <c r="H149" s="319">
        <f>H148*H123</f>
        <v>3.6602992091336738E-2</v>
      </c>
      <c r="I149" s="229"/>
      <c r="J149" s="235" t="s">
        <v>389</v>
      </c>
      <c r="K149" s="318" t="s">
        <v>68</v>
      </c>
      <c r="L149" s="361">
        <f t="shared" si="3"/>
        <v>0.75500565592430291</v>
      </c>
      <c r="M149" s="229"/>
    </row>
    <row r="150" spans="2:13" x14ac:dyDescent="0.2">
      <c r="B150" s="57" t="s">
        <v>93</v>
      </c>
      <c r="C150" s="68" t="s">
        <v>15</v>
      </c>
      <c r="D150" s="7">
        <v>9.35</v>
      </c>
      <c r="E150" s="229"/>
      <c r="F150" s="294"/>
      <c r="G150" s="318" t="s">
        <v>443</v>
      </c>
      <c r="H150" s="363">
        <f>H149*1000</f>
        <v>36.602992091336738</v>
      </c>
      <c r="I150" s="229"/>
      <c r="J150" s="235" t="s">
        <v>388</v>
      </c>
      <c r="K150" s="318" t="s">
        <v>68</v>
      </c>
      <c r="L150" s="361">
        <f t="shared" si="3"/>
        <v>0.75500565592430291</v>
      </c>
      <c r="M150" s="229"/>
    </row>
    <row r="151" spans="2:13" x14ac:dyDescent="0.2">
      <c r="B151" s="57" t="s">
        <v>169</v>
      </c>
      <c r="C151" s="68" t="s">
        <v>15</v>
      </c>
      <c r="D151" s="7">
        <v>2.7</v>
      </c>
      <c r="E151" s="229"/>
      <c r="F151" s="294" t="s">
        <v>570</v>
      </c>
      <c r="G151" s="318" t="s">
        <v>445</v>
      </c>
      <c r="H151" s="364">
        <f>PI()/4*((H141/1000/2)^4-(H139/1000/2)^4)*2</f>
        <v>7.2900657526551097E-9</v>
      </c>
      <c r="I151" s="229"/>
      <c r="J151" s="235" t="s">
        <v>544</v>
      </c>
      <c r="K151" s="318" t="s">
        <v>68</v>
      </c>
      <c r="L151" s="361">
        <f t="shared" si="3"/>
        <v>0.75500565592430291</v>
      </c>
      <c r="M151" s="229"/>
    </row>
    <row r="152" spans="2:13" x14ac:dyDescent="0.2">
      <c r="B152" s="57" t="s">
        <v>517</v>
      </c>
      <c r="C152" s="68" t="s">
        <v>518</v>
      </c>
      <c r="D152" s="7">
        <v>6</v>
      </c>
      <c r="E152" s="229"/>
      <c r="F152" s="294"/>
      <c r="G152" s="318" t="s">
        <v>569</v>
      </c>
      <c r="H152" s="365">
        <f>H151*1000^4</f>
        <v>7290.0657526551095</v>
      </c>
      <c r="I152" s="229"/>
      <c r="J152" s="235" t="s">
        <v>543</v>
      </c>
      <c r="K152" s="318" t="s">
        <v>68</v>
      </c>
      <c r="L152" s="361">
        <f t="shared" si="3"/>
        <v>0.75500565592430291</v>
      </c>
      <c r="M152" s="229"/>
    </row>
    <row r="153" spans="2:13" x14ac:dyDescent="0.2">
      <c r="B153" s="57"/>
      <c r="C153" s="68" t="s">
        <v>519</v>
      </c>
      <c r="D153" s="7">
        <v>2</v>
      </c>
      <c r="E153" s="229"/>
      <c r="F153" s="294" t="s">
        <v>571</v>
      </c>
      <c r="G153" s="318" t="s">
        <v>174</v>
      </c>
      <c r="H153" s="366">
        <f>H149*((H139/1000)^2+(H141/1000)^2)/2</f>
        <v>1.6178522504370838E-5</v>
      </c>
      <c r="I153" s="229"/>
      <c r="J153" s="235" t="s">
        <v>398</v>
      </c>
      <c r="K153" s="318" t="s">
        <v>68</v>
      </c>
      <c r="L153" s="367">
        <f>H149</f>
        <v>3.6602992091336738E-2</v>
      </c>
      <c r="M153" s="229"/>
    </row>
    <row r="154" spans="2:13" x14ac:dyDescent="0.2">
      <c r="B154" s="57" t="s">
        <v>520</v>
      </c>
      <c r="C154" s="68" t="s">
        <v>518</v>
      </c>
      <c r="D154" s="7">
        <v>2</v>
      </c>
      <c r="E154" s="229"/>
      <c r="F154" s="294"/>
      <c r="G154" s="318" t="s">
        <v>277</v>
      </c>
      <c r="H154" s="368">
        <f>H153/gcs2kgms</f>
        <v>161.78522504370838</v>
      </c>
      <c r="I154" s="229"/>
      <c r="J154" s="235" t="s">
        <v>397</v>
      </c>
      <c r="K154" s="318" t="s">
        <v>68</v>
      </c>
      <c r="L154" s="367">
        <f>H149</f>
        <v>3.6602992091336738E-2</v>
      </c>
      <c r="M154" s="229"/>
    </row>
    <row r="155" spans="2:13" x14ac:dyDescent="0.2">
      <c r="B155" s="57"/>
      <c r="C155" s="68" t="s">
        <v>519</v>
      </c>
      <c r="D155" s="7">
        <v>0</v>
      </c>
      <c r="E155" s="229"/>
      <c r="F155" s="294" t="s">
        <v>135</v>
      </c>
      <c r="G155" s="318" t="s">
        <v>562</v>
      </c>
      <c r="H155" s="365">
        <f>$H$127*1000000000*H151/(H144/1000)</f>
        <v>2106.3280076067203</v>
      </c>
      <c r="I155" s="229"/>
      <c r="J155" s="235" t="s">
        <v>554</v>
      </c>
      <c r="K155" s="318" t="s">
        <v>68</v>
      </c>
      <c r="L155" s="369">
        <v>0.05</v>
      </c>
      <c r="M155" s="229"/>
    </row>
    <row r="156" spans="2:13" x14ac:dyDescent="0.2">
      <c r="B156" s="57" t="s">
        <v>521</v>
      </c>
      <c r="C156" s="68" t="s">
        <v>522</v>
      </c>
      <c r="D156" s="7">
        <v>10</v>
      </c>
      <c r="E156" s="229"/>
      <c r="F156" s="267" t="s">
        <v>401</v>
      </c>
      <c r="G156" s="268"/>
      <c r="H156" s="250"/>
      <c r="I156" s="229"/>
      <c r="J156" s="235" t="s">
        <v>551</v>
      </c>
      <c r="K156" s="318" t="s">
        <v>68</v>
      </c>
      <c r="L156" s="369">
        <v>0.05</v>
      </c>
      <c r="M156" s="229"/>
    </row>
    <row r="157" spans="2:13" x14ac:dyDescent="0.2">
      <c r="B157" s="57"/>
      <c r="C157" s="68" t="s">
        <v>334</v>
      </c>
      <c r="D157" s="184">
        <f>1/(D156*1000)*1000</f>
        <v>0.1</v>
      </c>
      <c r="E157" s="229"/>
      <c r="F157" s="294" t="s">
        <v>403</v>
      </c>
      <c r="G157" s="318" t="s">
        <v>106</v>
      </c>
      <c r="H157" s="360">
        <f>H158/10/in2cm</f>
        <v>0.78740157480314954</v>
      </c>
      <c r="I157" s="229"/>
      <c r="J157" s="267" t="s">
        <v>612</v>
      </c>
      <c r="K157" s="370" t="s">
        <v>68</v>
      </c>
      <c r="L157" s="371">
        <f>SUM(L145:L156)</f>
        <v>5.658245575652793</v>
      </c>
      <c r="M157" s="229"/>
    </row>
    <row r="158" spans="2:13" x14ac:dyDescent="0.2">
      <c r="B158" s="57" t="s">
        <v>523</v>
      </c>
      <c r="C158" s="68" t="s">
        <v>522</v>
      </c>
      <c r="D158" s="7">
        <v>1</v>
      </c>
      <c r="E158" s="229"/>
      <c r="F158" s="294"/>
      <c r="G158" s="318" t="s">
        <v>186</v>
      </c>
      <c r="H158" s="372">
        <f>H139</f>
        <v>20</v>
      </c>
      <c r="I158" s="229"/>
      <c r="J158" s="333" t="s">
        <v>611</v>
      </c>
      <c r="K158" s="316"/>
      <c r="L158" s="312"/>
      <c r="M158" s="229"/>
    </row>
    <row r="159" spans="2:13" x14ac:dyDescent="0.2">
      <c r="B159" s="57"/>
      <c r="C159" s="68" t="s">
        <v>334</v>
      </c>
      <c r="D159" s="184">
        <f>1/(D158*1000)*1000</f>
        <v>1</v>
      </c>
      <c r="E159" s="229"/>
      <c r="F159" s="294" t="s">
        <v>404</v>
      </c>
      <c r="G159" s="318" t="s">
        <v>106</v>
      </c>
      <c r="H159" s="360">
        <f>H160/10/in2cm</f>
        <v>0.86614173228346458</v>
      </c>
      <c r="I159" s="229"/>
      <c r="J159" s="235" t="s">
        <v>507</v>
      </c>
      <c r="K159" s="318" t="s">
        <v>70</v>
      </c>
      <c r="L159" s="324">
        <f t="shared" ref="L159:L172" si="4">L144*g</f>
        <v>29.41995</v>
      </c>
      <c r="M159" s="229"/>
    </row>
    <row r="160" spans="2:13" x14ac:dyDescent="0.2">
      <c r="B160" s="57" t="s">
        <v>524</v>
      </c>
      <c r="C160" s="68" t="s">
        <v>522</v>
      </c>
      <c r="D160" s="7">
        <v>1</v>
      </c>
      <c r="E160" s="229"/>
      <c r="F160" s="294"/>
      <c r="G160" s="318" t="s">
        <v>186</v>
      </c>
      <c r="H160" s="372">
        <f>H141</f>
        <v>22</v>
      </c>
      <c r="I160" s="229"/>
      <c r="J160" s="235" t="s">
        <v>508</v>
      </c>
      <c r="K160" s="318" t="s">
        <v>70</v>
      </c>
      <c r="L160" s="324">
        <f t="shared" si="4"/>
        <v>1.96133</v>
      </c>
      <c r="M160" s="229"/>
    </row>
    <row r="161" spans="2:13" x14ac:dyDescent="0.2">
      <c r="B161" s="57"/>
      <c r="C161" s="68" t="s">
        <v>334</v>
      </c>
      <c r="D161" s="184">
        <f>1/(D160*1000)*1000</f>
        <v>1</v>
      </c>
      <c r="E161" s="229"/>
      <c r="F161" s="294" t="s">
        <v>92</v>
      </c>
      <c r="G161" s="318" t="s">
        <v>106</v>
      </c>
      <c r="H161" s="360">
        <f>H162/10/in2cm</f>
        <v>14.092304082852054</v>
      </c>
      <c r="I161" s="229"/>
      <c r="J161" s="235" t="s">
        <v>553</v>
      </c>
      <c r="K161" s="318" t="s">
        <v>70</v>
      </c>
      <c r="L161" s="324">
        <f t="shared" si="4"/>
        <v>7.4040762156700648</v>
      </c>
      <c r="M161" s="229"/>
    </row>
    <row r="162" spans="2:13" x14ac:dyDescent="0.2">
      <c r="B162" s="57" t="s">
        <v>529</v>
      </c>
      <c r="C162" s="68"/>
      <c r="D162" s="7">
        <f>2^12</f>
        <v>4096</v>
      </c>
      <c r="E162" s="229"/>
      <c r="F162" s="294"/>
      <c r="G162" s="318" t="s">
        <v>186</v>
      </c>
      <c r="H162" s="326">
        <f>H144</f>
        <v>357.94452370444219</v>
      </c>
      <c r="I162" s="229"/>
      <c r="J162" s="235" t="s">
        <v>552</v>
      </c>
      <c r="K162" s="318" t="s">
        <v>70</v>
      </c>
      <c r="L162" s="324">
        <f t="shared" si="4"/>
        <v>7.4040762156700648</v>
      </c>
      <c r="M162" s="229"/>
    </row>
    <row r="163" spans="2:13" x14ac:dyDescent="0.2">
      <c r="B163" s="57" t="s">
        <v>533</v>
      </c>
      <c r="C163" s="68" t="s">
        <v>527</v>
      </c>
      <c r="D163" s="7">
        <v>47</v>
      </c>
      <c r="E163" s="229"/>
      <c r="F163" s="294" t="s">
        <v>438</v>
      </c>
      <c r="G163" s="318" t="s">
        <v>437</v>
      </c>
      <c r="H163" s="362">
        <f>PI()*((H158/1000)/2)^2</f>
        <v>3.1415926535897931E-4</v>
      </c>
      <c r="I163" s="229"/>
      <c r="J163" s="235" t="s">
        <v>390</v>
      </c>
      <c r="K163" s="318" t="s">
        <v>70</v>
      </c>
      <c r="L163" s="324">
        <f t="shared" si="4"/>
        <v>7.4040762156700648</v>
      </c>
      <c r="M163" s="229"/>
    </row>
    <row r="164" spans="2:13" x14ac:dyDescent="0.2">
      <c r="B164" s="5"/>
      <c r="C164" s="5"/>
      <c r="D164" s="5"/>
      <c r="E164" s="229"/>
      <c r="F164" s="294" t="s">
        <v>439</v>
      </c>
      <c r="G164" s="318" t="s">
        <v>437</v>
      </c>
      <c r="H164" s="362">
        <f>PI()*((H160/1000)/2)^2</f>
        <v>3.8013271108436493E-4</v>
      </c>
      <c r="I164" s="229"/>
      <c r="J164" s="235" t="s">
        <v>389</v>
      </c>
      <c r="K164" s="318" t="s">
        <v>70</v>
      </c>
      <c r="L164" s="324">
        <f t="shared" si="4"/>
        <v>7.4040762156700648</v>
      </c>
      <c r="M164" s="229"/>
    </row>
    <row r="165" spans="2:13" x14ac:dyDescent="0.2">
      <c r="E165" s="229"/>
      <c r="F165" s="294" t="s">
        <v>440</v>
      </c>
      <c r="G165" s="318" t="s">
        <v>437</v>
      </c>
      <c r="H165" s="362">
        <f>H164-H163</f>
        <v>6.5973445725385623E-5</v>
      </c>
      <c r="I165" s="229"/>
      <c r="J165" s="235" t="s">
        <v>388</v>
      </c>
      <c r="K165" s="318" t="s">
        <v>70</v>
      </c>
      <c r="L165" s="324">
        <f t="shared" si="4"/>
        <v>7.4040762156700648</v>
      </c>
      <c r="M165" s="229"/>
    </row>
    <row r="166" spans="2:13" x14ac:dyDescent="0.2">
      <c r="E166" s="229"/>
      <c r="F166" s="294" t="s">
        <v>85</v>
      </c>
      <c r="G166" s="318" t="s">
        <v>441</v>
      </c>
      <c r="H166" s="336">
        <f>H165*H162/1000</f>
        <v>2.3614833607314024E-5</v>
      </c>
      <c r="I166" s="229"/>
      <c r="J166" s="235" t="s">
        <v>544</v>
      </c>
      <c r="K166" s="318" t="s">
        <v>70</v>
      </c>
      <c r="L166" s="324">
        <f t="shared" si="4"/>
        <v>7.4040762156700648</v>
      </c>
      <c r="M166" s="229"/>
    </row>
    <row r="167" spans="2:13" x14ac:dyDescent="0.2">
      <c r="E167" s="229"/>
      <c r="F167" s="294" t="s">
        <v>17</v>
      </c>
      <c r="G167" s="318" t="s">
        <v>68</v>
      </c>
      <c r="H167" s="319">
        <f>H166*H123</f>
        <v>3.6602992091336738E-2</v>
      </c>
      <c r="I167" s="229"/>
      <c r="J167" s="235" t="s">
        <v>543</v>
      </c>
      <c r="K167" s="318" t="s">
        <v>70</v>
      </c>
      <c r="L167" s="324">
        <f t="shared" si="4"/>
        <v>7.4040762156700648</v>
      </c>
      <c r="M167" s="229"/>
    </row>
    <row r="168" spans="2:13" x14ac:dyDescent="0.2">
      <c r="E168" s="229"/>
      <c r="F168" s="294"/>
      <c r="G168" s="318" t="s">
        <v>443</v>
      </c>
      <c r="H168" s="363">
        <f>H167*1000</f>
        <v>36.602992091336738</v>
      </c>
      <c r="I168" s="229"/>
      <c r="J168" s="235" t="s">
        <v>398</v>
      </c>
      <c r="K168" s="318" t="s">
        <v>70</v>
      </c>
      <c r="L168" s="324">
        <f t="shared" si="4"/>
        <v>0.35895273239250741</v>
      </c>
      <c r="M168" s="229"/>
    </row>
    <row r="169" spans="2:13" x14ac:dyDescent="0.2">
      <c r="E169" s="229"/>
      <c r="F169" s="294" t="s">
        <v>570</v>
      </c>
      <c r="G169" s="318" t="s">
        <v>445</v>
      </c>
      <c r="H169" s="364">
        <f>PI()/4*((H160/1000/2)^4-(H158/1000/2)^4)*2</f>
        <v>7.2900657526551097E-9</v>
      </c>
      <c r="I169" s="229"/>
      <c r="J169" s="235" t="s">
        <v>397</v>
      </c>
      <c r="K169" s="318" t="s">
        <v>70</v>
      </c>
      <c r="L169" s="324">
        <f t="shared" si="4"/>
        <v>0.35895273239250741</v>
      </c>
      <c r="M169" s="229"/>
    </row>
    <row r="170" spans="2:13" x14ac:dyDescent="0.2">
      <c r="E170" s="229"/>
      <c r="F170" s="294"/>
      <c r="G170" s="318" t="s">
        <v>569</v>
      </c>
      <c r="H170" s="365">
        <f>H169*1000^4</f>
        <v>7290.0657526551095</v>
      </c>
      <c r="I170" s="229"/>
      <c r="J170" s="235" t="s">
        <v>554</v>
      </c>
      <c r="K170" s="318" t="s">
        <v>70</v>
      </c>
      <c r="L170" s="324">
        <f t="shared" si="4"/>
        <v>0.4903325</v>
      </c>
      <c r="M170" s="229"/>
    </row>
    <row r="171" spans="2:13" x14ac:dyDescent="0.2">
      <c r="E171" s="229"/>
      <c r="F171" s="294" t="s">
        <v>571</v>
      </c>
      <c r="G171" s="318" t="s">
        <v>174</v>
      </c>
      <c r="H171" s="366">
        <f>H167*((H158/1000)^2+(H160/1000)^2)/2</f>
        <v>1.6178522504370838E-5</v>
      </c>
      <c r="I171" s="229"/>
      <c r="J171" s="235" t="s">
        <v>551</v>
      </c>
      <c r="K171" s="318" t="s">
        <v>70</v>
      </c>
      <c r="L171" s="324">
        <f t="shared" si="4"/>
        <v>0.4903325</v>
      </c>
      <c r="M171" s="229"/>
    </row>
    <row r="172" spans="2:13" x14ac:dyDescent="0.2">
      <c r="E172" s="229"/>
      <c r="F172" s="294"/>
      <c r="G172" s="318" t="s">
        <v>277</v>
      </c>
      <c r="H172" s="368">
        <f>H171/gcs2kgms</f>
        <v>161.78522504370838</v>
      </c>
      <c r="I172" s="229"/>
      <c r="J172" s="267" t="s">
        <v>448</v>
      </c>
      <c r="K172" s="370" t="s">
        <v>70</v>
      </c>
      <c r="L172" s="373">
        <f t="shared" si="4"/>
        <v>55.488433974475456</v>
      </c>
      <c r="M172" s="229"/>
    </row>
    <row r="173" spans="2:13" x14ac:dyDescent="0.2">
      <c r="B173" s="113"/>
      <c r="C173" s="168"/>
      <c r="D173" s="167"/>
      <c r="E173" s="229"/>
      <c r="F173" s="294" t="s">
        <v>135</v>
      </c>
      <c r="G173" s="318" t="s">
        <v>562</v>
      </c>
      <c r="H173" s="365">
        <f>$H$127*1000000000*H169/(H162/1000)</f>
        <v>2106.3280076067203</v>
      </c>
      <c r="I173" s="229"/>
      <c r="J173" s="333" t="s">
        <v>32</v>
      </c>
      <c r="K173" s="316"/>
      <c r="L173" s="312"/>
      <c r="M173" s="229"/>
    </row>
    <row r="174" spans="2:13" x14ac:dyDescent="0.2">
      <c r="B174" s="18"/>
      <c r="C174" s="19"/>
      <c r="D174" s="22"/>
      <c r="E174" s="229"/>
      <c r="F174" s="235" t="s">
        <v>444</v>
      </c>
      <c r="G174" s="318" t="s">
        <v>68</v>
      </c>
      <c r="H174" s="374">
        <f>H149+H167</f>
        <v>7.3205984182673475E-2</v>
      </c>
      <c r="I174" s="229"/>
      <c r="J174" s="235" t="s">
        <v>702</v>
      </c>
      <c r="K174" s="318" t="s">
        <v>174</v>
      </c>
      <c r="L174" s="334">
        <f>H37</f>
        <v>0.40162500000000001</v>
      </c>
      <c r="M174" s="229"/>
    </row>
    <row r="175" spans="2:13" x14ac:dyDescent="0.2">
      <c r="B175" s="18"/>
      <c r="C175" s="19"/>
      <c r="D175" s="22"/>
      <c r="E175" s="229"/>
      <c r="F175" s="235"/>
      <c r="G175" s="318" t="s">
        <v>443</v>
      </c>
      <c r="H175" s="365">
        <f>H150*2</f>
        <v>73.205984182673475</v>
      </c>
      <c r="I175" s="229"/>
      <c r="J175" s="235" t="s">
        <v>701</v>
      </c>
      <c r="K175" s="318" t="s">
        <v>174</v>
      </c>
      <c r="L175" s="375">
        <f>L174*0.1</f>
        <v>4.0162500000000004E-2</v>
      </c>
      <c r="M175" s="229"/>
    </row>
    <row r="176" spans="2:13" x14ac:dyDescent="0.2">
      <c r="B176" s="18"/>
      <c r="C176" s="19"/>
      <c r="D176" s="22"/>
      <c r="E176" s="229"/>
      <c r="F176" s="235" t="s">
        <v>406</v>
      </c>
      <c r="G176" s="318" t="s">
        <v>106</v>
      </c>
      <c r="H176" s="360">
        <f>H177/10/in2cm</f>
        <v>19.685039370078741</v>
      </c>
      <c r="I176" s="229"/>
      <c r="J176" s="235" t="s">
        <v>508</v>
      </c>
      <c r="K176" s="318" t="s">
        <v>174</v>
      </c>
      <c r="L176" s="376">
        <f>L177*2</f>
        <v>7.6500000000000003E-5</v>
      </c>
      <c r="M176" s="229"/>
    </row>
    <row r="177" spans="2:13" x14ac:dyDescent="0.2">
      <c r="B177" s="18"/>
      <c r="C177" s="19"/>
      <c r="D177" s="22"/>
      <c r="E177" s="229"/>
      <c r="F177" s="235"/>
      <c r="G177" s="318" t="s">
        <v>186</v>
      </c>
      <c r="H177" s="270">
        <v>500</v>
      </c>
      <c r="I177" s="229"/>
      <c r="J177" s="235" t="s">
        <v>560</v>
      </c>
      <c r="K177" s="318" t="s">
        <v>174</v>
      </c>
      <c r="L177" s="336">
        <f t="shared" ref="L177:L183" si="5">$H$188</f>
        <v>3.8250000000000001E-5</v>
      </c>
      <c r="M177" s="229"/>
    </row>
    <row r="178" spans="2:13" x14ac:dyDescent="0.2">
      <c r="B178" s="18"/>
      <c r="C178" s="19"/>
      <c r="D178" s="22"/>
      <c r="E178" s="229"/>
      <c r="F178" s="333" t="s">
        <v>396</v>
      </c>
      <c r="G178" s="316"/>
      <c r="H178" s="358"/>
      <c r="I178" s="229"/>
      <c r="J178" s="235" t="s">
        <v>559</v>
      </c>
      <c r="K178" s="318" t="s">
        <v>174</v>
      </c>
      <c r="L178" s="336">
        <f t="shared" si="5"/>
        <v>3.8250000000000001E-5</v>
      </c>
      <c r="M178" s="229"/>
    </row>
    <row r="179" spans="2:13" x14ac:dyDescent="0.2">
      <c r="B179" s="18"/>
      <c r="C179" s="19"/>
      <c r="D179" s="22"/>
      <c r="E179" s="229"/>
      <c r="F179" s="267" t="s">
        <v>542</v>
      </c>
      <c r="G179" s="318" t="s">
        <v>68</v>
      </c>
      <c r="H179" s="377">
        <f>SUM(H180:H187)</f>
        <v>0.75500565592430291</v>
      </c>
      <c r="I179" s="229"/>
      <c r="J179" s="235" t="s">
        <v>509</v>
      </c>
      <c r="K179" s="318" t="s">
        <v>174</v>
      </c>
      <c r="L179" s="336">
        <f t="shared" si="5"/>
        <v>3.8250000000000001E-5</v>
      </c>
      <c r="M179" s="229"/>
    </row>
    <row r="180" spans="2:13" x14ac:dyDescent="0.2">
      <c r="B180" s="18"/>
      <c r="C180" s="19"/>
      <c r="D180" s="22"/>
      <c r="E180" s="229"/>
      <c r="F180" s="294" t="s">
        <v>545</v>
      </c>
      <c r="G180" s="318" t="s">
        <v>68</v>
      </c>
      <c r="H180" s="378">
        <f>H353</f>
        <v>0</v>
      </c>
      <c r="I180" s="229"/>
      <c r="J180" s="235" t="s">
        <v>510</v>
      </c>
      <c r="K180" s="318" t="s">
        <v>174</v>
      </c>
      <c r="L180" s="336">
        <f t="shared" si="5"/>
        <v>3.8250000000000001E-5</v>
      </c>
      <c r="M180" s="229"/>
    </row>
    <row r="181" spans="2:13" x14ac:dyDescent="0.2">
      <c r="B181" s="18"/>
      <c r="C181" s="19"/>
      <c r="D181" s="22"/>
      <c r="E181" s="229"/>
      <c r="F181" s="294" t="s">
        <v>313</v>
      </c>
      <c r="G181" s="318" t="s">
        <v>68</v>
      </c>
      <c r="H181" s="250">
        <f>H250</f>
        <v>7.4999999999999997E-2</v>
      </c>
      <c r="I181" s="229"/>
      <c r="J181" s="235" t="s">
        <v>511</v>
      </c>
      <c r="K181" s="318" t="s">
        <v>174</v>
      </c>
      <c r="L181" s="336">
        <f t="shared" si="5"/>
        <v>3.8250000000000001E-5</v>
      </c>
      <c r="M181" s="229"/>
    </row>
    <row r="182" spans="2:13" x14ac:dyDescent="0.2">
      <c r="B182" s="18"/>
      <c r="C182" s="19"/>
      <c r="D182" s="22"/>
      <c r="E182" s="229"/>
      <c r="F182" s="294" t="s">
        <v>546</v>
      </c>
      <c r="G182" s="318" t="s">
        <v>68</v>
      </c>
      <c r="H182" s="379">
        <f>H301</f>
        <v>0.56000000000000005</v>
      </c>
      <c r="I182" s="229"/>
      <c r="J182" s="235" t="s">
        <v>558</v>
      </c>
      <c r="K182" s="318" t="s">
        <v>174</v>
      </c>
      <c r="L182" s="336">
        <f t="shared" si="5"/>
        <v>3.8250000000000001E-5</v>
      </c>
      <c r="M182" s="229"/>
    </row>
    <row r="183" spans="2:13" x14ac:dyDescent="0.2">
      <c r="B183" s="18"/>
      <c r="C183" s="19"/>
      <c r="D183" s="22"/>
      <c r="E183" s="229"/>
      <c r="F183" s="294" t="s">
        <v>548</v>
      </c>
      <c r="G183" s="318" t="s">
        <v>68</v>
      </c>
      <c r="H183" s="336">
        <f>H339</f>
        <v>5.6559243028167962E-6</v>
      </c>
      <c r="I183" s="229"/>
      <c r="J183" s="235" t="s">
        <v>557</v>
      </c>
      <c r="K183" s="318" t="s">
        <v>174</v>
      </c>
      <c r="L183" s="336">
        <f t="shared" si="5"/>
        <v>3.8250000000000001E-5</v>
      </c>
      <c r="M183" s="229"/>
    </row>
    <row r="184" spans="2:13" x14ac:dyDescent="0.2">
      <c r="B184" s="18"/>
      <c r="C184" s="19"/>
      <c r="D184" s="22"/>
      <c r="E184" s="229"/>
      <c r="F184" s="294" t="s">
        <v>547</v>
      </c>
      <c r="G184" s="318" t="s">
        <v>68</v>
      </c>
      <c r="H184" s="297">
        <f>H360</f>
        <v>0.05</v>
      </c>
      <c r="I184" s="229"/>
      <c r="J184" s="235" t="s">
        <v>398</v>
      </c>
      <c r="K184" s="318" t="s">
        <v>174</v>
      </c>
      <c r="L184" s="336">
        <f>$H$153</f>
        <v>1.6178522504370838E-5</v>
      </c>
      <c r="M184" s="229"/>
    </row>
    <row r="185" spans="2:13" x14ac:dyDescent="0.2">
      <c r="B185" s="18"/>
      <c r="C185" s="19"/>
      <c r="D185" s="22"/>
      <c r="E185" s="229"/>
      <c r="F185" s="294" t="s">
        <v>549</v>
      </c>
      <c r="G185" s="318" t="s">
        <v>68</v>
      </c>
      <c r="H185" s="380">
        <v>0.05</v>
      </c>
      <c r="I185" s="229"/>
      <c r="J185" s="235" t="s">
        <v>397</v>
      </c>
      <c r="K185" s="318" t="s">
        <v>174</v>
      </c>
      <c r="L185" s="336">
        <f>$H$153</f>
        <v>1.6178522504370838E-5</v>
      </c>
      <c r="M185" s="229"/>
    </row>
    <row r="186" spans="2:13" x14ac:dyDescent="0.2">
      <c r="B186" s="18"/>
      <c r="C186" s="19"/>
      <c r="D186" s="22"/>
      <c r="E186" s="229"/>
      <c r="F186" s="294" t="s">
        <v>550</v>
      </c>
      <c r="G186" s="318" t="s">
        <v>68</v>
      </c>
      <c r="H186" s="380">
        <v>0.01</v>
      </c>
      <c r="I186" s="229"/>
      <c r="J186" s="381" t="s">
        <v>698</v>
      </c>
      <c r="K186" s="318"/>
      <c r="L186" s="336"/>
      <c r="M186" s="229"/>
    </row>
    <row r="187" spans="2:13" x14ac:dyDescent="0.2">
      <c r="B187" s="18"/>
      <c r="C187" s="19"/>
      <c r="D187" s="22"/>
      <c r="E187" s="229"/>
      <c r="F187" s="294" t="s">
        <v>551</v>
      </c>
      <c r="G187" s="318" t="s">
        <v>68</v>
      </c>
      <c r="H187" s="380">
        <v>0.01</v>
      </c>
      <c r="I187" s="229"/>
      <c r="J187" s="294" t="s">
        <v>704</v>
      </c>
      <c r="K187" s="318" t="s">
        <v>14</v>
      </c>
      <c r="L187" s="361">
        <f>($H$144+$H$162)/1000+L330/100</f>
        <v>0.81588904740888435</v>
      </c>
      <c r="M187" s="229"/>
    </row>
    <row r="188" spans="2:13" x14ac:dyDescent="0.2">
      <c r="B188" s="18"/>
      <c r="C188" s="19"/>
      <c r="D188" s="22"/>
      <c r="E188" s="229"/>
      <c r="F188" s="381" t="s">
        <v>512</v>
      </c>
      <c r="G188" s="318" t="s">
        <v>174</v>
      </c>
      <c r="H188" s="382">
        <f>SUM(H189:H196)</f>
        <v>3.8250000000000001E-5</v>
      </c>
      <c r="I188" s="229"/>
      <c r="J188" s="294" t="s">
        <v>705</v>
      </c>
      <c r="K188" s="318" t="s">
        <v>14</v>
      </c>
      <c r="L188" s="361">
        <f>($H$144+$H$162)/1000</f>
        <v>0.71588904740888437</v>
      </c>
      <c r="M188" s="229"/>
    </row>
    <row r="189" spans="2:13" x14ac:dyDescent="0.2">
      <c r="B189" s="18"/>
      <c r="C189" s="19"/>
      <c r="D189" s="22"/>
      <c r="E189" s="229"/>
      <c r="F189" s="294" t="s">
        <v>545</v>
      </c>
      <c r="G189" s="318" t="s">
        <v>174</v>
      </c>
      <c r="H189" s="336">
        <f>H355</f>
        <v>0</v>
      </c>
      <c r="I189" s="229"/>
      <c r="J189" s="294" t="s">
        <v>587</v>
      </c>
      <c r="K189" s="318" t="s">
        <v>14</v>
      </c>
      <c r="L189" s="361">
        <f>($H$144+$H$162)/1000</f>
        <v>0.71588904740888437</v>
      </c>
      <c r="M189" s="229"/>
    </row>
    <row r="190" spans="2:13" x14ac:dyDescent="0.2">
      <c r="B190" s="18"/>
      <c r="C190" s="19"/>
      <c r="D190" s="22"/>
      <c r="E190" s="229"/>
      <c r="F190" s="294" t="s">
        <v>313</v>
      </c>
      <c r="G190" s="318" t="s">
        <v>174</v>
      </c>
      <c r="H190" s="336">
        <f>H256</f>
        <v>9.2500000000000012E-6</v>
      </c>
      <c r="I190" s="229"/>
      <c r="J190" s="294" t="s">
        <v>588</v>
      </c>
      <c r="K190" s="318" t="s">
        <v>14</v>
      </c>
      <c r="L190" s="361">
        <f>($H$144+$H$162)/1000</f>
        <v>0.71588904740888437</v>
      </c>
      <c r="M190" s="229"/>
    </row>
    <row r="191" spans="2:13" x14ac:dyDescent="0.2">
      <c r="B191" s="18"/>
      <c r="C191" s="19"/>
      <c r="D191" s="22"/>
      <c r="E191" s="229"/>
      <c r="F191" s="294" t="s">
        <v>546</v>
      </c>
      <c r="G191" s="318" t="s">
        <v>174</v>
      </c>
      <c r="H191" s="336">
        <f>H304</f>
        <v>5.0000000000000008E-7</v>
      </c>
      <c r="I191" s="229"/>
      <c r="J191" s="294" t="s">
        <v>589</v>
      </c>
      <c r="K191" s="318" t="s">
        <v>14</v>
      </c>
      <c r="L191" s="361">
        <f>($H$144+$H$162)/1000</f>
        <v>0.71588904740888437</v>
      </c>
      <c r="M191" s="229"/>
    </row>
    <row r="192" spans="2:13" x14ac:dyDescent="0.2">
      <c r="B192" s="18"/>
      <c r="C192" s="19"/>
      <c r="D192" s="22"/>
      <c r="E192" s="229"/>
      <c r="F192" s="294" t="s">
        <v>548</v>
      </c>
      <c r="G192" s="318" t="s">
        <v>174</v>
      </c>
      <c r="H192" s="383">
        <v>5.0000000000000004E-6</v>
      </c>
      <c r="I192" s="229"/>
      <c r="J192" s="294" t="s">
        <v>590</v>
      </c>
      <c r="K192" s="318" t="s">
        <v>14</v>
      </c>
      <c r="L192" s="361">
        <f>H144/1000</f>
        <v>0.35794452370444219</v>
      </c>
      <c r="M192" s="229"/>
    </row>
    <row r="193" spans="2:13" x14ac:dyDescent="0.2">
      <c r="B193" s="18"/>
      <c r="C193" s="19"/>
      <c r="D193" s="22"/>
      <c r="E193" s="229"/>
      <c r="F193" s="294" t="s">
        <v>547</v>
      </c>
      <c r="G193" s="318" t="s">
        <v>174</v>
      </c>
      <c r="H193" s="336">
        <f>H359</f>
        <v>2.5000000000000002E-6</v>
      </c>
      <c r="I193" s="229"/>
      <c r="J193" s="294" t="s">
        <v>591</v>
      </c>
      <c r="K193" s="318" t="s">
        <v>14</v>
      </c>
      <c r="L193" s="270">
        <v>0</v>
      </c>
      <c r="M193" s="229"/>
    </row>
    <row r="194" spans="2:13" x14ac:dyDescent="0.2">
      <c r="B194" s="18"/>
      <c r="C194" s="19"/>
      <c r="D194" s="22"/>
      <c r="E194" s="229"/>
      <c r="F194" s="294" t="s">
        <v>549</v>
      </c>
      <c r="G194" s="318" t="s">
        <v>174</v>
      </c>
      <c r="H194" s="383">
        <f>0.000015</f>
        <v>1.5E-5</v>
      </c>
      <c r="I194" s="229"/>
      <c r="J194" s="294" t="s">
        <v>592</v>
      </c>
      <c r="K194" s="318" t="s">
        <v>14</v>
      </c>
      <c r="L194" s="270">
        <v>0</v>
      </c>
      <c r="M194" s="229"/>
    </row>
    <row r="195" spans="2:13" x14ac:dyDescent="0.2">
      <c r="B195" s="18"/>
      <c r="C195" s="19"/>
      <c r="D195" s="22"/>
      <c r="E195" s="229"/>
      <c r="F195" s="294" t="s">
        <v>550</v>
      </c>
      <c r="G195" s="318" t="s">
        <v>174</v>
      </c>
      <c r="H195" s="383">
        <v>9.9999999999999995E-7</v>
      </c>
      <c r="I195" s="229"/>
      <c r="J195" s="294" t="s">
        <v>593</v>
      </c>
      <c r="K195" s="318" t="s">
        <v>14</v>
      </c>
      <c r="L195" s="270">
        <v>0</v>
      </c>
      <c r="M195" s="229"/>
    </row>
    <row r="196" spans="2:13" x14ac:dyDescent="0.2">
      <c r="B196" s="18"/>
      <c r="C196" s="19"/>
      <c r="D196" s="22"/>
      <c r="E196" s="229"/>
      <c r="F196" s="294" t="s">
        <v>551</v>
      </c>
      <c r="G196" s="318" t="s">
        <v>174</v>
      </c>
      <c r="H196" s="383">
        <v>5.0000000000000004E-6</v>
      </c>
      <c r="I196" s="229"/>
      <c r="J196" s="294" t="s">
        <v>637</v>
      </c>
      <c r="K196" s="318" t="s">
        <v>14</v>
      </c>
      <c r="L196" s="361">
        <f>H144/1000+L197</f>
        <v>0.53691678555666322</v>
      </c>
      <c r="M196" s="229"/>
    </row>
    <row r="197" spans="2:13" x14ac:dyDescent="0.2">
      <c r="B197" s="18"/>
      <c r="C197" s="19"/>
      <c r="D197" s="22"/>
      <c r="E197" s="229"/>
      <c r="F197" s="381" t="s">
        <v>561</v>
      </c>
      <c r="G197" s="318" t="s">
        <v>562</v>
      </c>
      <c r="H197" s="332">
        <f>1/(1/H198+1/H199)</f>
        <v>9090.9090909090901</v>
      </c>
      <c r="I197" s="229"/>
      <c r="J197" s="294" t="s">
        <v>638</v>
      </c>
      <c r="K197" s="318" t="s">
        <v>14</v>
      </c>
      <c r="L197" s="361">
        <f>H144/2/1000</f>
        <v>0.17897226185222109</v>
      </c>
      <c r="M197" s="229"/>
    </row>
    <row r="198" spans="2:13" x14ac:dyDescent="0.2">
      <c r="B198" s="18"/>
      <c r="C198" s="19"/>
      <c r="D198" s="22"/>
      <c r="E198" s="229"/>
      <c r="F198" s="294" t="s">
        <v>546</v>
      </c>
      <c r="G198" s="318" t="s">
        <v>562</v>
      </c>
      <c r="H198" s="376">
        <v>10000</v>
      </c>
      <c r="I198" s="229"/>
      <c r="J198" s="381" t="s">
        <v>699</v>
      </c>
      <c r="K198" s="268"/>
      <c r="L198" s="361"/>
      <c r="M198" s="229"/>
    </row>
    <row r="199" spans="2:13" x14ac:dyDescent="0.2">
      <c r="B199" s="18"/>
      <c r="C199" s="19"/>
      <c r="D199" s="22"/>
      <c r="E199" s="229"/>
      <c r="F199" s="294" t="s">
        <v>549</v>
      </c>
      <c r="G199" s="318" t="s">
        <v>562</v>
      </c>
      <c r="H199" s="376">
        <v>100000</v>
      </c>
      <c r="I199" s="229"/>
      <c r="J199" s="294" t="s">
        <v>507</v>
      </c>
      <c r="K199" s="318" t="s">
        <v>14</v>
      </c>
      <c r="L199" s="361">
        <f t="shared" ref="L199:L209" si="6">L337</f>
        <v>0.70658064172558011</v>
      </c>
      <c r="M199" s="229"/>
    </row>
    <row r="200" spans="2:13" x14ac:dyDescent="0.2">
      <c r="B200" s="18"/>
      <c r="C200" s="19"/>
      <c r="D200" s="22"/>
      <c r="E200" s="229"/>
      <c r="F200" s="381" t="s">
        <v>563</v>
      </c>
      <c r="G200" s="318" t="s">
        <v>279</v>
      </c>
      <c r="H200" s="269">
        <f>SUM(H201:H205)</f>
        <v>0.64</v>
      </c>
      <c r="I200" s="229"/>
      <c r="J200" s="294" t="s">
        <v>508</v>
      </c>
      <c r="K200" s="318" t="s">
        <v>14</v>
      </c>
      <c r="L200" s="361">
        <f t="shared" si="6"/>
        <v>0.61997810134713627</v>
      </c>
      <c r="M200" s="229"/>
    </row>
    <row r="201" spans="2:13" x14ac:dyDescent="0.2">
      <c r="B201" s="18"/>
      <c r="C201" s="19"/>
      <c r="D201" s="22"/>
      <c r="E201" s="229"/>
      <c r="F201" s="294" t="s">
        <v>565</v>
      </c>
      <c r="G201" s="318" t="s">
        <v>279</v>
      </c>
      <c r="H201" s="384"/>
      <c r="I201" s="229"/>
      <c r="J201" s="294" t="s">
        <v>553</v>
      </c>
      <c r="K201" s="318" t="s">
        <v>14</v>
      </c>
      <c r="L201" s="361">
        <f t="shared" si="6"/>
        <v>0.61997810134713627</v>
      </c>
      <c r="M201" s="229"/>
    </row>
    <row r="202" spans="2:13" x14ac:dyDescent="0.2">
      <c r="B202" s="18"/>
      <c r="C202" s="19"/>
      <c r="D202" s="22"/>
      <c r="E202" s="229"/>
      <c r="F202" s="294" t="s">
        <v>566</v>
      </c>
      <c r="G202" s="318" t="s">
        <v>279</v>
      </c>
      <c r="H202" s="384"/>
      <c r="I202" s="229"/>
      <c r="J202" s="294" t="s">
        <v>552</v>
      </c>
      <c r="K202" s="318" t="s">
        <v>14</v>
      </c>
      <c r="L202" s="361">
        <f t="shared" si="6"/>
        <v>0.61997810134713627</v>
      </c>
      <c r="M202" s="229"/>
    </row>
    <row r="203" spans="2:13" x14ac:dyDescent="0.2">
      <c r="B203" s="18"/>
      <c r="C203" s="19"/>
      <c r="D203" s="22"/>
      <c r="E203" s="229"/>
      <c r="F203" s="294" t="s">
        <v>564</v>
      </c>
      <c r="G203" s="318" t="s">
        <v>279</v>
      </c>
      <c r="H203" s="328">
        <f>H310</f>
        <v>0.64</v>
      </c>
      <c r="I203" s="229"/>
      <c r="J203" s="294" t="s">
        <v>390</v>
      </c>
      <c r="K203" s="318" t="s">
        <v>14</v>
      </c>
      <c r="L203" s="361">
        <f t="shared" si="6"/>
        <v>0.61997810134713627</v>
      </c>
      <c r="M203" s="229"/>
    </row>
    <row r="204" spans="2:13" x14ac:dyDescent="0.2">
      <c r="B204" s="18"/>
      <c r="C204" s="19"/>
      <c r="D204" s="22"/>
      <c r="E204" s="229"/>
      <c r="F204" s="294" t="s">
        <v>567</v>
      </c>
      <c r="G204" s="318" t="s">
        <v>279</v>
      </c>
      <c r="H204" s="384"/>
      <c r="I204" s="229"/>
      <c r="J204" s="294" t="s">
        <v>389</v>
      </c>
      <c r="K204" s="318" t="s">
        <v>14</v>
      </c>
      <c r="L204" s="361">
        <f t="shared" si="6"/>
        <v>0.30998905067356813</v>
      </c>
      <c r="M204" s="229"/>
    </row>
    <row r="205" spans="2:13" x14ac:dyDescent="0.2">
      <c r="B205" s="18"/>
      <c r="C205" s="19"/>
      <c r="D205" s="22"/>
      <c r="E205" s="229"/>
      <c r="F205" s="294" t="s">
        <v>568</v>
      </c>
      <c r="G205" s="318" t="s">
        <v>279</v>
      </c>
      <c r="H205" s="384"/>
      <c r="I205" s="229"/>
      <c r="J205" s="294" t="s">
        <v>388</v>
      </c>
      <c r="K205" s="318" t="s">
        <v>14</v>
      </c>
      <c r="L205" s="361">
        <f t="shared" si="6"/>
        <v>0</v>
      </c>
      <c r="M205" s="229"/>
    </row>
    <row r="206" spans="2:13" x14ac:dyDescent="0.2">
      <c r="B206" s="18"/>
      <c r="C206" s="19"/>
      <c r="D206" s="22"/>
      <c r="E206" s="229"/>
      <c r="F206" s="333" t="s">
        <v>674</v>
      </c>
      <c r="G206" s="316"/>
      <c r="H206" s="312"/>
      <c r="I206" s="229"/>
      <c r="J206" s="294" t="s">
        <v>544</v>
      </c>
      <c r="K206" s="318" t="s">
        <v>14</v>
      </c>
      <c r="L206" s="361">
        <f t="shared" si="6"/>
        <v>0</v>
      </c>
      <c r="M206" s="229"/>
    </row>
    <row r="207" spans="2:13" x14ac:dyDescent="0.2">
      <c r="B207" s="18"/>
      <c r="C207" s="19"/>
      <c r="D207" s="22"/>
      <c r="E207" s="229"/>
      <c r="F207" s="327" t="s">
        <v>595</v>
      </c>
      <c r="G207" s="268"/>
      <c r="H207" s="250"/>
      <c r="I207" s="229"/>
      <c r="J207" s="294" t="s">
        <v>543</v>
      </c>
      <c r="K207" s="318" t="s">
        <v>14</v>
      </c>
      <c r="L207" s="361">
        <f t="shared" si="6"/>
        <v>0</v>
      </c>
      <c r="M207" s="229"/>
    </row>
    <row r="208" spans="2:13" x14ac:dyDescent="0.2">
      <c r="B208" s="18"/>
      <c r="C208" s="19"/>
      <c r="D208" s="22"/>
      <c r="E208" s="229"/>
      <c r="F208" s="235" t="s">
        <v>268</v>
      </c>
      <c r="G208" s="318" t="s">
        <v>176</v>
      </c>
      <c r="H208" s="328">
        <f>H284</f>
        <v>6100</v>
      </c>
      <c r="I208" s="229"/>
      <c r="J208" s="294" t="s">
        <v>398</v>
      </c>
      <c r="K208" s="318" t="s">
        <v>14</v>
      </c>
      <c r="L208" s="361">
        <f t="shared" si="6"/>
        <v>0.46498357601035217</v>
      </c>
      <c r="M208" s="229"/>
    </row>
    <row r="209" spans="2:13" x14ac:dyDescent="0.2">
      <c r="B209" s="18"/>
      <c r="C209" s="19"/>
      <c r="D209" s="22"/>
      <c r="E209" s="229"/>
      <c r="F209" s="235"/>
      <c r="G209" s="318" t="s">
        <v>177</v>
      </c>
      <c r="H209" s="326">
        <f>H208*rpm2rps</f>
        <v>638.79050622992452</v>
      </c>
      <c r="I209" s="229"/>
      <c r="J209" s="294" t="s">
        <v>397</v>
      </c>
      <c r="K209" s="318" t="s">
        <v>14</v>
      </c>
      <c r="L209" s="361">
        <f t="shared" si="6"/>
        <v>0.15499452533678407</v>
      </c>
      <c r="M209" s="229"/>
    </row>
    <row r="210" spans="2:13" x14ac:dyDescent="0.2">
      <c r="B210" s="18"/>
      <c r="C210" s="19"/>
      <c r="D210" s="22"/>
      <c r="E210" s="229"/>
      <c r="F210" s="235" t="s">
        <v>264</v>
      </c>
      <c r="G210" s="318" t="s">
        <v>177</v>
      </c>
      <c r="H210" s="385">
        <f>L299</f>
        <v>0.43176560045338941</v>
      </c>
      <c r="I210" s="229"/>
      <c r="J210" s="386" t="s">
        <v>700</v>
      </c>
      <c r="K210" s="268"/>
      <c r="L210" s="361"/>
      <c r="M210" s="229"/>
    </row>
    <row r="211" spans="2:13" x14ac:dyDescent="0.2">
      <c r="B211" s="18"/>
      <c r="C211" s="19"/>
      <c r="D211" s="22"/>
      <c r="E211" s="229"/>
      <c r="F211" s="235"/>
      <c r="G211" s="318" t="s">
        <v>241</v>
      </c>
      <c r="H211" s="387">
        <f>H210*rad2deg</f>
        <v>24.738346644910997</v>
      </c>
      <c r="I211" s="229"/>
      <c r="J211" s="294" t="s">
        <v>507</v>
      </c>
      <c r="K211" s="318" t="s">
        <v>14</v>
      </c>
      <c r="L211" s="361">
        <f t="shared" ref="L211:L221" si="7">L349</f>
        <v>0.57692067811865466</v>
      </c>
      <c r="M211" s="229"/>
    </row>
    <row r="212" spans="2:13" x14ac:dyDescent="0.2">
      <c r="B212" s="18"/>
      <c r="C212" s="19"/>
      <c r="D212" s="22"/>
      <c r="E212" s="229"/>
      <c r="F212" s="333" t="s">
        <v>597</v>
      </c>
      <c r="G212" s="268"/>
      <c r="H212" s="388">
        <f>H209/H210</f>
        <v>1479.4844831527614</v>
      </c>
      <c r="I212" s="229"/>
      <c r="J212" s="294" t="s">
        <v>508</v>
      </c>
      <c r="K212" s="318" t="s">
        <v>14</v>
      </c>
      <c r="L212" s="361">
        <f t="shared" si="7"/>
        <v>0.50620999999999994</v>
      </c>
      <c r="M212" s="229"/>
    </row>
    <row r="213" spans="2:13" x14ac:dyDescent="0.2">
      <c r="B213" s="18"/>
      <c r="C213" s="19"/>
      <c r="D213" s="22"/>
      <c r="E213" s="229"/>
      <c r="F213" s="327" t="s">
        <v>594</v>
      </c>
      <c r="G213" s="268"/>
      <c r="H213" s="250"/>
      <c r="I213" s="229"/>
      <c r="J213" s="294" t="s">
        <v>553</v>
      </c>
      <c r="K213" s="318" t="s">
        <v>14</v>
      </c>
      <c r="L213" s="361">
        <f t="shared" si="7"/>
        <v>0.50620999999999994</v>
      </c>
      <c r="M213" s="229"/>
    </row>
    <row r="214" spans="2:13" x14ac:dyDescent="0.2">
      <c r="B214" s="18"/>
      <c r="C214" s="19"/>
      <c r="D214" s="22"/>
      <c r="E214" s="229"/>
      <c r="F214" s="333" t="s">
        <v>599</v>
      </c>
      <c r="G214" s="318" t="s">
        <v>174</v>
      </c>
      <c r="H214" s="389">
        <f>H188</f>
        <v>3.8250000000000001E-5</v>
      </c>
      <c r="I214" s="229"/>
      <c r="J214" s="294" t="s">
        <v>552</v>
      </c>
      <c r="K214" s="318" t="s">
        <v>14</v>
      </c>
      <c r="L214" s="361">
        <f t="shared" si="7"/>
        <v>0.50620999999999994</v>
      </c>
      <c r="M214" s="229"/>
    </row>
    <row r="215" spans="2:13" x14ac:dyDescent="0.2">
      <c r="B215" s="18"/>
      <c r="C215" s="19"/>
      <c r="D215" s="22"/>
      <c r="E215" s="229"/>
      <c r="F215" s="333" t="s">
        <v>340</v>
      </c>
      <c r="G215" s="318" t="s">
        <v>174</v>
      </c>
      <c r="H215" s="326">
        <f>L233</f>
        <v>12.043474712893955</v>
      </c>
      <c r="I215" s="229"/>
      <c r="J215" s="294" t="s">
        <v>390</v>
      </c>
      <c r="K215" s="318" t="s">
        <v>14</v>
      </c>
      <c r="L215" s="361">
        <f t="shared" si="7"/>
        <v>0.50620999999999994</v>
      </c>
      <c r="M215" s="229"/>
    </row>
    <row r="216" spans="2:13" x14ac:dyDescent="0.2">
      <c r="B216" s="18"/>
      <c r="C216" s="19"/>
      <c r="D216" s="22"/>
      <c r="E216" s="229"/>
      <c r="F216" s="333" t="s">
        <v>342</v>
      </c>
      <c r="G216" s="318"/>
      <c r="H216" s="326">
        <f>H215/H214</f>
        <v>314862.0839972276</v>
      </c>
      <c r="I216" s="229"/>
      <c r="J216" s="294" t="s">
        <v>389</v>
      </c>
      <c r="K216" s="318" t="s">
        <v>14</v>
      </c>
      <c r="L216" s="361">
        <f t="shared" si="7"/>
        <v>0.21919535982486035</v>
      </c>
      <c r="M216" s="229"/>
    </row>
    <row r="217" spans="2:13" x14ac:dyDescent="0.2">
      <c r="B217" s="18"/>
      <c r="C217" s="19"/>
      <c r="D217" s="22"/>
      <c r="E217" s="229"/>
      <c r="F217" s="333" t="s">
        <v>305</v>
      </c>
      <c r="G217" s="316"/>
      <c r="H217" s="390">
        <f>SQRT(H216)</f>
        <v>561.12572922405514</v>
      </c>
      <c r="I217" s="229"/>
      <c r="J217" s="294" t="s">
        <v>388</v>
      </c>
      <c r="K217" s="318" t="s">
        <v>14</v>
      </c>
      <c r="L217" s="361">
        <f t="shared" si="7"/>
        <v>0</v>
      </c>
      <c r="M217" s="229"/>
    </row>
    <row r="218" spans="2:13" x14ac:dyDescent="0.2">
      <c r="B218" s="18"/>
      <c r="C218" s="19"/>
      <c r="D218" s="22"/>
      <c r="E218" s="229"/>
      <c r="F218" s="333" t="s">
        <v>596</v>
      </c>
      <c r="G218" s="316"/>
      <c r="H218" s="390">
        <f>H293</f>
        <v>1296</v>
      </c>
      <c r="I218" s="229"/>
      <c r="J218" s="294" t="s">
        <v>544</v>
      </c>
      <c r="K218" s="318" t="s">
        <v>14</v>
      </c>
      <c r="L218" s="361">
        <f t="shared" si="7"/>
        <v>0</v>
      </c>
      <c r="M218" s="229"/>
    </row>
    <row r="219" spans="2:13" x14ac:dyDescent="0.2">
      <c r="B219" s="18"/>
      <c r="C219" s="19"/>
      <c r="D219" s="22"/>
      <c r="E219" s="229"/>
      <c r="F219" s="333" t="s">
        <v>341</v>
      </c>
      <c r="G219" s="316"/>
      <c r="H219" s="324">
        <f>H218/H217</f>
        <v>2.3096427992923361</v>
      </c>
      <c r="I219" s="229"/>
      <c r="J219" s="294" t="s">
        <v>543</v>
      </c>
      <c r="K219" s="318" t="s">
        <v>14</v>
      </c>
      <c r="L219" s="361">
        <f t="shared" si="7"/>
        <v>0</v>
      </c>
      <c r="M219" s="229"/>
    </row>
    <row r="220" spans="2:13" x14ac:dyDescent="0.2">
      <c r="B220" s="18"/>
      <c r="C220" s="19"/>
      <c r="D220" s="22"/>
      <c r="E220" s="229"/>
      <c r="F220" s="333" t="s">
        <v>690</v>
      </c>
      <c r="G220" s="316"/>
      <c r="H220" s="358"/>
      <c r="I220" s="229"/>
      <c r="J220" s="294" t="s">
        <v>398</v>
      </c>
      <c r="K220" s="318" t="s">
        <v>14</v>
      </c>
      <c r="L220" s="361">
        <f t="shared" si="7"/>
        <v>0.32879303973729052</v>
      </c>
      <c r="M220" s="229"/>
    </row>
    <row r="221" spans="2:13" x14ac:dyDescent="0.2">
      <c r="B221" s="18"/>
      <c r="C221" s="19"/>
      <c r="D221" s="22"/>
      <c r="E221" s="229"/>
      <c r="F221" s="333" t="s">
        <v>327</v>
      </c>
      <c r="G221" s="268"/>
      <c r="H221" s="334">
        <f>H310</f>
        <v>0.64</v>
      </c>
      <c r="I221" s="229"/>
      <c r="J221" s="294" t="s">
        <v>397</v>
      </c>
      <c r="K221" s="318" t="s">
        <v>14</v>
      </c>
      <c r="L221" s="361">
        <f t="shared" si="7"/>
        <v>0.10959767991243018</v>
      </c>
      <c r="M221" s="229"/>
    </row>
    <row r="222" spans="2:13" ht="13.5" thickBot="1" x14ac:dyDescent="0.25">
      <c r="B222" s="18"/>
      <c r="C222" s="19"/>
      <c r="D222" s="22"/>
      <c r="E222" s="229"/>
      <c r="F222" s="333" t="s">
        <v>680</v>
      </c>
      <c r="G222" s="318" t="s">
        <v>177</v>
      </c>
      <c r="H222" s="334">
        <f>L302</f>
        <v>0.15803717824618241</v>
      </c>
      <c r="I222" s="229"/>
      <c r="J222" s="391" t="s">
        <v>639</v>
      </c>
      <c r="K222" s="318" t="s">
        <v>174</v>
      </c>
      <c r="L222" s="362">
        <f>L174+L143*L187^2</f>
        <v>10.67132510108561</v>
      </c>
      <c r="M222" s="229"/>
    </row>
    <row r="223" spans="2:13" ht="13.5" thickBot="1" x14ac:dyDescent="0.25">
      <c r="B223" s="18"/>
      <c r="C223" s="19"/>
      <c r="D223" s="22"/>
      <c r="E223" s="229"/>
      <c r="F223" s="392" t="s">
        <v>683</v>
      </c>
      <c r="G223" s="393" t="s">
        <v>279</v>
      </c>
      <c r="H223" s="394">
        <f>L454</f>
        <v>23.759134414957959</v>
      </c>
      <c r="I223" s="229"/>
      <c r="J223" s="391" t="s">
        <v>640</v>
      </c>
      <c r="K223" s="318" t="s">
        <v>174</v>
      </c>
      <c r="L223" s="362">
        <f>L176+L145*L188^2</f>
        <v>0.10257592563999998</v>
      </c>
      <c r="M223" s="229"/>
    </row>
    <row r="224" spans="2:13" x14ac:dyDescent="0.2">
      <c r="B224" s="18"/>
      <c r="C224" s="19"/>
      <c r="D224" s="22"/>
      <c r="E224" s="229"/>
      <c r="F224" s="333" t="s">
        <v>679</v>
      </c>
      <c r="G224" s="318" t="s">
        <v>255</v>
      </c>
      <c r="H224" s="334">
        <f>H223*H222</f>
        <v>3.7548265605117179</v>
      </c>
      <c r="I224" s="229"/>
      <c r="J224" s="391" t="s">
        <v>641</v>
      </c>
      <c r="K224" s="318" t="s">
        <v>174</v>
      </c>
      <c r="L224" s="362">
        <f t="shared" ref="L224:L232" si="8">L177+L146*L189^2</f>
        <v>0.3869764804359625</v>
      </c>
      <c r="M224" s="229"/>
    </row>
    <row r="225" spans="2:13" x14ac:dyDescent="0.2">
      <c r="B225" s="18"/>
      <c r="C225" s="19"/>
      <c r="D225" s="22"/>
      <c r="E225" s="229"/>
      <c r="F225" s="333" t="s">
        <v>684</v>
      </c>
      <c r="G225" s="318" t="s">
        <v>255</v>
      </c>
      <c r="H225" s="313">
        <f>H224/H221</f>
        <v>5.866916500799559</v>
      </c>
      <c r="I225" s="229"/>
      <c r="J225" s="391" t="s">
        <v>642</v>
      </c>
      <c r="K225" s="318" t="s">
        <v>174</v>
      </c>
      <c r="L225" s="362">
        <f t="shared" si="8"/>
        <v>0.3869764804359625</v>
      </c>
      <c r="M225" s="229"/>
    </row>
    <row r="226" spans="2:13" x14ac:dyDescent="0.2">
      <c r="B226" s="18"/>
      <c r="C226" s="19"/>
      <c r="D226" s="22"/>
      <c r="E226" s="229"/>
      <c r="F226" s="333" t="s">
        <v>685</v>
      </c>
      <c r="G226" s="318" t="s">
        <v>176</v>
      </c>
      <c r="H226" s="314">
        <f>H208</f>
        <v>6100</v>
      </c>
      <c r="I226" s="229"/>
      <c r="J226" s="391" t="s">
        <v>643</v>
      </c>
      <c r="K226" s="318" t="s">
        <v>174</v>
      </c>
      <c r="L226" s="362">
        <f t="shared" si="8"/>
        <v>0.3869764804359625</v>
      </c>
      <c r="M226" s="229"/>
    </row>
    <row r="227" spans="2:13" x14ac:dyDescent="0.2">
      <c r="B227" s="18"/>
      <c r="C227" s="19"/>
      <c r="D227" s="22"/>
      <c r="E227" s="229"/>
      <c r="F227" s="333"/>
      <c r="G227" s="318" t="s">
        <v>177</v>
      </c>
      <c r="H227" s="314">
        <f>H209</f>
        <v>638.79050622992452</v>
      </c>
      <c r="I227" s="229"/>
      <c r="J227" s="391" t="s">
        <v>644</v>
      </c>
      <c r="K227" s="318" t="s">
        <v>174</v>
      </c>
      <c r="L227" s="362">
        <f t="shared" si="8"/>
        <v>9.6772807608990624E-2</v>
      </c>
      <c r="M227" s="229"/>
    </row>
    <row r="228" spans="2:13" x14ac:dyDescent="0.2">
      <c r="B228" s="18"/>
      <c r="C228" s="19"/>
      <c r="D228" s="22"/>
      <c r="E228" s="229"/>
      <c r="F228" s="235" t="s">
        <v>686</v>
      </c>
      <c r="G228" s="316" t="s">
        <v>247</v>
      </c>
      <c r="H228" s="395">
        <f>H225/H227*1000</f>
        <v>9.1844140505867777</v>
      </c>
      <c r="I228" s="229"/>
      <c r="J228" s="391" t="s">
        <v>645</v>
      </c>
      <c r="K228" s="318" t="s">
        <v>174</v>
      </c>
      <c r="L228" s="362">
        <f t="shared" si="8"/>
        <v>3.8250000000000001E-5</v>
      </c>
      <c r="M228" s="229"/>
    </row>
    <row r="229" spans="2:13" x14ac:dyDescent="0.2">
      <c r="B229" s="18"/>
      <c r="C229" s="19"/>
      <c r="D229" s="22"/>
      <c r="E229" s="229"/>
      <c r="F229" s="235" t="s">
        <v>688</v>
      </c>
      <c r="G229" s="316" t="s">
        <v>247</v>
      </c>
      <c r="H229" s="387">
        <f>H286</f>
        <v>28.839501871634102</v>
      </c>
      <c r="I229" s="229"/>
      <c r="J229" s="391" t="s">
        <v>646</v>
      </c>
      <c r="K229" s="318" t="s">
        <v>174</v>
      </c>
      <c r="L229" s="362">
        <f t="shared" si="8"/>
        <v>3.8250000000000001E-5</v>
      </c>
      <c r="M229" s="229"/>
    </row>
    <row r="230" spans="2:13" x14ac:dyDescent="0.2">
      <c r="B230" s="18"/>
      <c r="C230" s="19"/>
      <c r="D230" s="22"/>
      <c r="E230" s="229"/>
      <c r="F230" s="235" t="s">
        <v>687</v>
      </c>
      <c r="G230" s="268"/>
      <c r="H230" s="396">
        <f>H229/H228</f>
        <v>3.1400480980919618</v>
      </c>
      <c r="I230" s="229"/>
      <c r="J230" s="391" t="s">
        <v>647</v>
      </c>
      <c r="K230" s="318" t="s">
        <v>174</v>
      </c>
      <c r="L230" s="362">
        <f t="shared" si="8"/>
        <v>3.8250000000000001E-5</v>
      </c>
      <c r="M230" s="229"/>
    </row>
    <row r="231" spans="2:13" x14ac:dyDescent="0.2">
      <c r="B231" s="18"/>
      <c r="C231" s="19"/>
      <c r="D231" s="22"/>
      <c r="E231" s="229"/>
      <c r="F231" s="333" t="s">
        <v>691</v>
      </c>
      <c r="G231" s="316"/>
      <c r="H231" s="358"/>
      <c r="I231" s="229"/>
      <c r="J231" s="391" t="s">
        <v>648</v>
      </c>
      <c r="K231" s="318" t="s">
        <v>174</v>
      </c>
      <c r="L231" s="362">
        <f t="shared" si="8"/>
        <v>1.0568075708319148E-2</v>
      </c>
      <c r="M231" s="229"/>
    </row>
    <row r="232" spans="2:13" x14ac:dyDescent="0.2">
      <c r="B232" s="18"/>
      <c r="C232" s="19"/>
      <c r="D232" s="22"/>
      <c r="E232" s="229"/>
      <c r="F232" s="333" t="s">
        <v>703</v>
      </c>
      <c r="G232" s="339" t="s">
        <v>279</v>
      </c>
      <c r="H232" s="326">
        <f>H223</f>
        <v>23.759134414957959</v>
      </c>
      <c r="I232" s="229"/>
      <c r="J232" s="391" t="s">
        <v>649</v>
      </c>
      <c r="K232" s="318" t="s">
        <v>174</v>
      </c>
      <c r="L232" s="362">
        <f t="shared" si="8"/>
        <v>1.1886115431504576E-3</v>
      </c>
      <c r="M232" s="229"/>
    </row>
    <row r="233" spans="2:13" x14ac:dyDescent="0.2">
      <c r="B233" s="18"/>
      <c r="C233" s="19"/>
      <c r="D233" s="22"/>
      <c r="E233" s="229"/>
      <c r="F233" s="333" t="s">
        <v>306</v>
      </c>
      <c r="G233" s="339" t="s">
        <v>279</v>
      </c>
      <c r="H233" s="326">
        <f>H314</f>
        <v>211.50720000000001</v>
      </c>
      <c r="I233" s="229"/>
      <c r="J233" s="391" t="s">
        <v>512</v>
      </c>
      <c r="K233" s="318" t="s">
        <v>174</v>
      </c>
      <c r="L233" s="397">
        <f>SUM(L222:L232)</f>
        <v>12.043474712893955</v>
      </c>
      <c r="M233" s="229"/>
    </row>
    <row r="234" spans="2:13" x14ac:dyDescent="0.2">
      <c r="B234" s="18"/>
      <c r="C234" s="19"/>
      <c r="D234" s="22"/>
      <c r="E234" s="229"/>
      <c r="F234" s="333" t="s">
        <v>307</v>
      </c>
      <c r="G234" s="339" t="s">
        <v>279</v>
      </c>
      <c r="H234" s="326">
        <f>H319</f>
        <v>23.920636432408187</v>
      </c>
      <c r="I234" s="229"/>
      <c r="J234" s="333" t="s">
        <v>408</v>
      </c>
      <c r="K234" s="316"/>
      <c r="L234" s="312"/>
      <c r="M234" s="229"/>
    </row>
    <row r="235" spans="2:13" x14ac:dyDescent="0.2">
      <c r="B235" s="18"/>
      <c r="C235" s="19"/>
      <c r="D235" s="22"/>
      <c r="E235" s="229"/>
      <c r="F235" s="235" t="s">
        <v>598</v>
      </c>
      <c r="G235" s="316"/>
      <c r="H235" s="338">
        <f>H234/H232</f>
        <v>1.0067974705908711</v>
      </c>
      <c r="I235" s="229"/>
      <c r="J235" s="235" t="s">
        <v>446</v>
      </c>
      <c r="K235" s="318" t="s">
        <v>68</v>
      </c>
      <c r="L235" s="285">
        <f>L310</f>
        <v>15.4275</v>
      </c>
      <c r="M235" s="229"/>
    </row>
    <row r="236" spans="2:13" x14ac:dyDescent="0.2">
      <c r="B236" s="18"/>
      <c r="C236" s="19"/>
      <c r="D236" s="22"/>
      <c r="E236" s="229"/>
      <c r="F236" s="333" t="s">
        <v>676</v>
      </c>
      <c r="G236" s="316"/>
      <c r="H236" s="358"/>
      <c r="I236" s="229"/>
      <c r="J236" s="235" t="s">
        <v>447</v>
      </c>
      <c r="K236" s="318"/>
      <c r="L236" s="285">
        <f>L311</f>
        <v>1.5</v>
      </c>
      <c r="M236" s="229"/>
    </row>
    <row r="237" spans="2:13" x14ac:dyDescent="0.2">
      <c r="B237" s="18"/>
      <c r="C237" s="19"/>
      <c r="D237" s="22"/>
      <c r="E237" s="229"/>
      <c r="F237" s="235" t="s">
        <v>618</v>
      </c>
      <c r="G237" s="339" t="s">
        <v>176</v>
      </c>
      <c r="H237" s="250">
        <f>H284</f>
        <v>6100</v>
      </c>
      <c r="I237" s="229"/>
      <c r="J237" s="235" t="s">
        <v>455</v>
      </c>
      <c r="K237" s="318" t="s">
        <v>68</v>
      </c>
      <c r="L237" s="285">
        <f>L312</f>
        <v>23.141249999999999</v>
      </c>
      <c r="M237" s="229"/>
    </row>
    <row r="238" spans="2:13" x14ac:dyDescent="0.2">
      <c r="B238" s="18"/>
      <c r="C238" s="19"/>
      <c r="D238" s="22"/>
      <c r="E238" s="229"/>
      <c r="F238" s="333" t="s">
        <v>619</v>
      </c>
      <c r="G238" s="339" t="s">
        <v>176</v>
      </c>
      <c r="H238" s="326">
        <f>H237/H218</f>
        <v>4.7067901234567904</v>
      </c>
      <c r="I238" s="229"/>
      <c r="J238" s="235" t="s">
        <v>456</v>
      </c>
      <c r="K238" s="318" t="s">
        <v>68</v>
      </c>
      <c r="L238" s="250">
        <f>L329</f>
        <v>3</v>
      </c>
      <c r="M238" s="229"/>
    </row>
    <row r="239" spans="2:13" x14ac:dyDescent="0.2">
      <c r="B239" s="18"/>
      <c r="C239" s="19"/>
      <c r="D239" s="22"/>
      <c r="E239" s="229"/>
      <c r="F239" s="235"/>
      <c r="G239" s="339" t="s">
        <v>177</v>
      </c>
      <c r="H239" s="324">
        <f>H238*rpm2rps</f>
        <v>0.49289390912802822</v>
      </c>
      <c r="I239" s="229"/>
      <c r="J239" s="235" t="s">
        <v>457</v>
      </c>
      <c r="K239" s="318" t="s">
        <v>70</v>
      </c>
      <c r="L239" s="314">
        <f>L331</f>
        <v>29.41995</v>
      </c>
      <c r="M239" s="229"/>
    </row>
    <row r="240" spans="2:13" x14ac:dyDescent="0.2">
      <c r="B240" s="18"/>
      <c r="C240" s="19"/>
      <c r="D240" s="22"/>
      <c r="E240" s="229"/>
      <c r="F240" s="333"/>
      <c r="G240" s="339" t="s">
        <v>241</v>
      </c>
      <c r="H240" s="326">
        <f>H239*rad2deg</f>
        <v>28.24074074074074</v>
      </c>
      <c r="I240" s="229"/>
      <c r="J240" s="333" t="s">
        <v>409</v>
      </c>
      <c r="K240" s="316"/>
      <c r="L240" s="312"/>
      <c r="M240" s="229"/>
    </row>
    <row r="241" spans="2:13" x14ac:dyDescent="0.2">
      <c r="B241" s="18"/>
      <c r="C241" s="19"/>
      <c r="D241" s="22"/>
      <c r="E241" s="229"/>
      <c r="F241" s="333" t="s">
        <v>504</v>
      </c>
      <c r="G241" s="339" t="s">
        <v>15</v>
      </c>
      <c r="H241" s="326">
        <f>L257</f>
        <v>18.528571964972063</v>
      </c>
      <c r="I241" s="229"/>
      <c r="J241" s="235" t="s">
        <v>371</v>
      </c>
      <c r="K241" s="318" t="s">
        <v>15</v>
      </c>
      <c r="L241" s="285">
        <f>D13</f>
        <v>23.622</v>
      </c>
      <c r="M241" s="229"/>
    </row>
    <row r="242" spans="2:13" x14ac:dyDescent="0.2">
      <c r="B242" s="18"/>
      <c r="C242" s="19"/>
      <c r="D242" s="22"/>
      <c r="E242" s="229"/>
      <c r="F242" s="333" t="s">
        <v>706</v>
      </c>
      <c r="G242" s="339" t="s">
        <v>458</v>
      </c>
      <c r="H242" s="326">
        <f>L297</f>
        <v>8</v>
      </c>
      <c r="I242" s="229"/>
      <c r="J242" s="235" t="s">
        <v>372</v>
      </c>
      <c r="K242" s="318" t="s">
        <v>15</v>
      </c>
      <c r="L242" s="285">
        <f>D15</f>
        <v>31.242000000000004</v>
      </c>
      <c r="M242" s="229"/>
    </row>
    <row r="243" spans="2:13" x14ac:dyDescent="0.2">
      <c r="B243" s="18"/>
      <c r="C243" s="19"/>
      <c r="D243" s="22"/>
      <c r="E243" s="229"/>
      <c r="F243" s="333" t="s">
        <v>505</v>
      </c>
      <c r="G243" s="339" t="s">
        <v>458</v>
      </c>
      <c r="H243" s="332">
        <f>H241*H239</f>
        <v>9.1326202663750706</v>
      </c>
      <c r="I243" s="229"/>
      <c r="J243" s="333" t="s">
        <v>380</v>
      </c>
      <c r="K243" s="316"/>
      <c r="L243" s="312"/>
      <c r="M243" s="229"/>
    </row>
    <row r="244" spans="2:13" x14ac:dyDescent="0.2">
      <c r="B244" s="18"/>
      <c r="C244" s="19"/>
      <c r="D244" s="22"/>
      <c r="E244" s="229"/>
      <c r="F244" s="333" t="s">
        <v>600</v>
      </c>
      <c r="G244" s="339"/>
      <c r="H244" s="334">
        <f>H243/H242</f>
        <v>1.1415775332968838</v>
      </c>
      <c r="I244" s="229"/>
      <c r="J244" s="235" t="s">
        <v>450</v>
      </c>
      <c r="K244" s="318" t="s">
        <v>15</v>
      </c>
      <c r="L244" s="285">
        <f>H144*2/10</f>
        <v>71.588904740888438</v>
      </c>
      <c r="M244" s="229"/>
    </row>
    <row r="245" spans="2:13" x14ac:dyDescent="0.2">
      <c r="B245" s="18"/>
      <c r="C245" s="19"/>
      <c r="D245" s="22"/>
      <c r="E245" s="229"/>
      <c r="F245" s="333" t="s">
        <v>675</v>
      </c>
      <c r="G245" s="316"/>
      <c r="H245" s="358"/>
      <c r="I245" s="229"/>
      <c r="J245" s="235" t="s">
        <v>91</v>
      </c>
      <c r="K245" s="318" t="s">
        <v>15</v>
      </c>
      <c r="L245" s="301">
        <f>H141/10</f>
        <v>2.2000000000000002</v>
      </c>
      <c r="M245" s="229"/>
    </row>
    <row r="246" spans="2:13" x14ac:dyDescent="0.2">
      <c r="B246" s="18"/>
      <c r="C246" s="19"/>
      <c r="D246" s="22"/>
      <c r="E246" s="229"/>
      <c r="F246" s="333" t="s">
        <v>338</v>
      </c>
      <c r="G246" s="335" t="s">
        <v>333</v>
      </c>
      <c r="H246" s="326">
        <f>H261/1000*(1+H216)</f>
        <v>5384.1587363525923</v>
      </c>
      <c r="I246" s="229"/>
      <c r="J246" s="267" t="s">
        <v>502</v>
      </c>
      <c r="K246" s="268"/>
      <c r="L246" s="250"/>
      <c r="M246" s="229"/>
    </row>
    <row r="247" spans="2:13" x14ac:dyDescent="0.2">
      <c r="B247" s="18"/>
      <c r="C247" s="19"/>
      <c r="D247" s="22"/>
      <c r="E247" s="229"/>
      <c r="F247" s="333" t="s">
        <v>313</v>
      </c>
      <c r="G247" s="316"/>
      <c r="H247" s="358"/>
      <c r="I247" s="229"/>
      <c r="J247" s="235" t="s">
        <v>500</v>
      </c>
      <c r="K247" s="268"/>
      <c r="L247" s="270">
        <v>30</v>
      </c>
      <c r="M247" s="229"/>
    </row>
    <row r="248" spans="2:13" x14ac:dyDescent="0.2">
      <c r="B248" s="18"/>
      <c r="C248" s="19"/>
      <c r="D248" s="22"/>
      <c r="E248" s="229"/>
      <c r="F248" s="333" t="s">
        <v>515</v>
      </c>
      <c r="G248" s="398" t="s">
        <v>514</v>
      </c>
      <c r="H248" s="399" t="s">
        <v>493</v>
      </c>
      <c r="I248" s="229"/>
      <c r="J248" s="235"/>
      <c r="K248" s="318" t="s">
        <v>411</v>
      </c>
      <c r="L248" s="313">
        <f>L247*deg2rad</f>
        <v>0.52359877559829882</v>
      </c>
      <c r="M248" s="229"/>
    </row>
    <row r="249" spans="2:13" x14ac:dyDescent="0.2">
      <c r="B249" s="18"/>
      <c r="C249" s="19"/>
      <c r="D249" s="22"/>
      <c r="E249" s="229"/>
      <c r="F249" s="235" t="s">
        <v>258</v>
      </c>
      <c r="G249" s="282">
        <v>200142</v>
      </c>
      <c r="H249" s="352" t="s">
        <v>495</v>
      </c>
      <c r="I249" s="229"/>
      <c r="J249" s="235" t="s">
        <v>501</v>
      </c>
      <c r="K249" s="318" t="s">
        <v>349</v>
      </c>
      <c r="L249" s="400">
        <f>180-L247-L253</f>
        <v>75</v>
      </c>
      <c r="M249" s="229"/>
    </row>
    <row r="250" spans="2:13" x14ac:dyDescent="0.2">
      <c r="B250" s="18"/>
      <c r="C250" s="19"/>
      <c r="D250" s="22"/>
      <c r="E250" s="229"/>
      <c r="F250" s="235" t="s">
        <v>17</v>
      </c>
      <c r="G250" s="316" t="s">
        <v>68</v>
      </c>
      <c r="H250" s="270">
        <v>7.4999999999999997E-2</v>
      </c>
      <c r="I250" s="229"/>
      <c r="J250" s="235"/>
      <c r="K250" s="318" t="s">
        <v>411</v>
      </c>
      <c r="L250" s="338">
        <f>L249*deg2rad</f>
        <v>1.3089969389957472</v>
      </c>
      <c r="M250" s="229"/>
    </row>
    <row r="251" spans="2:13" x14ac:dyDescent="0.2">
      <c r="B251" s="18"/>
      <c r="C251" s="19"/>
      <c r="D251" s="22"/>
      <c r="E251" s="229"/>
      <c r="F251" s="235" t="s">
        <v>274</v>
      </c>
      <c r="G251" s="316" t="s">
        <v>275</v>
      </c>
      <c r="H251" s="270">
        <v>25.5</v>
      </c>
      <c r="I251" s="229"/>
      <c r="J251" s="235" t="s">
        <v>418</v>
      </c>
      <c r="K251" s="318" t="s">
        <v>15</v>
      </c>
      <c r="L251" s="401">
        <f>L285</f>
        <v>35.794452370444219</v>
      </c>
      <c r="M251" s="229"/>
    </row>
    <row r="252" spans="2:13" x14ac:dyDescent="0.2">
      <c r="B252" s="27"/>
      <c r="C252" s="28"/>
      <c r="D252" s="29"/>
      <c r="E252" s="229"/>
      <c r="F252" s="235" t="s">
        <v>670</v>
      </c>
      <c r="G252" s="316" t="s">
        <v>671</v>
      </c>
      <c r="H252" s="270">
        <v>374</v>
      </c>
      <c r="I252" s="229"/>
      <c r="J252" s="235"/>
      <c r="K252" s="318" t="s">
        <v>106</v>
      </c>
      <c r="L252" s="285">
        <f>L251/in2cm</f>
        <v>14.092304082852054</v>
      </c>
      <c r="M252" s="229"/>
    </row>
    <row r="253" spans="2:13" x14ac:dyDescent="0.2">
      <c r="B253" s="58"/>
      <c r="C253" s="58"/>
      <c r="D253" s="58"/>
      <c r="E253" s="229"/>
      <c r="F253" s="235" t="s">
        <v>672</v>
      </c>
      <c r="G253" s="316" t="s">
        <v>673</v>
      </c>
      <c r="H253" s="270">
        <v>17.600000000000001</v>
      </c>
      <c r="I253" s="229"/>
      <c r="J253" s="235" t="s">
        <v>419</v>
      </c>
      <c r="K253" s="318" t="s">
        <v>349</v>
      </c>
      <c r="L253" s="250">
        <f>(180-L247)/2</f>
        <v>75</v>
      </c>
      <c r="M253" s="229"/>
    </row>
    <row r="254" spans="2:13" x14ac:dyDescent="0.2">
      <c r="B254" s="169" t="s">
        <v>356</v>
      </c>
      <c r="C254" s="170" t="s">
        <v>370</v>
      </c>
      <c r="D254" s="171" t="s">
        <v>3</v>
      </c>
      <c r="E254" s="229"/>
      <c r="F254" s="333" t="s">
        <v>319</v>
      </c>
      <c r="G254" s="339"/>
      <c r="H254" s="270">
        <v>0.76</v>
      </c>
      <c r="I254" s="229"/>
      <c r="J254" s="235"/>
      <c r="K254" s="318" t="s">
        <v>411</v>
      </c>
      <c r="L254" s="338">
        <f>L253*deg2rad</f>
        <v>1.3089969389957472</v>
      </c>
      <c r="M254" s="229"/>
    </row>
    <row r="255" spans="2:13" ht="13.5" thickBot="1" x14ac:dyDescent="0.25">
      <c r="B255" s="153" t="s">
        <v>708</v>
      </c>
      <c r="C255" s="98"/>
      <c r="D255" s="172"/>
      <c r="E255" s="229"/>
      <c r="F255" s="235" t="s">
        <v>32</v>
      </c>
      <c r="G255" s="318" t="s">
        <v>277</v>
      </c>
      <c r="H255" s="270">
        <v>92.5</v>
      </c>
      <c r="I255" s="229"/>
      <c r="J255" s="235" t="s">
        <v>417</v>
      </c>
      <c r="K255" s="318" t="s">
        <v>15</v>
      </c>
      <c r="L255" s="401">
        <f>L289</f>
        <v>35.794452370444219</v>
      </c>
      <c r="M255" s="229"/>
    </row>
    <row r="256" spans="2:13" x14ac:dyDescent="0.2">
      <c r="B256" s="190" t="s">
        <v>601</v>
      </c>
      <c r="C256" s="218"/>
      <c r="D256" s="219"/>
      <c r="E256" s="229"/>
      <c r="F256" s="235"/>
      <c r="G256" s="318" t="s">
        <v>174</v>
      </c>
      <c r="H256" s="389">
        <f>H255*gcs2kgms</f>
        <v>9.2500000000000012E-6</v>
      </c>
      <c r="I256" s="229"/>
      <c r="J256" s="235"/>
      <c r="K256" s="318" t="s">
        <v>106</v>
      </c>
      <c r="L256" s="401">
        <f>L255/in2cm</f>
        <v>14.092304082852054</v>
      </c>
      <c r="M256" s="229"/>
    </row>
    <row r="257" spans="2:13" x14ac:dyDescent="0.2">
      <c r="B257" s="203" t="s">
        <v>515</v>
      </c>
      <c r="C257" s="204" t="s">
        <v>514</v>
      </c>
      <c r="D257" s="191" t="s">
        <v>496</v>
      </c>
      <c r="E257" s="229"/>
      <c r="F257" s="235" t="s">
        <v>91</v>
      </c>
      <c r="G257" s="316" t="s">
        <v>15</v>
      </c>
      <c r="H257" s="270">
        <v>4.29</v>
      </c>
      <c r="I257" s="229"/>
      <c r="J257" s="235" t="s">
        <v>412</v>
      </c>
      <c r="K257" s="318" t="s">
        <v>15</v>
      </c>
      <c r="L257" s="292">
        <f>SQRT(L255^2+L251^2-2*L255*L251*COS(L248))</f>
        <v>18.528571964972063</v>
      </c>
      <c r="M257" s="229"/>
    </row>
    <row r="258" spans="2:13" x14ac:dyDescent="0.2">
      <c r="B258" s="203" t="s">
        <v>258</v>
      </c>
      <c r="C258" s="205">
        <v>260553</v>
      </c>
      <c r="D258" s="192" t="s">
        <v>497</v>
      </c>
      <c r="E258" s="229"/>
      <c r="F258" s="235" t="s">
        <v>92</v>
      </c>
      <c r="G258" s="316" t="s">
        <v>15</v>
      </c>
      <c r="H258" s="270">
        <f>2.05+1.65</f>
        <v>3.6999999999999997</v>
      </c>
      <c r="I258" s="229"/>
      <c r="J258" s="267" t="s">
        <v>503</v>
      </c>
      <c r="K258" s="268"/>
      <c r="L258" s="250"/>
      <c r="M258" s="229"/>
    </row>
    <row r="259" spans="2:13" x14ac:dyDescent="0.2">
      <c r="B259" s="203" t="s">
        <v>272</v>
      </c>
      <c r="C259" s="206"/>
      <c r="D259" s="193">
        <v>216</v>
      </c>
      <c r="E259" s="229"/>
      <c r="F259" s="235" t="s">
        <v>245</v>
      </c>
      <c r="G259" s="316" t="s">
        <v>15</v>
      </c>
      <c r="H259" s="270">
        <v>0.4</v>
      </c>
      <c r="I259" s="229"/>
      <c r="J259" s="235" t="s">
        <v>500</v>
      </c>
      <c r="K259" s="268"/>
      <c r="L259" s="270">
        <v>120</v>
      </c>
      <c r="M259" s="229"/>
    </row>
    <row r="260" spans="2:13" x14ac:dyDescent="0.2">
      <c r="B260" s="203" t="s">
        <v>343</v>
      </c>
      <c r="C260" s="206"/>
      <c r="D260" s="194">
        <f>216/1</f>
        <v>216</v>
      </c>
      <c r="E260" s="229"/>
      <c r="F260" s="235" t="s">
        <v>494</v>
      </c>
      <c r="G260" s="316" t="s">
        <v>15</v>
      </c>
      <c r="H260" s="270">
        <f>2.05-0.32</f>
        <v>1.7299999999999998</v>
      </c>
      <c r="I260" s="229"/>
      <c r="J260" s="235"/>
      <c r="K260" s="318" t="s">
        <v>411</v>
      </c>
      <c r="L260" s="313">
        <f>L259*deg2rad</f>
        <v>2.0943951023931953</v>
      </c>
      <c r="M260" s="229"/>
    </row>
    <row r="261" spans="2:13" x14ac:dyDescent="0.2">
      <c r="B261" s="203" t="s">
        <v>245</v>
      </c>
      <c r="C261" s="207" t="s">
        <v>15</v>
      </c>
      <c r="D261" s="192">
        <v>0.4</v>
      </c>
      <c r="E261" s="229"/>
      <c r="F261" s="402" t="s">
        <v>332</v>
      </c>
      <c r="G261" s="339" t="s">
        <v>334</v>
      </c>
      <c r="H261" s="270">
        <v>17.100000000000001</v>
      </c>
      <c r="I261" s="229"/>
      <c r="J261" s="235" t="s">
        <v>501</v>
      </c>
      <c r="K261" s="318" t="s">
        <v>349</v>
      </c>
      <c r="L261" s="400">
        <f>180-L259-L265</f>
        <v>30</v>
      </c>
      <c r="M261" s="229"/>
    </row>
    <row r="262" spans="2:13" x14ac:dyDescent="0.2">
      <c r="B262" s="203"/>
      <c r="C262" s="207" t="s">
        <v>246</v>
      </c>
      <c r="D262" s="195">
        <f>D261/2.54</f>
        <v>0.15748031496062992</v>
      </c>
      <c r="E262" s="229"/>
      <c r="F262" s="235" t="s">
        <v>653</v>
      </c>
      <c r="G262" s="339" t="s">
        <v>70</v>
      </c>
      <c r="H262" s="270">
        <v>4.8</v>
      </c>
      <c r="I262" s="229"/>
      <c r="J262" s="235"/>
      <c r="K262" s="318" t="s">
        <v>411</v>
      </c>
      <c r="L262" s="338">
        <f>L261*deg2rad</f>
        <v>0.52359877559829882</v>
      </c>
      <c r="M262" s="229"/>
    </row>
    <row r="263" spans="2:13" x14ac:dyDescent="0.2">
      <c r="B263" s="203" t="s">
        <v>494</v>
      </c>
      <c r="C263" s="208" t="s">
        <v>15</v>
      </c>
      <c r="D263" s="196">
        <f>(29.5-3)/10</f>
        <v>2.65</v>
      </c>
      <c r="E263" s="229"/>
      <c r="F263" s="235" t="s">
        <v>654</v>
      </c>
      <c r="G263" s="339" t="s">
        <v>70</v>
      </c>
      <c r="H263" s="270">
        <v>53</v>
      </c>
      <c r="I263" s="229"/>
      <c r="J263" s="235" t="s">
        <v>418</v>
      </c>
      <c r="K263" s="318" t="s">
        <v>15</v>
      </c>
      <c r="L263" s="401">
        <f>L285</f>
        <v>35.794452370444219</v>
      </c>
      <c r="M263" s="229"/>
    </row>
    <row r="264" spans="2:13" x14ac:dyDescent="0.2">
      <c r="B264" s="203" t="s">
        <v>91</v>
      </c>
      <c r="C264" s="209" t="s">
        <v>15</v>
      </c>
      <c r="D264" s="196">
        <v>4.2</v>
      </c>
      <c r="E264" s="229"/>
      <c r="F264" s="235" t="s">
        <v>655</v>
      </c>
      <c r="G264" s="339" t="s">
        <v>70</v>
      </c>
      <c r="H264" s="270">
        <v>18</v>
      </c>
      <c r="I264" s="229"/>
      <c r="J264" s="235"/>
      <c r="K264" s="318" t="s">
        <v>106</v>
      </c>
      <c r="L264" s="297">
        <f>L263/in2cm</f>
        <v>14.092304082852054</v>
      </c>
      <c r="M264" s="229"/>
    </row>
    <row r="265" spans="2:13" x14ac:dyDescent="0.2">
      <c r="B265" s="203"/>
      <c r="C265" s="209" t="s">
        <v>246</v>
      </c>
      <c r="D265" s="195">
        <f>D264/in2cm</f>
        <v>1.6535433070866141</v>
      </c>
      <c r="E265" s="229"/>
      <c r="F265" s="235" t="s">
        <v>656</v>
      </c>
      <c r="G265" s="339"/>
      <c r="H265" s="270">
        <v>8</v>
      </c>
      <c r="I265" s="229"/>
      <c r="J265" s="235" t="s">
        <v>419</v>
      </c>
      <c r="K265" s="318" t="s">
        <v>349</v>
      </c>
      <c r="L265" s="250">
        <f>(180-L259)/2</f>
        <v>30</v>
      </c>
      <c r="M265" s="229"/>
    </row>
    <row r="266" spans="2:13" x14ac:dyDescent="0.2">
      <c r="B266" s="203" t="s">
        <v>92</v>
      </c>
      <c r="C266" s="209" t="s">
        <v>15</v>
      </c>
      <c r="D266" s="192">
        <f>7-0.36</f>
        <v>6.64</v>
      </c>
      <c r="E266" s="229"/>
      <c r="F266" s="235" t="s">
        <v>657</v>
      </c>
      <c r="G266" s="339"/>
      <c r="H266" s="270">
        <v>3</v>
      </c>
      <c r="I266" s="229"/>
      <c r="J266" s="235"/>
      <c r="K266" s="318" t="s">
        <v>411</v>
      </c>
      <c r="L266" s="338">
        <f>L265*deg2rad</f>
        <v>0.52359877559829882</v>
      </c>
      <c r="M266" s="229"/>
    </row>
    <row r="267" spans="2:13" x14ac:dyDescent="0.2">
      <c r="B267" s="203"/>
      <c r="C267" s="209" t="s">
        <v>246</v>
      </c>
      <c r="D267" s="195">
        <f>D266/in2cm</f>
        <v>2.6141732283464565</v>
      </c>
      <c r="E267" s="229"/>
      <c r="F267" s="235" t="s">
        <v>256</v>
      </c>
      <c r="G267" s="316" t="s">
        <v>257</v>
      </c>
      <c r="H267" s="270">
        <v>12</v>
      </c>
      <c r="I267" s="229"/>
      <c r="J267" s="235" t="s">
        <v>417</v>
      </c>
      <c r="K267" s="318" t="s">
        <v>15</v>
      </c>
      <c r="L267" s="401">
        <f>L289</f>
        <v>35.794452370444219</v>
      </c>
      <c r="M267" s="229"/>
    </row>
    <row r="268" spans="2:13" x14ac:dyDescent="0.2">
      <c r="B268" s="203" t="s">
        <v>17</v>
      </c>
      <c r="C268" s="207" t="s">
        <v>68</v>
      </c>
      <c r="D268" s="193">
        <v>0.46</v>
      </c>
      <c r="E268" s="229"/>
      <c r="F268" s="235" t="s">
        <v>663</v>
      </c>
      <c r="G268" s="316" t="s">
        <v>276</v>
      </c>
      <c r="H268" s="270">
        <v>2.02</v>
      </c>
      <c r="I268" s="229"/>
      <c r="J268" s="235"/>
      <c r="K268" s="318" t="s">
        <v>106</v>
      </c>
      <c r="L268" s="298">
        <f>L267/in2cm</f>
        <v>14.092304082852054</v>
      </c>
      <c r="M268" s="229"/>
    </row>
    <row r="269" spans="2:13" x14ac:dyDescent="0.2">
      <c r="B269" s="203"/>
      <c r="C269" s="207" t="s">
        <v>134</v>
      </c>
      <c r="D269" s="195">
        <f>D268*kg2lb</f>
        <v>1.0141252000000001</v>
      </c>
      <c r="E269" s="229"/>
      <c r="F269" s="333" t="s">
        <v>677</v>
      </c>
      <c r="G269" s="316" t="s">
        <v>255</v>
      </c>
      <c r="H269" s="385">
        <f>H267*H268</f>
        <v>24.240000000000002</v>
      </c>
      <c r="I269" s="229"/>
      <c r="J269" s="235" t="s">
        <v>412</v>
      </c>
      <c r="K269" s="318" t="s">
        <v>15</v>
      </c>
      <c r="L269" s="292">
        <f>SQRT(L267^2+L263^2-2*L267*L263*COS(L260))</f>
        <v>61.997810134713617</v>
      </c>
      <c r="M269" s="229"/>
    </row>
    <row r="270" spans="2:13" x14ac:dyDescent="0.2">
      <c r="B270" s="203" t="s">
        <v>32</v>
      </c>
      <c r="C270" s="207" t="s">
        <v>277</v>
      </c>
      <c r="D270" s="193">
        <v>5</v>
      </c>
      <c r="E270" s="229"/>
      <c r="F270" s="235" t="s">
        <v>492</v>
      </c>
      <c r="G270" s="318" t="s">
        <v>176</v>
      </c>
      <c r="H270" s="270">
        <v>10000</v>
      </c>
      <c r="I270" s="229"/>
      <c r="J270" s="333" t="s">
        <v>368</v>
      </c>
      <c r="K270" s="316"/>
      <c r="L270" s="312"/>
      <c r="M270" s="229"/>
    </row>
    <row r="271" spans="2:13" x14ac:dyDescent="0.2">
      <c r="B271" s="203"/>
      <c r="C271" s="207" t="s">
        <v>174</v>
      </c>
      <c r="D271" s="197">
        <f>D270*gcs2kgms</f>
        <v>5.0000000000000008E-7</v>
      </c>
      <c r="E271" s="229"/>
      <c r="F271" s="235" t="s">
        <v>660</v>
      </c>
      <c r="G271" s="316" t="s">
        <v>247</v>
      </c>
      <c r="H271" s="270">
        <v>255</v>
      </c>
      <c r="I271" s="229"/>
      <c r="J271" s="333" t="s">
        <v>515</v>
      </c>
      <c r="K271" s="356" t="s">
        <v>375</v>
      </c>
      <c r="L271" s="250"/>
      <c r="M271" s="229"/>
    </row>
    <row r="272" spans="2:13" x14ac:dyDescent="0.2">
      <c r="B272" s="203" t="s">
        <v>344</v>
      </c>
      <c r="C272" s="210" t="s">
        <v>70</v>
      </c>
      <c r="D272" s="196">
        <v>150</v>
      </c>
      <c r="E272" s="229"/>
      <c r="F272" s="235" t="s">
        <v>664</v>
      </c>
      <c r="G272" s="316" t="s">
        <v>276</v>
      </c>
      <c r="H272" s="270">
        <v>10</v>
      </c>
      <c r="I272" s="229"/>
      <c r="J272" s="333" t="s">
        <v>373</v>
      </c>
      <c r="K272" s="335" t="s">
        <v>15</v>
      </c>
      <c r="L272" s="403">
        <v>30</v>
      </c>
      <c r="M272" s="229"/>
    </row>
    <row r="273" spans="2:13" x14ac:dyDescent="0.2">
      <c r="B273" s="203" t="s">
        <v>345</v>
      </c>
      <c r="C273" s="210" t="s">
        <v>70</v>
      </c>
      <c r="D273" s="196">
        <v>300</v>
      </c>
      <c r="E273" s="229"/>
      <c r="F273" s="235" t="s">
        <v>665</v>
      </c>
      <c r="G273" s="316" t="s">
        <v>255</v>
      </c>
      <c r="H273" s="372">
        <f>H267*H272</f>
        <v>120</v>
      </c>
      <c r="I273" s="229"/>
      <c r="J273" s="333" t="s">
        <v>374</v>
      </c>
      <c r="K273" s="335" t="s">
        <v>15</v>
      </c>
      <c r="L273" s="403">
        <v>30</v>
      </c>
      <c r="M273" s="229"/>
    </row>
    <row r="274" spans="2:13" x14ac:dyDescent="0.2">
      <c r="B274" s="203" t="s">
        <v>346</v>
      </c>
      <c r="C274" s="206"/>
      <c r="D274" s="192">
        <v>3</v>
      </c>
      <c r="E274" s="229"/>
      <c r="F274" s="333" t="s">
        <v>329</v>
      </c>
      <c r="G274" s="316"/>
      <c r="H274" s="396">
        <f>H271/H228</f>
        <v>27.764427713677438</v>
      </c>
      <c r="I274" s="229"/>
      <c r="J274" s="267" t="s">
        <v>635</v>
      </c>
      <c r="K274" s="370"/>
      <c r="L274" s="404"/>
      <c r="M274" s="229"/>
    </row>
    <row r="275" spans="2:13" x14ac:dyDescent="0.2">
      <c r="B275" s="203" t="s">
        <v>348</v>
      </c>
      <c r="C275" s="210" t="s">
        <v>349</v>
      </c>
      <c r="D275" s="196">
        <v>1</v>
      </c>
      <c r="E275" s="229"/>
      <c r="F275" s="235" t="s">
        <v>658</v>
      </c>
      <c r="G275" s="318" t="s">
        <v>176</v>
      </c>
      <c r="H275" s="270">
        <v>4370</v>
      </c>
      <c r="I275" s="229"/>
      <c r="J275" s="235" t="s">
        <v>499</v>
      </c>
      <c r="K275" s="318" t="s">
        <v>349</v>
      </c>
      <c r="L275" s="270">
        <v>90</v>
      </c>
      <c r="M275" s="229"/>
    </row>
    <row r="276" spans="2:13" x14ac:dyDescent="0.2">
      <c r="B276" s="203" t="s">
        <v>327</v>
      </c>
      <c r="C276" s="206"/>
      <c r="D276" s="192">
        <v>0.72</v>
      </c>
      <c r="E276" s="229"/>
      <c r="F276" s="235" t="s">
        <v>659</v>
      </c>
      <c r="G276" s="318" t="s">
        <v>276</v>
      </c>
      <c r="H276" s="270">
        <v>0.16300000000000001</v>
      </c>
      <c r="I276" s="229"/>
      <c r="J276" s="235"/>
      <c r="K276" s="318" t="s">
        <v>411</v>
      </c>
      <c r="L276" s="313">
        <f>L275*deg2rad</f>
        <v>1.5707963267948966</v>
      </c>
      <c r="M276" s="229"/>
    </row>
    <row r="277" spans="2:13" x14ac:dyDescent="0.2">
      <c r="B277" s="203" t="s">
        <v>296</v>
      </c>
      <c r="C277" s="207" t="s">
        <v>176</v>
      </c>
      <c r="D277" s="196">
        <v>8000</v>
      </c>
      <c r="E277" s="229"/>
      <c r="F277" s="235" t="s">
        <v>661</v>
      </c>
      <c r="G277" s="318" t="s">
        <v>176</v>
      </c>
      <c r="H277" s="270">
        <v>2940</v>
      </c>
      <c r="I277" s="229"/>
      <c r="J277" s="235" t="s">
        <v>410</v>
      </c>
      <c r="K277" s="318" t="s">
        <v>15</v>
      </c>
      <c r="L277" s="328">
        <v>20</v>
      </c>
      <c r="M277" s="229"/>
    </row>
    <row r="278" spans="2:13" x14ac:dyDescent="0.2">
      <c r="B278" s="203" t="s">
        <v>351</v>
      </c>
      <c r="C278" s="208" t="s">
        <v>279</v>
      </c>
      <c r="D278" s="196">
        <v>15</v>
      </c>
      <c r="E278" s="229"/>
      <c r="F278" s="235" t="s">
        <v>662</v>
      </c>
      <c r="G278" s="316" t="s">
        <v>247</v>
      </c>
      <c r="H278" s="270">
        <v>55</v>
      </c>
      <c r="I278" s="229"/>
      <c r="J278" s="235" t="s">
        <v>416</v>
      </c>
      <c r="K278" s="268"/>
      <c r="L278" s="270">
        <v>0.5</v>
      </c>
      <c r="M278" s="229"/>
    </row>
    <row r="279" spans="2:13" x14ac:dyDescent="0.2">
      <c r="B279" s="203" t="s">
        <v>350</v>
      </c>
      <c r="C279" s="208" t="s">
        <v>279</v>
      </c>
      <c r="D279" s="196">
        <v>22.5</v>
      </c>
      <c r="E279" s="229"/>
      <c r="F279" s="235" t="s">
        <v>663</v>
      </c>
      <c r="G279" s="316" t="s">
        <v>276</v>
      </c>
      <c r="H279" s="270">
        <v>2.02</v>
      </c>
      <c r="I279" s="229"/>
      <c r="J279" s="235" t="s">
        <v>413</v>
      </c>
      <c r="K279" s="318" t="s">
        <v>15</v>
      </c>
      <c r="L279" s="285">
        <f>L242*L278</f>
        <v>15.621000000000002</v>
      </c>
      <c r="M279" s="229"/>
    </row>
    <row r="280" spans="2:13" x14ac:dyDescent="0.2">
      <c r="B280" s="203" t="s">
        <v>352</v>
      </c>
      <c r="C280" s="208" t="s">
        <v>279</v>
      </c>
      <c r="D280" s="198">
        <f>D260*D276*$H$271/1000</f>
        <v>39.657599999999995</v>
      </c>
      <c r="E280" s="229"/>
      <c r="F280" s="235" t="s">
        <v>652</v>
      </c>
      <c r="G280" s="316" t="s">
        <v>247</v>
      </c>
      <c r="H280" s="270">
        <v>255</v>
      </c>
      <c r="I280" s="229"/>
      <c r="J280" s="235" t="s">
        <v>415</v>
      </c>
      <c r="K280" s="268"/>
      <c r="L280" s="270">
        <v>0.5</v>
      </c>
      <c r="M280" s="229"/>
    </row>
    <row r="281" spans="2:13" x14ac:dyDescent="0.2">
      <c r="B281" s="203" t="s">
        <v>692</v>
      </c>
      <c r="C281" s="208" t="s">
        <v>255</v>
      </c>
      <c r="D281" s="198">
        <f>$H$283</f>
        <v>18.422400000000003</v>
      </c>
      <c r="E281" s="229"/>
      <c r="F281" s="235" t="s">
        <v>666</v>
      </c>
      <c r="G281" s="316" t="s">
        <v>667</v>
      </c>
      <c r="H281" s="270">
        <v>1.2</v>
      </c>
      <c r="I281" s="229"/>
      <c r="J281" s="235" t="s">
        <v>414</v>
      </c>
      <c r="K281" s="318" t="s">
        <v>15</v>
      </c>
      <c r="L281" s="250">
        <f>(1-L280)*L273</f>
        <v>15</v>
      </c>
      <c r="M281" s="229"/>
    </row>
    <row r="282" spans="2:13" x14ac:dyDescent="0.2">
      <c r="B282" s="203" t="s">
        <v>693</v>
      </c>
      <c r="C282" s="208" t="s">
        <v>255</v>
      </c>
      <c r="D282" s="198">
        <f>D281*D276</f>
        <v>13.264128000000001</v>
      </c>
      <c r="E282" s="229"/>
      <c r="F282" s="333" t="s">
        <v>668</v>
      </c>
      <c r="G282" s="316" t="s">
        <v>669</v>
      </c>
      <c r="H282" s="270">
        <v>0.56000000000000005</v>
      </c>
      <c r="I282" s="229"/>
      <c r="J282" s="235" t="s">
        <v>412</v>
      </c>
      <c r="K282" s="318" t="s">
        <v>15</v>
      </c>
      <c r="L282" s="292">
        <f>L277+L279+L281</f>
        <v>50.621000000000002</v>
      </c>
      <c r="M282" s="229"/>
    </row>
    <row r="283" spans="2:13" ht="13.5" thickBot="1" x14ac:dyDescent="0.25">
      <c r="B283" s="203" t="s">
        <v>694</v>
      </c>
      <c r="C283" s="208" t="s">
        <v>177</v>
      </c>
      <c r="D283" s="198">
        <f>$H$285</f>
        <v>638.79050622992452</v>
      </c>
      <c r="E283" s="229"/>
      <c r="F283" s="333" t="s">
        <v>678</v>
      </c>
      <c r="G283" s="316" t="s">
        <v>255</v>
      </c>
      <c r="H283" s="372">
        <f>H269*H254</f>
        <v>18.422400000000003</v>
      </c>
      <c r="I283" s="229"/>
      <c r="J283" s="235" t="s">
        <v>501</v>
      </c>
      <c r="K283" s="318" t="s">
        <v>349</v>
      </c>
      <c r="L283" s="250">
        <f>180-L275-L287</f>
        <v>45</v>
      </c>
      <c r="M283" s="229"/>
    </row>
    <row r="284" spans="2:13" ht="13.5" thickBot="1" x14ac:dyDescent="0.25">
      <c r="B284" s="203" t="s">
        <v>695</v>
      </c>
      <c r="C284" s="208" t="s">
        <v>177</v>
      </c>
      <c r="D284" s="199">
        <f>D283/D260</f>
        <v>2.9573634547681689</v>
      </c>
      <c r="E284" s="229"/>
      <c r="F284" s="405" t="s">
        <v>618</v>
      </c>
      <c r="G284" s="406" t="s">
        <v>176</v>
      </c>
      <c r="H284" s="407">
        <v>6100</v>
      </c>
      <c r="I284" s="229"/>
      <c r="J284" s="235"/>
      <c r="K284" s="318" t="s">
        <v>411</v>
      </c>
      <c r="L284" s="313">
        <f>L283*deg2rad</f>
        <v>0.78539816339744828</v>
      </c>
      <c r="M284" s="229"/>
    </row>
    <row r="285" spans="2:13" x14ac:dyDescent="0.2">
      <c r="B285" s="211" t="s">
        <v>263</v>
      </c>
      <c r="C285" s="208" t="s">
        <v>279</v>
      </c>
      <c r="D285" s="198">
        <f>D282/D284</f>
        <v>4.4851193310765352</v>
      </c>
      <c r="E285" s="229"/>
      <c r="F285" s="333"/>
      <c r="G285" s="339" t="s">
        <v>177</v>
      </c>
      <c r="H285" s="408">
        <f>H284*rpm2rps</f>
        <v>638.79050622992452</v>
      </c>
      <c r="I285" s="229"/>
      <c r="J285" s="235" t="s">
        <v>418</v>
      </c>
      <c r="K285" s="318" t="s">
        <v>15</v>
      </c>
      <c r="L285" s="292">
        <f>SIN(L284)/SIN(L276)*L282</f>
        <v>35.794452370444219</v>
      </c>
      <c r="M285" s="229"/>
    </row>
    <row r="286" spans="2:13" x14ac:dyDescent="0.2">
      <c r="B286" s="211" t="s">
        <v>697</v>
      </c>
      <c r="C286" s="208" t="s">
        <v>279</v>
      </c>
      <c r="D286" s="198">
        <f>$H$223</f>
        <v>23.759134414957959</v>
      </c>
      <c r="E286" s="229"/>
      <c r="F286" s="333" t="s">
        <v>696</v>
      </c>
      <c r="G286" s="339" t="s">
        <v>247</v>
      </c>
      <c r="H286" s="330">
        <f>H283/H285*1000</f>
        <v>28.839501871634102</v>
      </c>
      <c r="I286" s="229"/>
      <c r="J286" s="235"/>
      <c r="K286" s="318" t="s">
        <v>106</v>
      </c>
      <c r="L286" s="297">
        <f>L285/in2cm</f>
        <v>14.092304082852054</v>
      </c>
      <c r="M286" s="229"/>
    </row>
    <row r="287" spans="2:13" x14ac:dyDescent="0.2">
      <c r="B287" s="203" t="s">
        <v>620</v>
      </c>
      <c r="C287" s="206"/>
      <c r="D287" s="202">
        <f>D285/$L$454</f>
        <v>0.18877452573578832</v>
      </c>
      <c r="E287" s="229"/>
      <c r="F287" s="333" t="s">
        <v>689</v>
      </c>
      <c r="G287" s="339" t="s">
        <v>247</v>
      </c>
      <c r="H287" s="387">
        <f>H228</f>
        <v>9.1844140505867777</v>
      </c>
      <c r="I287" s="229"/>
      <c r="J287" s="235" t="s">
        <v>419</v>
      </c>
      <c r="K287" s="318" t="s">
        <v>349</v>
      </c>
      <c r="L287" s="250">
        <f>(180-L275)/2</f>
        <v>45</v>
      </c>
      <c r="M287" s="229"/>
    </row>
    <row r="288" spans="2:13" ht="13.5" thickBot="1" x14ac:dyDescent="0.25">
      <c r="B288" s="212" t="s">
        <v>347</v>
      </c>
      <c r="C288" s="213" t="s">
        <v>15</v>
      </c>
      <c r="D288" s="200">
        <v>8.2899999999999991</v>
      </c>
      <c r="E288" s="229"/>
      <c r="F288" s="333" t="s">
        <v>330</v>
      </c>
      <c r="G288" s="316"/>
      <c r="H288" s="396">
        <f>H286/H228</f>
        <v>3.1400480980919618</v>
      </c>
      <c r="I288" s="229"/>
      <c r="J288" s="235"/>
      <c r="K288" s="318" t="s">
        <v>411</v>
      </c>
      <c r="L288" s="313">
        <f>L287*deg2rad</f>
        <v>0.78539816339744828</v>
      </c>
      <c r="M288" s="229"/>
    </row>
    <row r="289" spans="2:13" x14ac:dyDescent="0.2">
      <c r="B289" s="186" t="s">
        <v>601</v>
      </c>
      <c r="C289" s="220"/>
      <c r="D289" s="221"/>
      <c r="E289" s="229"/>
      <c r="F289" s="333" t="s">
        <v>312</v>
      </c>
      <c r="G289" s="316"/>
      <c r="H289" s="358"/>
      <c r="I289" s="229"/>
      <c r="J289" s="235" t="s">
        <v>417</v>
      </c>
      <c r="K289" s="318" t="s">
        <v>15</v>
      </c>
      <c r="L289" s="292">
        <f>SIN(L284)/SIN(L276)*L282</f>
        <v>35.794452370444219</v>
      </c>
      <c r="M289" s="229"/>
    </row>
    <row r="290" spans="2:13" x14ac:dyDescent="0.2">
      <c r="B290" s="214" t="s">
        <v>515</v>
      </c>
      <c r="C290" s="204" t="s">
        <v>514</v>
      </c>
      <c r="D290" s="177" t="s">
        <v>496</v>
      </c>
      <c r="E290" s="229"/>
      <c r="F290" s="333" t="s">
        <v>515</v>
      </c>
      <c r="G290" s="370" t="s">
        <v>514</v>
      </c>
      <c r="H290" s="409" t="s">
        <v>496</v>
      </c>
      <c r="I290" s="229"/>
      <c r="J290" s="235"/>
      <c r="K290" s="318" t="s">
        <v>106</v>
      </c>
      <c r="L290" s="297">
        <f>L289/in2cm</f>
        <v>14.092304082852054</v>
      </c>
      <c r="M290" s="229"/>
    </row>
    <row r="291" spans="2:13" x14ac:dyDescent="0.2">
      <c r="B291" s="214" t="s">
        <v>258</v>
      </c>
      <c r="C291" s="205">
        <v>260554</v>
      </c>
      <c r="D291" s="59" t="s">
        <v>497</v>
      </c>
      <c r="E291" s="229"/>
      <c r="F291" s="235" t="s">
        <v>258</v>
      </c>
      <c r="G291" s="282">
        <v>260554</v>
      </c>
      <c r="H291" s="270" t="s">
        <v>497</v>
      </c>
      <c r="I291" s="229"/>
      <c r="J291" s="333" t="s">
        <v>378</v>
      </c>
      <c r="K291" s="316"/>
      <c r="L291" s="312"/>
      <c r="M291" s="229"/>
    </row>
    <row r="292" spans="2:13" x14ac:dyDescent="0.2">
      <c r="B292" s="214" t="s">
        <v>272</v>
      </c>
      <c r="C292" s="206"/>
      <c r="D292" s="185">
        <v>1296</v>
      </c>
      <c r="E292" s="229"/>
      <c r="F292" s="235" t="s">
        <v>272</v>
      </c>
      <c r="G292" s="268"/>
      <c r="H292" s="410">
        <v>1296</v>
      </c>
      <c r="I292" s="229"/>
      <c r="J292" s="235" t="s">
        <v>474</v>
      </c>
      <c r="K292" s="318" t="s">
        <v>458</v>
      </c>
      <c r="L292" s="313">
        <f>L24*100</f>
        <v>1.35</v>
      </c>
      <c r="M292" s="229"/>
    </row>
    <row r="293" spans="2:13" x14ac:dyDescent="0.2">
      <c r="B293" s="214" t="s">
        <v>343</v>
      </c>
      <c r="C293" s="206"/>
      <c r="D293" s="104">
        <v>1296</v>
      </c>
      <c r="E293" s="229"/>
      <c r="F293" s="402" t="s">
        <v>343</v>
      </c>
      <c r="G293" s="268"/>
      <c r="H293" s="325">
        <v>1296</v>
      </c>
      <c r="I293" s="229"/>
      <c r="J293" s="235" t="s">
        <v>462</v>
      </c>
      <c r="K293" s="268"/>
      <c r="L293" s="270">
        <v>5</v>
      </c>
      <c r="M293" s="229"/>
    </row>
    <row r="294" spans="2:13" x14ac:dyDescent="0.2">
      <c r="B294" s="214" t="s">
        <v>245</v>
      </c>
      <c r="C294" s="207" t="s">
        <v>15</v>
      </c>
      <c r="D294" s="59">
        <v>0.4</v>
      </c>
      <c r="E294" s="229"/>
      <c r="F294" s="333" t="s">
        <v>245</v>
      </c>
      <c r="G294" s="335" t="s">
        <v>15</v>
      </c>
      <c r="H294" s="270">
        <v>0.4</v>
      </c>
      <c r="I294" s="229"/>
      <c r="J294" s="235" t="s">
        <v>475</v>
      </c>
      <c r="K294" s="318" t="s">
        <v>458</v>
      </c>
      <c r="L294" s="332">
        <f>L293*L292</f>
        <v>6.75</v>
      </c>
      <c r="M294" s="229"/>
    </row>
    <row r="295" spans="2:13" x14ac:dyDescent="0.2">
      <c r="B295" s="214"/>
      <c r="C295" s="207" t="s">
        <v>246</v>
      </c>
      <c r="D295" s="180">
        <f>D294/2.54</f>
        <v>0.15748031496062992</v>
      </c>
      <c r="E295" s="229"/>
      <c r="F295" s="333"/>
      <c r="G295" s="335" t="s">
        <v>246</v>
      </c>
      <c r="H295" s="361">
        <f>H294/2.54</f>
        <v>0.15748031496062992</v>
      </c>
      <c r="I295" s="229"/>
      <c r="J295" s="235" t="s">
        <v>477</v>
      </c>
      <c r="K295" s="318" t="s">
        <v>458</v>
      </c>
      <c r="L295" s="410">
        <v>8</v>
      </c>
      <c r="M295" s="229"/>
    </row>
    <row r="296" spans="2:13" x14ac:dyDescent="0.2">
      <c r="B296" s="214" t="s">
        <v>494</v>
      </c>
      <c r="C296" s="208" t="s">
        <v>15</v>
      </c>
      <c r="D296" s="187">
        <f>2.95-0.3</f>
        <v>2.6500000000000004</v>
      </c>
      <c r="E296" s="229"/>
      <c r="F296" s="235" t="s">
        <v>494</v>
      </c>
      <c r="G296" s="316" t="s">
        <v>15</v>
      </c>
      <c r="H296" s="411">
        <f>2.95-0.3</f>
        <v>2.6500000000000004</v>
      </c>
      <c r="I296" s="229"/>
      <c r="J296" s="235" t="s">
        <v>476</v>
      </c>
      <c r="K296" s="318" t="s">
        <v>458</v>
      </c>
      <c r="L296" s="410">
        <v>8</v>
      </c>
      <c r="M296" s="229"/>
    </row>
    <row r="297" spans="2:13" x14ac:dyDescent="0.2">
      <c r="B297" s="214" t="s">
        <v>91</v>
      </c>
      <c r="C297" s="209" t="s">
        <v>15</v>
      </c>
      <c r="D297" s="187">
        <v>4.2</v>
      </c>
      <c r="E297" s="229"/>
      <c r="F297" s="235" t="s">
        <v>91</v>
      </c>
      <c r="G297" s="316" t="s">
        <v>15</v>
      </c>
      <c r="H297" s="411">
        <v>4.2</v>
      </c>
      <c r="I297" s="229"/>
      <c r="J297" s="235" t="s">
        <v>706</v>
      </c>
      <c r="K297" s="318" t="s">
        <v>458</v>
      </c>
      <c r="L297" s="332">
        <f>MAX(L292,L294:L296,L301)</f>
        <v>8</v>
      </c>
      <c r="M297" s="229"/>
    </row>
    <row r="298" spans="2:13" x14ac:dyDescent="0.2">
      <c r="B298" s="214"/>
      <c r="C298" s="209" t="s">
        <v>246</v>
      </c>
      <c r="D298" s="180">
        <f>D297/in2cm</f>
        <v>1.6535433070866141</v>
      </c>
      <c r="E298" s="229"/>
      <c r="F298" s="235"/>
      <c r="G298" s="339" t="s">
        <v>246</v>
      </c>
      <c r="H298" s="361">
        <f>H297/in2cm</f>
        <v>1.6535433070866141</v>
      </c>
      <c r="I298" s="229"/>
      <c r="J298" s="235" t="s">
        <v>707</v>
      </c>
      <c r="K298" s="318" t="s">
        <v>15</v>
      </c>
      <c r="L298" s="401">
        <f>L257</f>
        <v>18.528571964972063</v>
      </c>
      <c r="M298" s="229"/>
    </row>
    <row r="299" spans="2:13" x14ac:dyDescent="0.2">
      <c r="B299" s="214" t="s">
        <v>92</v>
      </c>
      <c r="C299" s="209" t="s">
        <v>15</v>
      </c>
      <c r="D299" s="59">
        <f>8.45-0.36</f>
        <v>8.09</v>
      </c>
      <c r="E299" s="229"/>
      <c r="F299" s="235" t="s">
        <v>92</v>
      </c>
      <c r="G299" s="316" t="s">
        <v>15</v>
      </c>
      <c r="H299" s="270">
        <f>8.45-0.36</f>
        <v>8.09</v>
      </c>
      <c r="I299" s="229"/>
      <c r="J299" s="235" t="s">
        <v>498</v>
      </c>
      <c r="K299" s="318" t="s">
        <v>177</v>
      </c>
      <c r="L299" s="285">
        <f>L297/L298</f>
        <v>0.43176560045338941</v>
      </c>
      <c r="M299" s="229"/>
    </row>
    <row r="300" spans="2:13" x14ac:dyDescent="0.2">
      <c r="B300" s="214"/>
      <c r="C300" s="209" t="s">
        <v>246</v>
      </c>
      <c r="D300" s="180">
        <f>D299/in2cm</f>
        <v>3.1850393700787403</v>
      </c>
      <c r="E300" s="229"/>
      <c r="F300" s="235"/>
      <c r="G300" s="339" t="s">
        <v>246</v>
      </c>
      <c r="H300" s="361">
        <f>H299/in2cm</f>
        <v>3.1850393700787403</v>
      </c>
      <c r="I300" s="229"/>
      <c r="J300" s="235"/>
      <c r="K300" s="318" t="s">
        <v>241</v>
      </c>
      <c r="L300" s="332">
        <f>L299*rad2deg</f>
        <v>24.738346644910997</v>
      </c>
      <c r="M300" s="229"/>
    </row>
    <row r="301" spans="2:13" x14ac:dyDescent="0.2">
      <c r="B301" s="214" t="s">
        <v>17</v>
      </c>
      <c r="C301" s="207" t="s">
        <v>68</v>
      </c>
      <c r="D301" s="185">
        <v>0.56000000000000005</v>
      </c>
      <c r="E301" s="229"/>
      <c r="F301" s="235" t="s">
        <v>17</v>
      </c>
      <c r="G301" s="318" t="s">
        <v>68</v>
      </c>
      <c r="H301" s="410">
        <v>0.56000000000000005</v>
      </c>
      <c r="I301" s="229"/>
      <c r="J301" s="235" t="s">
        <v>681</v>
      </c>
      <c r="K301" s="318" t="s">
        <v>458</v>
      </c>
      <c r="L301" s="270">
        <v>8</v>
      </c>
      <c r="M301" s="229"/>
    </row>
    <row r="302" spans="2:13" x14ac:dyDescent="0.2">
      <c r="B302" s="214"/>
      <c r="C302" s="207" t="s">
        <v>134</v>
      </c>
      <c r="D302" s="180">
        <f>D301*kg2lb</f>
        <v>1.2345872</v>
      </c>
      <c r="E302" s="229"/>
      <c r="F302" s="235"/>
      <c r="G302" s="318" t="s">
        <v>134</v>
      </c>
      <c r="H302" s="361">
        <f>H301*kg2lb</f>
        <v>1.2345872</v>
      </c>
      <c r="I302" s="229"/>
      <c r="J302" s="235" t="s">
        <v>682</v>
      </c>
      <c r="K302" s="318" t="s">
        <v>177</v>
      </c>
      <c r="L302" s="313">
        <f>L301/L282</f>
        <v>0.15803717824618241</v>
      </c>
      <c r="M302" s="229"/>
    </row>
    <row r="303" spans="2:13" x14ac:dyDescent="0.2">
      <c r="B303" s="214" t="s">
        <v>32</v>
      </c>
      <c r="C303" s="207" t="s">
        <v>277</v>
      </c>
      <c r="D303" s="185">
        <v>5</v>
      </c>
      <c r="E303" s="229"/>
      <c r="F303" s="235" t="s">
        <v>32</v>
      </c>
      <c r="G303" s="318" t="s">
        <v>277</v>
      </c>
      <c r="H303" s="410">
        <v>5</v>
      </c>
      <c r="I303" s="229"/>
      <c r="J303" s="235"/>
      <c r="K303" s="318" t="s">
        <v>241</v>
      </c>
      <c r="L303" s="332">
        <f>L302*rad2deg</f>
        <v>9.0548633196629567</v>
      </c>
      <c r="M303" s="229"/>
    </row>
    <row r="304" spans="2:13" x14ac:dyDescent="0.2">
      <c r="B304" s="214"/>
      <c r="C304" s="207" t="s">
        <v>174</v>
      </c>
      <c r="D304" s="181">
        <f>D303*gcs2kgms</f>
        <v>5.0000000000000008E-7</v>
      </c>
      <c r="E304" s="229"/>
      <c r="F304" s="235"/>
      <c r="G304" s="318" t="s">
        <v>174</v>
      </c>
      <c r="H304" s="389">
        <f>H303*gcs2kgms</f>
        <v>5.0000000000000008E-7</v>
      </c>
      <c r="I304" s="229"/>
      <c r="J304" s="333" t="s">
        <v>377</v>
      </c>
      <c r="K304" s="316"/>
      <c r="L304" s="312"/>
      <c r="M304" s="229"/>
    </row>
    <row r="305" spans="2:13" x14ac:dyDescent="0.2">
      <c r="B305" s="214" t="s">
        <v>344</v>
      </c>
      <c r="C305" s="210" t="s">
        <v>70</v>
      </c>
      <c r="D305" s="187">
        <v>150</v>
      </c>
      <c r="E305" s="229"/>
      <c r="F305" s="402" t="s">
        <v>344</v>
      </c>
      <c r="G305" s="412" t="s">
        <v>70</v>
      </c>
      <c r="H305" s="411">
        <v>150</v>
      </c>
      <c r="I305" s="229"/>
      <c r="J305" s="235" t="s">
        <v>486</v>
      </c>
      <c r="K305" s="318" t="s">
        <v>186</v>
      </c>
      <c r="L305" s="270">
        <v>2</v>
      </c>
      <c r="M305" s="229"/>
    </row>
    <row r="306" spans="2:13" x14ac:dyDescent="0.2">
      <c r="B306" s="214" t="s">
        <v>345</v>
      </c>
      <c r="C306" s="210" t="s">
        <v>70</v>
      </c>
      <c r="D306" s="187">
        <v>300</v>
      </c>
      <c r="E306" s="229"/>
      <c r="F306" s="402" t="s">
        <v>345</v>
      </c>
      <c r="G306" s="412" t="s">
        <v>70</v>
      </c>
      <c r="H306" s="411">
        <v>300</v>
      </c>
      <c r="I306" s="229"/>
      <c r="J306" s="235" t="s">
        <v>487</v>
      </c>
      <c r="K306" s="318" t="s">
        <v>186</v>
      </c>
      <c r="L306" s="301">
        <f>H369</f>
        <v>1.0981600449829816</v>
      </c>
      <c r="M306" s="229"/>
    </row>
    <row r="307" spans="2:13" x14ac:dyDescent="0.2">
      <c r="B307" s="214" t="s">
        <v>346</v>
      </c>
      <c r="C307" s="206"/>
      <c r="D307" s="59">
        <v>4</v>
      </c>
      <c r="E307" s="229"/>
      <c r="F307" s="402" t="s">
        <v>346</v>
      </c>
      <c r="G307" s="268"/>
      <c r="H307" s="270">
        <v>4</v>
      </c>
      <c r="I307" s="229"/>
      <c r="J307" s="235" t="s">
        <v>48</v>
      </c>
      <c r="K307" s="268"/>
      <c r="L307" s="301">
        <f>L305/L306</f>
        <v>1.8212281617211765</v>
      </c>
      <c r="M307" s="229"/>
    </row>
    <row r="308" spans="2:13" x14ac:dyDescent="0.2">
      <c r="B308" s="214"/>
      <c r="C308" s="206"/>
      <c r="D308" s="59"/>
      <c r="E308" s="229"/>
      <c r="F308" s="402"/>
      <c r="G308" s="268"/>
      <c r="H308" s="270"/>
      <c r="I308" s="229"/>
      <c r="J308" s="235" t="s">
        <v>709</v>
      </c>
      <c r="K308" s="318" t="s">
        <v>186</v>
      </c>
      <c r="L308" s="270">
        <v>1</v>
      </c>
      <c r="M308" s="229"/>
    </row>
    <row r="309" spans="2:13" x14ac:dyDescent="0.2">
      <c r="B309" s="214" t="s">
        <v>348</v>
      </c>
      <c r="C309" s="210" t="s">
        <v>349</v>
      </c>
      <c r="D309" s="187">
        <v>1</v>
      </c>
      <c r="E309" s="229"/>
      <c r="F309" s="402" t="s">
        <v>348</v>
      </c>
      <c r="G309" s="412" t="s">
        <v>349</v>
      </c>
      <c r="H309" s="411">
        <v>1</v>
      </c>
      <c r="I309" s="229"/>
      <c r="J309" s="333" t="s">
        <v>407</v>
      </c>
      <c r="K309" s="316"/>
      <c r="L309" s="312"/>
      <c r="M309" s="229"/>
    </row>
    <row r="310" spans="2:13" x14ac:dyDescent="0.2">
      <c r="B310" s="214" t="s">
        <v>327</v>
      </c>
      <c r="C310" s="206"/>
      <c r="D310" s="59">
        <v>0.64</v>
      </c>
      <c r="E310" s="229"/>
      <c r="F310" s="402" t="s">
        <v>327</v>
      </c>
      <c r="G310" s="268"/>
      <c r="H310" s="270">
        <v>0.64</v>
      </c>
      <c r="I310" s="229"/>
      <c r="J310" s="235" t="s">
        <v>446</v>
      </c>
      <c r="K310" s="318" t="s">
        <v>68</v>
      </c>
      <c r="L310" s="285">
        <f>H13</f>
        <v>15.4275</v>
      </c>
      <c r="M310" s="229"/>
    </row>
    <row r="311" spans="2:13" x14ac:dyDescent="0.2">
      <c r="B311" s="214" t="s">
        <v>296</v>
      </c>
      <c r="C311" s="207" t="s">
        <v>176</v>
      </c>
      <c r="D311" s="187">
        <v>8000</v>
      </c>
      <c r="E311" s="229"/>
      <c r="F311" s="235" t="s">
        <v>296</v>
      </c>
      <c r="G311" s="318" t="s">
        <v>176</v>
      </c>
      <c r="H311" s="411">
        <v>8000</v>
      </c>
      <c r="I311" s="229"/>
      <c r="J311" s="235" t="s">
        <v>447</v>
      </c>
      <c r="K311" s="318"/>
      <c r="L311" s="270">
        <v>1.5</v>
      </c>
      <c r="M311" s="229"/>
    </row>
    <row r="312" spans="2:13" x14ac:dyDescent="0.2">
      <c r="B312" s="214" t="s">
        <v>351</v>
      </c>
      <c r="C312" s="208" t="s">
        <v>279</v>
      </c>
      <c r="D312" s="187">
        <v>15</v>
      </c>
      <c r="E312" s="229"/>
      <c r="F312" s="333" t="s">
        <v>351</v>
      </c>
      <c r="G312" s="316" t="s">
        <v>279</v>
      </c>
      <c r="H312" s="411">
        <v>15</v>
      </c>
      <c r="I312" s="229"/>
      <c r="J312" s="235" t="s">
        <v>455</v>
      </c>
      <c r="K312" s="318" t="s">
        <v>68</v>
      </c>
      <c r="L312" s="285">
        <f>L311*L310</f>
        <v>23.141249999999999</v>
      </c>
      <c r="M312" s="229"/>
    </row>
    <row r="313" spans="2:13" x14ac:dyDescent="0.2">
      <c r="B313" s="214" t="s">
        <v>350</v>
      </c>
      <c r="C313" s="208" t="s">
        <v>279</v>
      </c>
      <c r="D313" s="187">
        <v>22.5</v>
      </c>
      <c r="E313" s="229"/>
      <c r="F313" s="333" t="s">
        <v>350</v>
      </c>
      <c r="G313" s="316" t="s">
        <v>279</v>
      </c>
      <c r="H313" s="411">
        <v>22.5</v>
      </c>
      <c r="I313" s="229"/>
      <c r="J313" s="235" t="s">
        <v>407</v>
      </c>
      <c r="K313" s="318" t="s">
        <v>106</v>
      </c>
      <c r="L313" s="270">
        <v>1</v>
      </c>
      <c r="M313" s="229"/>
    </row>
    <row r="314" spans="2:13" x14ac:dyDescent="0.2">
      <c r="B314" s="214" t="s">
        <v>352</v>
      </c>
      <c r="C314" s="208" t="s">
        <v>279</v>
      </c>
      <c r="D314" s="182">
        <f>D293*D310*$H$271/1000</f>
        <v>211.50720000000001</v>
      </c>
      <c r="E314" s="229"/>
      <c r="F314" s="333" t="s">
        <v>352</v>
      </c>
      <c r="G314" s="316" t="s">
        <v>279</v>
      </c>
      <c r="H314" s="413">
        <f>H293*H310*$H$271/1000</f>
        <v>211.50720000000001</v>
      </c>
      <c r="I314" s="229"/>
      <c r="J314" s="235"/>
      <c r="K314" s="318" t="s">
        <v>15</v>
      </c>
      <c r="L314" s="313">
        <f>L313*in2cm</f>
        <v>2.54</v>
      </c>
      <c r="M314" s="229"/>
    </row>
    <row r="315" spans="2:13" x14ac:dyDescent="0.2">
      <c r="B315" s="214" t="s">
        <v>692</v>
      </c>
      <c r="C315" s="208" t="s">
        <v>255</v>
      </c>
      <c r="D315" s="182">
        <f>$H$283</f>
        <v>18.422400000000003</v>
      </c>
      <c r="E315" s="229"/>
      <c r="F315" s="333" t="s">
        <v>692</v>
      </c>
      <c r="G315" s="316" t="s">
        <v>255</v>
      </c>
      <c r="H315" s="413">
        <f>$H$283</f>
        <v>18.422400000000003</v>
      </c>
      <c r="I315" s="229"/>
      <c r="J315" s="235" t="s">
        <v>464</v>
      </c>
      <c r="K315" s="318" t="s">
        <v>333</v>
      </c>
      <c r="L315" s="414">
        <f>2*L314/(L294+0)</f>
        <v>0.75259259259259259</v>
      </c>
      <c r="M315" s="229"/>
    </row>
    <row r="316" spans="2:13" x14ac:dyDescent="0.2">
      <c r="B316" s="214" t="s">
        <v>693</v>
      </c>
      <c r="C316" s="208" t="s">
        <v>255</v>
      </c>
      <c r="D316" s="182">
        <f>D315*D310</f>
        <v>11.790336000000002</v>
      </c>
      <c r="E316" s="229"/>
      <c r="F316" s="333" t="s">
        <v>693</v>
      </c>
      <c r="G316" s="316" t="s">
        <v>255</v>
      </c>
      <c r="H316" s="413">
        <f>H315*H310</f>
        <v>11.790336000000002</v>
      </c>
      <c r="I316" s="229"/>
      <c r="J316" s="235" t="s">
        <v>463</v>
      </c>
      <c r="K316" s="318" t="s">
        <v>15</v>
      </c>
      <c r="L316" s="250">
        <f>(0+L294)/2*L315</f>
        <v>2.54</v>
      </c>
      <c r="M316" s="229"/>
    </row>
    <row r="317" spans="2:13" x14ac:dyDescent="0.2">
      <c r="B317" s="214" t="s">
        <v>694</v>
      </c>
      <c r="C317" s="208" t="s">
        <v>177</v>
      </c>
      <c r="D317" s="182">
        <f>$H$285</f>
        <v>638.79050622992452</v>
      </c>
      <c r="E317" s="229"/>
      <c r="F317" s="333" t="s">
        <v>694</v>
      </c>
      <c r="G317" s="316" t="s">
        <v>177</v>
      </c>
      <c r="H317" s="413">
        <f>$H$285</f>
        <v>638.79050622992452</v>
      </c>
      <c r="I317" s="229"/>
      <c r="J317" s="235" t="s">
        <v>459</v>
      </c>
      <c r="K317" s="318" t="s">
        <v>466</v>
      </c>
      <c r="L317" s="314">
        <f>-(-(L294^2)/2/L314)</f>
        <v>8.9689960629921259</v>
      </c>
      <c r="M317" s="229"/>
    </row>
    <row r="318" spans="2:13" x14ac:dyDescent="0.2">
      <c r="B318" s="214" t="s">
        <v>695</v>
      </c>
      <c r="C318" s="208" t="s">
        <v>177</v>
      </c>
      <c r="D318" s="188">
        <f>D317/D293</f>
        <v>0.49289390912802816</v>
      </c>
      <c r="E318" s="229"/>
      <c r="F318" s="333" t="s">
        <v>695</v>
      </c>
      <c r="G318" s="316" t="s">
        <v>177</v>
      </c>
      <c r="H318" s="415">
        <f>H317/H293</f>
        <v>0.49289390912802816</v>
      </c>
      <c r="I318" s="229"/>
      <c r="J318" s="235"/>
      <c r="K318" s="318" t="s">
        <v>460</v>
      </c>
      <c r="L318" s="313">
        <f>L317/100</f>
        <v>8.9689960629921253E-2</v>
      </c>
      <c r="M318" s="229"/>
    </row>
    <row r="319" spans="2:13" x14ac:dyDescent="0.2">
      <c r="B319" s="215" t="s">
        <v>263</v>
      </c>
      <c r="C319" s="208" t="s">
        <v>279</v>
      </c>
      <c r="D319" s="182">
        <f>D316/D318</f>
        <v>23.920636432408187</v>
      </c>
      <c r="E319" s="229"/>
      <c r="F319" s="235" t="s">
        <v>263</v>
      </c>
      <c r="G319" s="316" t="s">
        <v>279</v>
      </c>
      <c r="H319" s="413">
        <f>H316/H318</f>
        <v>23.920636432408187</v>
      </c>
      <c r="I319" s="229"/>
      <c r="J319" s="235" t="s">
        <v>467</v>
      </c>
      <c r="K319" s="318" t="s">
        <v>70</v>
      </c>
      <c r="L319" s="285">
        <f>L318*L312</f>
        <v>2.0755378014271653</v>
      </c>
      <c r="M319" s="229"/>
    </row>
    <row r="320" spans="2:13" x14ac:dyDescent="0.2">
      <c r="B320" s="215" t="s">
        <v>697</v>
      </c>
      <c r="C320" s="208" t="s">
        <v>279</v>
      </c>
      <c r="D320" s="189">
        <f>$H$223</f>
        <v>23.759134414957959</v>
      </c>
      <c r="E320" s="229"/>
      <c r="F320" s="235" t="s">
        <v>697</v>
      </c>
      <c r="G320" s="316" t="s">
        <v>279</v>
      </c>
      <c r="H320" s="413">
        <f>$H$223</f>
        <v>23.759134414957959</v>
      </c>
      <c r="I320" s="229"/>
      <c r="J320" s="235" t="s">
        <v>468</v>
      </c>
      <c r="K320" s="318" t="s">
        <v>14</v>
      </c>
      <c r="L320" s="285">
        <f>L244/100</f>
        <v>0.71588904740888437</v>
      </c>
      <c r="M320" s="229"/>
    </row>
    <row r="321" spans="2:13" x14ac:dyDescent="0.2">
      <c r="B321" s="214" t="s">
        <v>620</v>
      </c>
      <c r="C321" s="206"/>
      <c r="D321" s="201">
        <f>D319/$L$454</f>
        <v>1.0067974705908711</v>
      </c>
      <c r="E321" s="229"/>
      <c r="F321" s="235" t="s">
        <v>620</v>
      </c>
      <c r="G321" s="268"/>
      <c r="H321" s="301">
        <f>H319/$L$454</f>
        <v>1.0067974705908711</v>
      </c>
      <c r="I321" s="229"/>
      <c r="J321" s="235" t="s">
        <v>469</v>
      </c>
      <c r="K321" s="318" t="s">
        <v>279</v>
      </c>
      <c r="L321" s="285">
        <f>L319*L320</f>
        <v>1.4858547795248236</v>
      </c>
      <c r="M321" s="229"/>
    </row>
    <row r="322" spans="2:13" x14ac:dyDescent="0.2">
      <c r="B322" s="216" t="s">
        <v>347</v>
      </c>
      <c r="C322" s="217" t="s">
        <v>15</v>
      </c>
      <c r="D322" s="166">
        <v>9.74</v>
      </c>
      <c r="E322" s="229"/>
      <c r="F322" s="341" t="s">
        <v>347</v>
      </c>
      <c r="G322" s="342" t="s">
        <v>15</v>
      </c>
      <c r="H322" s="261">
        <v>9.74</v>
      </c>
      <c r="I322" s="229"/>
      <c r="J322" s="235" t="s">
        <v>470</v>
      </c>
      <c r="K322" s="318" t="s">
        <v>471</v>
      </c>
      <c r="L322" s="416">
        <v>0</v>
      </c>
      <c r="M322" s="229"/>
    </row>
    <row r="323" spans="2:13" x14ac:dyDescent="0.2">
      <c r="B323" s="186" t="s">
        <v>601</v>
      </c>
      <c r="C323" s="220"/>
      <c r="D323" s="221"/>
      <c r="E323" s="229"/>
      <c r="F323" s="333" t="s">
        <v>402</v>
      </c>
      <c r="G323" s="316"/>
      <c r="H323" s="358"/>
      <c r="I323" s="229"/>
      <c r="J323" s="235" t="s">
        <v>472</v>
      </c>
      <c r="K323" s="318" t="s">
        <v>279</v>
      </c>
      <c r="L323" s="285">
        <f>L322*L321</f>
        <v>0</v>
      </c>
      <c r="M323" s="229"/>
    </row>
    <row r="324" spans="2:13" x14ac:dyDescent="0.2">
      <c r="B324" s="214" t="s">
        <v>515</v>
      </c>
      <c r="C324" s="204" t="s">
        <v>514</v>
      </c>
      <c r="D324" s="177" t="s">
        <v>496</v>
      </c>
      <c r="E324" s="229"/>
      <c r="F324" s="333" t="s">
        <v>515</v>
      </c>
      <c r="G324" s="370" t="s">
        <v>538</v>
      </c>
      <c r="H324" s="409" t="s">
        <v>534</v>
      </c>
      <c r="I324" s="229"/>
      <c r="J324" s="235" t="s">
        <v>473</v>
      </c>
      <c r="K324" s="318" t="s">
        <v>279</v>
      </c>
      <c r="L324" s="401">
        <f>L323+L321</f>
        <v>1.4858547795248236</v>
      </c>
      <c r="M324" s="229"/>
    </row>
    <row r="325" spans="2:13" x14ac:dyDescent="0.2">
      <c r="B325" s="214" t="s">
        <v>258</v>
      </c>
      <c r="C325" s="205">
        <v>203140</v>
      </c>
      <c r="D325" s="59" t="s">
        <v>497</v>
      </c>
      <c r="E325" s="229"/>
      <c r="F325" s="235"/>
      <c r="G325" s="318" t="s">
        <v>535</v>
      </c>
      <c r="H325" s="250" t="s">
        <v>536</v>
      </c>
      <c r="I325" s="229"/>
      <c r="J325" s="235" t="s">
        <v>48</v>
      </c>
      <c r="K325" s="268"/>
      <c r="L325" s="270">
        <v>2</v>
      </c>
      <c r="M325" s="229"/>
    </row>
    <row r="326" spans="2:13" x14ac:dyDescent="0.2">
      <c r="B326" s="214" t="s">
        <v>272</v>
      </c>
      <c r="C326" s="206"/>
      <c r="D326" s="185">
        <v>676</v>
      </c>
      <c r="E326" s="229"/>
      <c r="F326" s="235" t="s">
        <v>403</v>
      </c>
      <c r="G326" s="318" t="s">
        <v>106</v>
      </c>
      <c r="H326" s="270">
        <f>3/8</f>
        <v>0.375</v>
      </c>
      <c r="I326" s="229"/>
      <c r="J326" s="235" t="s">
        <v>629</v>
      </c>
      <c r="K326" s="318" t="s">
        <v>279</v>
      </c>
      <c r="L326" s="292">
        <f>L324*L325</f>
        <v>2.9717095590496472</v>
      </c>
      <c r="M326" s="229"/>
    </row>
    <row r="327" spans="2:13" x14ac:dyDescent="0.2">
      <c r="B327" s="214" t="s">
        <v>343</v>
      </c>
      <c r="C327" s="206"/>
      <c r="D327" s="104">
        <v>676</v>
      </c>
      <c r="E327" s="229"/>
      <c r="F327" s="235"/>
      <c r="G327" s="318" t="s">
        <v>186</v>
      </c>
      <c r="H327" s="285">
        <f>H326*in2cm*10</f>
        <v>9.5250000000000004</v>
      </c>
      <c r="I327" s="229"/>
      <c r="J327" s="333" t="s">
        <v>369</v>
      </c>
      <c r="K327" s="316"/>
      <c r="L327" s="312"/>
      <c r="M327" s="229"/>
    </row>
    <row r="328" spans="2:13" x14ac:dyDescent="0.2">
      <c r="B328" s="214" t="s">
        <v>245</v>
      </c>
      <c r="C328" s="207" t="s">
        <v>15</v>
      </c>
      <c r="D328" s="59">
        <v>0.8</v>
      </c>
      <c r="E328" s="229"/>
      <c r="F328" s="235" t="s">
        <v>404</v>
      </c>
      <c r="G328" s="318" t="s">
        <v>106</v>
      </c>
      <c r="H328" s="270">
        <f>7/8</f>
        <v>0.875</v>
      </c>
      <c r="I328" s="229"/>
      <c r="J328" s="267" t="s">
        <v>607</v>
      </c>
      <c r="K328" s="370" t="s">
        <v>68</v>
      </c>
      <c r="L328" s="377">
        <f>L335*L334</f>
        <v>10.18698241200071</v>
      </c>
      <c r="M328" s="229"/>
    </row>
    <row r="329" spans="2:13" x14ac:dyDescent="0.2">
      <c r="B329" s="214"/>
      <c r="C329" s="207" t="s">
        <v>246</v>
      </c>
      <c r="D329" s="180">
        <f>D328/2.54</f>
        <v>0.31496062992125984</v>
      </c>
      <c r="E329" s="229"/>
      <c r="F329" s="235"/>
      <c r="G329" s="318" t="s">
        <v>186</v>
      </c>
      <c r="H329" s="285">
        <f>H328*in2cm*10</f>
        <v>22.225000000000001</v>
      </c>
      <c r="I329" s="229"/>
      <c r="J329" s="294" t="s">
        <v>606</v>
      </c>
      <c r="K329" s="318" t="s">
        <v>68</v>
      </c>
      <c r="L329" s="270">
        <v>3</v>
      </c>
      <c r="M329" s="229"/>
    </row>
    <row r="330" spans="2:13" x14ac:dyDescent="0.2">
      <c r="B330" s="214" t="s">
        <v>494</v>
      </c>
      <c r="C330" s="208" t="s">
        <v>15</v>
      </c>
      <c r="D330" s="187">
        <f>2.95-0.3</f>
        <v>2.6500000000000004</v>
      </c>
      <c r="E330" s="229"/>
      <c r="F330" s="235" t="s">
        <v>92</v>
      </c>
      <c r="G330" s="318" t="s">
        <v>106</v>
      </c>
      <c r="H330" s="380">
        <f>9/32</f>
        <v>0.28125</v>
      </c>
      <c r="I330" s="229"/>
      <c r="J330" s="294" t="s">
        <v>617</v>
      </c>
      <c r="K330" s="318" t="s">
        <v>15</v>
      </c>
      <c r="L330" s="250">
        <v>10</v>
      </c>
      <c r="M330" s="229"/>
    </row>
    <row r="331" spans="2:13" x14ac:dyDescent="0.2">
      <c r="B331" s="214" t="s">
        <v>91</v>
      </c>
      <c r="C331" s="209" t="s">
        <v>15</v>
      </c>
      <c r="D331" s="187">
        <v>4.2</v>
      </c>
      <c r="E331" s="229"/>
      <c r="F331" s="235"/>
      <c r="G331" s="318" t="s">
        <v>186</v>
      </c>
      <c r="H331" s="285">
        <f>H330*in2cm*10</f>
        <v>7.1437499999999998</v>
      </c>
      <c r="I331" s="229"/>
      <c r="J331" s="294" t="s">
        <v>457</v>
      </c>
      <c r="K331" s="318" t="s">
        <v>70</v>
      </c>
      <c r="L331" s="285">
        <f>L329*g</f>
        <v>29.41995</v>
      </c>
      <c r="M331" s="229"/>
    </row>
    <row r="332" spans="2:13" x14ac:dyDescent="0.2">
      <c r="B332" s="214"/>
      <c r="C332" s="209" t="s">
        <v>246</v>
      </c>
      <c r="D332" s="180">
        <f>D331/in2cm</f>
        <v>1.6535433070866141</v>
      </c>
      <c r="E332" s="229"/>
      <c r="F332" s="235" t="s">
        <v>421</v>
      </c>
      <c r="G332" s="268"/>
      <c r="H332" s="354" t="s">
        <v>537</v>
      </c>
      <c r="I332" s="229"/>
      <c r="J332" s="294" t="s">
        <v>448</v>
      </c>
      <c r="K332" s="318" t="s">
        <v>68</v>
      </c>
      <c r="L332" s="297">
        <f>L157</f>
        <v>5.658245575652793</v>
      </c>
      <c r="M332" s="229"/>
    </row>
    <row r="333" spans="2:13" x14ac:dyDescent="0.2">
      <c r="B333" s="214" t="s">
        <v>92</v>
      </c>
      <c r="C333" s="209" t="s">
        <v>15</v>
      </c>
      <c r="D333" s="59">
        <f>8.45-0.36</f>
        <v>8.09</v>
      </c>
      <c r="E333" s="229"/>
      <c r="F333" s="235" t="s">
        <v>420</v>
      </c>
      <c r="G333" s="318" t="s">
        <v>168</v>
      </c>
      <c r="H333" s="417">
        <v>2.5</v>
      </c>
      <c r="I333" s="229"/>
      <c r="J333" s="294" t="s">
        <v>508</v>
      </c>
      <c r="K333" s="318" t="s">
        <v>68</v>
      </c>
      <c r="L333" s="380">
        <v>0.2</v>
      </c>
      <c r="M333" s="229"/>
    </row>
    <row r="334" spans="2:13" x14ac:dyDescent="0.2">
      <c r="B334" s="214"/>
      <c r="C334" s="209" t="s">
        <v>246</v>
      </c>
      <c r="D334" s="180">
        <f>D333/in2cm</f>
        <v>3.1850393700787403</v>
      </c>
      <c r="E334" s="229"/>
      <c r="F334" s="235"/>
      <c r="G334" s="318" t="s">
        <v>442</v>
      </c>
      <c r="H334" s="418">
        <f>H333*gcc2kgcm</f>
        <v>2500</v>
      </c>
      <c r="I334" s="229"/>
      <c r="J334" s="294" t="s">
        <v>506</v>
      </c>
      <c r="K334" s="318" t="s">
        <v>68</v>
      </c>
      <c r="L334" s="297">
        <f>L329+L332+L333</f>
        <v>8.8582455756527914</v>
      </c>
      <c r="M334" s="229"/>
    </row>
    <row r="335" spans="2:13" x14ac:dyDescent="0.2">
      <c r="B335" s="214" t="s">
        <v>17</v>
      </c>
      <c r="C335" s="207" t="s">
        <v>68</v>
      </c>
      <c r="D335" s="185">
        <v>0.56000000000000005</v>
      </c>
      <c r="E335" s="229"/>
      <c r="F335" s="235" t="s">
        <v>438</v>
      </c>
      <c r="G335" s="318" t="s">
        <v>437</v>
      </c>
      <c r="H335" s="419">
        <f>PI()*(H327/1000/2)^2</f>
        <v>7.1255739248085619E-5</v>
      </c>
      <c r="I335" s="229"/>
      <c r="J335" s="294" t="s">
        <v>602</v>
      </c>
      <c r="K335" s="268"/>
      <c r="L335" s="270">
        <v>1.1499999999999999</v>
      </c>
      <c r="M335" s="229"/>
    </row>
    <row r="336" spans="2:13" x14ac:dyDescent="0.2">
      <c r="B336" s="214"/>
      <c r="C336" s="207" t="s">
        <v>134</v>
      </c>
      <c r="D336" s="180">
        <f>D335*kg2lb</f>
        <v>1.2345872</v>
      </c>
      <c r="E336" s="229"/>
      <c r="F336" s="235" t="s">
        <v>439</v>
      </c>
      <c r="G336" s="318" t="s">
        <v>437</v>
      </c>
      <c r="H336" s="419">
        <f>PI()*(H329/1000/2)^2</f>
        <v>3.8794791368402176E-4</v>
      </c>
      <c r="I336" s="229"/>
      <c r="J336" s="381" t="s">
        <v>650</v>
      </c>
      <c r="K336" s="268"/>
      <c r="L336" s="250"/>
      <c r="M336" s="229"/>
    </row>
    <row r="337" spans="2:13" x14ac:dyDescent="0.2">
      <c r="B337" s="214" t="s">
        <v>32</v>
      </c>
      <c r="C337" s="207" t="s">
        <v>277</v>
      </c>
      <c r="D337" s="185">
        <v>9.1</v>
      </c>
      <c r="E337" s="229"/>
      <c r="F337" s="235" t="s">
        <v>440</v>
      </c>
      <c r="G337" s="318" t="s">
        <v>437</v>
      </c>
      <c r="H337" s="419">
        <f>H336-H335</f>
        <v>3.1669217443593611E-4</v>
      </c>
      <c r="I337" s="229"/>
      <c r="J337" s="294" t="s">
        <v>507</v>
      </c>
      <c r="K337" s="318" t="s">
        <v>14</v>
      </c>
      <c r="L337" s="297">
        <f>$H$144/1000*COS($L$262)+$H$144/1000*COS($L$266)+$L$330/100*COS($L$266)</f>
        <v>0.70658064172558011</v>
      </c>
      <c r="M337" s="229"/>
    </row>
    <row r="338" spans="2:13" x14ac:dyDescent="0.2">
      <c r="B338" s="214"/>
      <c r="C338" s="207" t="s">
        <v>174</v>
      </c>
      <c r="D338" s="181">
        <f>D337*gcs2kgms</f>
        <v>9.1000000000000008E-7</v>
      </c>
      <c r="E338" s="229"/>
      <c r="F338" s="235" t="s">
        <v>556</v>
      </c>
      <c r="G338" s="318" t="s">
        <v>441</v>
      </c>
      <c r="H338" s="419">
        <f>H337*H331/1000</f>
        <v>2.2623697211267186E-6</v>
      </c>
      <c r="I338" s="229"/>
      <c r="J338" s="294" t="s">
        <v>508</v>
      </c>
      <c r="K338" s="318" t="s">
        <v>14</v>
      </c>
      <c r="L338" s="297">
        <f>$H$144/1000*COS($L$262)+$H$144/1000*COS($L$266)</f>
        <v>0.61997810134713627</v>
      </c>
      <c r="M338" s="229"/>
    </row>
    <row r="339" spans="2:13" x14ac:dyDescent="0.2">
      <c r="B339" s="214" t="s">
        <v>344</v>
      </c>
      <c r="C339" s="210" t="s">
        <v>70</v>
      </c>
      <c r="D339" s="187">
        <v>150</v>
      </c>
      <c r="E339" s="229"/>
      <c r="F339" s="235" t="s">
        <v>17</v>
      </c>
      <c r="G339" s="318" t="s">
        <v>68</v>
      </c>
      <c r="H339" s="419">
        <f>H338*H333</f>
        <v>5.6559243028167962E-6</v>
      </c>
      <c r="I339" s="229"/>
      <c r="J339" s="294" t="s">
        <v>553</v>
      </c>
      <c r="K339" s="318" t="s">
        <v>14</v>
      </c>
      <c r="L339" s="297">
        <f>$H$144/1000*COS($L$262)+$H$144/1000*COS($L$266)</f>
        <v>0.61997810134713627</v>
      </c>
      <c r="M339" s="229"/>
    </row>
    <row r="340" spans="2:13" x14ac:dyDescent="0.2">
      <c r="B340" s="214" t="s">
        <v>345</v>
      </c>
      <c r="C340" s="210" t="s">
        <v>70</v>
      </c>
      <c r="D340" s="187">
        <v>300</v>
      </c>
      <c r="E340" s="229"/>
      <c r="F340" s="235" t="s">
        <v>539</v>
      </c>
      <c r="G340" s="318" t="s">
        <v>68</v>
      </c>
      <c r="H340" s="314">
        <f>H341/kg2lb</f>
        <v>14.968566011376112</v>
      </c>
      <c r="I340" s="229"/>
      <c r="J340" s="294" t="s">
        <v>552</v>
      </c>
      <c r="K340" s="318" t="s">
        <v>14</v>
      </c>
      <c r="L340" s="297">
        <f>$H$144/1000*COS($L$262)+$H$144/1000*COS($L$266)</f>
        <v>0.61997810134713627</v>
      </c>
      <c r="M340" s="229"/>
    </row>
    <row r="341" spans="2:13" x14ac:dyDescent="0.2">
      <c r="B341" s="214" t="s">
        <v>346</v>
      </c>
      <c r="C341" s="206"/>
      <c r="D341" s="59">
        <v>4</v>
      </c>
      <c r="E341" s="229"/>
      <c r="F341" s="235"/>
      <c r="G341" s="318" t="s">
        <v>134</v>
      </c>
      <c r="H341" s="270">
        <v>33</v>
      </c>
      <c r="I341" s="229"/>
      <c r="J341" s="294" t="s">
        <v>390</v>
      </c>
      <c r="K341" s="318" t="s">
        <v>14</v>
      </c>
      <c r="L341" s="297">
        <f>$H$144/1000*COS($L$262)+$H$144/1000*COS($L$266)</f>
        <v>0.61997810134713627</v>
      </c>
      <c r="M341" s="229"/>
    </row>
    <row r="342" spans="2:13" x14ac:dyDescent="0.2">
      <c r="B342" s="214" t="s">
        <v>348</v>
      </c>
      <c r="C342" s="210" t="s">
        <v>349</v>
      </c>
      <c r="D342" s="187">
        <v>1</v>
      </c>
      <c r="E342" s="229"/>
      <c r="F342" s="235" t="s">
        <v>540</v>
      </c>
      <c r="G342" s="318" t="s">
        <v>68</v>
      </c>
      <c r="H342" s="314">
        <f>H343/kg2lb</f>
        <v>19.050902196296867</v>
      </c>
      <c r="I342" s="229"/>
      <c r="J342" s="294" t="s">
        <v>389</v>
      </c>
      <c r="K342" s="318" t="s">
        <v>14</v>
      </c>
      <c r="L342" s="297">
        <f t="shared" ref="L342:L347" si="9">L192*COS($L$262)</f>
        <v>0.30998905067356813</v>
      </c>
      <c r="M342" s="229"/>
    </row>
    <row r="343" spans="2:13" x14ac:dyDescent="0.2">
      <c r="B343" s="214" t="s">
        <v>327</v>
      </c>
      <c r="C343" s="206"/>
      <c r="D343" s="59">
        <v>0.64</v>
      </c>
      <c r="E343" s="229"/>
      <c r="F343" s="235"/>
      <c r="G343" s="318" t="s">
        <v>134</v>
      </c>
      <c r="H343" s="270">
        <v>42</v>
      </c>
      <c r="I343" s="229"/>
      <c r="J343" s="294" t="s">
        <v>388</v>
      </c>
      <c r="K343" s="318" t="s">
        <v>14</v>
      </c>
      <c r="L343" s="297">
        <f t="shared" si="9"/>
        <v>0</v>
      </c>
      <c r="M343" s="229"/>
    </row>
    <row r="344" spans="2:13" x14ac:dyDescent="0.2">
      <c r="B344" s="214" t="s">
        <v>296</v>
      </c>
      <c r="C344" s="207" t="s">
        <v>176</v>
      </c>
      <c r="D344" s="187">
        <v>8000</v>
      </c>
      <c r="E344" s="229"/>
      <c r="F344" s="235" t="s">
        <v>456</v>
      </c>
      <c r="G344" s="318" t="s">
        <v>68</v>
      </c>
      <c r="H344" s="297">
        <f>L328</f>
        <v>10.18698241200071</v>
      </c>
      <c r="I344" s="229"/>
      <c r="J344" s="294" t="s">
        <v>544</v>
      </c>
      <c r="K344" s="318" t="s">
        <v>14</v>
      </c>
      <c r="L344" s="297">
        <f t="shared" si="9"/>
        <v>0</v>
      </c>
      <c r="M344" s="229"/>
    </row>
    <row r="345" spans="2:13" x14ac:dyDescent="0.2">
      <c r="B345" s="214" t="s">
        <v>351</v>
      </c>
      <c r="C345" s="208" t="s">
        <v>279</v>
      </c>
      <c r="D345" s="187">
        <v>15</v>
      </c>
      <c r="E345" s="229"/>
      <c r="F345" s="235" t="s">
        <v>603</v>
      </c>
      <c r="G345" s="268"/>
      <c r="H345" s="285">
        <f>H340/$H$344</f>
        <v>1.4693817468205783</v>
      </c>
      <c r="I345" s="229"/>
      <c r="J345" s="294" t="s">
        <v>543</v>
      </c>
      <c r="K345" s="318" t="s">
        <v>14</v>
      </c>
      <c r="L345" s="297">
        <f t="shared" si="9"/>
        <v>0</v>
      </c>
      <c r="M345" s="229"/>
    </row>
    <row r="346" spans="2:13" x14ac:dyDescent="0.2">
      <c r="B346" s="214" t="s">
        <v>350</v>
      </c>
      <c r="C346" s="208" t="s">
        <v>279</v>
      </c>
      <c r="D346" s="187">
        <v>22.5</v>
      </c>
      <c r="E346" s="229"/>
      <c r="F346" s="235" t="s">
        <v>604</v>
      </c>
      <c r="G346" s="268"/>
      <c r="H346" s="285">
        <f>H341/$H$344</f>
        <v>3.2394283866755833</v>
      </c>
      <c r="I346" s="229"/>
      <c r="J346" s="294" t="s">
        <v>398</v>
      </c>
      <c r="K346" s="318" t="s">
        <v>14</v>
      </c>
      <c r="L346" s="297">
        <f t="shared" si="9"/>
        <v>0.46498357601035217</v>
      </c>
      <c r="M346" s="229"/>
    </row>
    <row r="347" spans="2:13" x14ac:dyDescent="0.2">
      <c r="B347" s="214" t="s">
        <v>352</v>
      </c>
      <c r="C347" s="208" t="s">
        <v>279</v>
      </c>
      <c r="D347" s="182">
        <f>D327*D343*$H$271/1000</f>
        <v>110.3232</v>
      </c>
      <c r="E347" s="229"/>
      <c r="F347" s="235" t="s">
        <v>541</v>
      </c>
      <c r="G347" s="318" t="s">
        <v>176</v>
      </c>
      <c r="H347" s="250">
        <v>1600</v>
      </c>
      <c r="I347" s="229"/>
      <c r="J347" s="294" t="s">
        <v>397</v>
      </c>
      <c r="K347" s="318" t="s">
        <v>14</v>
      </c>
      <c r="L347" s="297">
        <f t="shared" si="9"/>
        <v>0.15499452533678407</v>
      </c>
      <c r="M347" s="229"/>
    </row>
    <row r="348" spans="2:13" x14ac:dyDescent="0.2">
      <c r="B348" s="214" t="s">
        <v>692</v>
      </c>
      <c r="C348" s="208" t="s">
        <v>255</v>
      </c>
      <c r="D348" s="182">
        <f>$H$283</f>
        <v>18.422400000000003</v>
      </c>
      <c r="E348" s="229"/>
      <c r="F348" s="333" t="s">
        <v>545</v>
      </c>
      <c r="G348" s="316"/>
      <c r="H348" s="358"/>
      <c r="I348" s="229"/>
      <c r="J348" s="381" t="s">
        <v>651</v>
      </c>
      <c r="K348" s="318"/>
      <c r="L348" s="297"/>
      <c r="M348" s="229"/>
    </row>
    <row r="349" spans="2:13" x14ac:dyDescent="0.2">
      <c r="B349" s="214" t="s">
        <v>693</v>
      </c>
      <c r="C349" s="208" t="s">
        <v>255</v>
      </c>
      <c r="D349" s="182">
        <f>D348*D343</f>
        <v>11.790336000000002</v>
      </c>
      <c r="E349" s="229"/>
      <c r="F349" s="333" t="s">
        <v>515</v>
      </c>
      <c r="G349" s="370"/>
      <c r="H349" s="420"/>
      <c r="I349" s="229"/>
      <c r="J349" s="294" t="s">
        <v>507</v>
      </c>
      <c r="K349" s="318" t="s">
        <v>14</v>
      </c>
      <c r="L349" s="297">
        <f>$H$144/1000*COS($L$284)+$H$144/1000*COS($L$288)+$L$330/100*COS($L$288)</f>
        <v>0.57692067811865466</v>
      </c>
      <c r="M349" s="229"/>
    </row>
    <row r="350" spans="2:13" x14ac:dyDescent="0.2">
      <c r="B350" s="214" t="s">
        <v>694</v>
      </c>
      <c r="C350" s="208" t="s">
        <v>177</v>
      </c>
      <c r="D350" s="182">
        <f>$H$285</f>
        <v>638.79050622992452</v>
      </c>
      <c r="E350" s="229"/>
      <c r="F350" s="235" t="s">
        <v>258</v>
      </c>
      <c r="G350" s="282"/>
      <c r="H350" s="270"/>
      <c r="I350" s="229"/>
      <c r="J350" s="294" t="s">
        <v>508</v>
      </c>
      <c r="K350" s="318" t="s">
        <v>14</v>
      </c>
      <c r="L350" s="297">
        <f>$H$144/1000*COS($L$284)+$H$144/1000*COS($L$288)</f>
        <v>0.50620999999999994</v>
      </c>
      <c r="M350" s="229"/>
    </row>
    <row r="351" spans="2:13" x14ac:dyDescent="0.2">
      <c r="B351" s="214" t="s">
        <v>695</v>
      </c>
      <c r="C351" s="208" t="s">
        <v>177</v>
      </c>
      <c r="D351" s="188">
        <f>D350/D327</f>
        <v>0.94495637016261025</v>
      </c>
      <c r="E351" s="229"/>
      <c r="F351" s="235" t="s">
        <v>482</v>
      </c>
      <c r="G351" s="421" t="s">
        <v>481</v>
      </c>
      <c r="H351" s="422"/>
      <c r="I351" s="229"/>
      <c r="J351" s="294" t="s">
        <v>553</v>
      </c>
      <c r="K351" s="318" t="s">
        <v>14</v>
      </c>
      <c r="L351" s="297">
        <f>$H$144/1000*COS($L$284)+$H$144/1000*COS($L$288)</f>
        <v>0.50620999999999994</v>
      </c>
      <c r="M351" s="229"/>
    </row>
    <row r="352" spans="2:13" x14ac:dyDescent="0.2">
      <c r="B352" s="215" t="s">
        <v>263</v>
      </c>
      <c r="C352" s="208" t="s">
        <v>279</v>
      </c>
      <c r="D352" s="182">
        <f>D349/D351</f>
        <v>12.477122089743776</v>
      </c>
      <c r="E352" s="229"/>
      <c r="F352" s="235" t="s">
        <v>483</v>
      </c>
      <c r="G352" s="421" t="s">
        <v>349</v>
      </c>
      <c r="H352" s="319" t="e">
        <f>360/H351</f>
        <v>#DIV/0!</v>
      </c>
      <c r="I352" s="229"/>
      <c r="J352" s="294" t="s">
        <v>552</v>
      </c>
      <c r="K352" s="318" t="s">
        <v>14</v>
      </c>
      <c r="L352" s="297">
        <f>$H$144/1000*COS($L$284)+$H$144/1000*COS($L$288)</f>
        <v>0.50620999999999994</v>
      </c>
      <c r="M352" s="229"/>
    </row>
    <row r="353" spans="2:13" x14ac:dyDescent="0.2">
      <c r="B353" s="215" t="s">
        <v>697</v>
      </c>
      <c r="C353" s="208" t="s">
        <v>279</v>
      </c>
      <c r="D353" s="189">
        <f>$H$223</f>
        <v>23.759134414957959</v>
      </c>
      <c r="E353" s="229"/>
      <c r="F353" s="235" t="s">
        <v>555</v>
      </c>
      <c r="G353" s="421" t="s">
        <v>68</v>
      </c>
      <c r="H353" s="423"/>
      <c r="I353" s="229"/>
      <c r="J353" s="294" t="s">
        <v>390</v>
      </c>
      <c r="K353" s="318" t="s">
        <v>14</v>
      </c>
      <c r="L353" s="297">
        <f>$H$144/1000*COS($L$284)+$H$144/1000*COS($L$288)</f>
        <v>0.50620999999999994</v>
      </c>
      <c r="M353" s="229"/>
    </row>
    <row r="354" spans="2:13" x14ac:dyDescent="0.2">
      <c r="B354" s="214" t="s">
        <v>620</v>
      </c>
      <c r="C354" s="206"/>
      <c r="D354" s="201">
        <f>D352/$L$454</f>
        <v>0.52515053249955923</v>
      </c>
      <c r="E354" s="229"/>
      <c r="F354" s="235" t="s">
        <v>32</v>
      </c>
      <c r="G354" s="318" t="s">
        <v>277</v>
      </c>
      <c r="H354" s="424"/>
      <c r="I354" s="229"/>
      <c r="J354" s="294" t="s">
        <v>389</v>
      </c>
      <c r="K354" s="318" t="s">
        <v>14</v>
      </c>
      <c r="L354" s="297">
        <f t="shared" ref="L354:L359" si="10">L204*COS($L$284)</f>
        <v>0.21919535982486035</v>
      </c>
      <c r="M354" s="229"/>
    </row>
    <row r="355" spans="2:13" x14ac:dyDescent="0.2">
      <c r="B355" s="216" t="s">
        <v>347</v>
      </c>
      <c r="C355" s="217" t="s">
        <v>15</v>
      </c>
      <c r="D355" s="166">
        <v>9.74</v>
      </c>
      <c r="E355" s="229"/>
      <c r="F355" s="235"/>
      <c r="G355" s="318" t="s">
        <v>174</v>
      </c>
      <c r="H355" s="389">
        <f>H354*gcs2kgms</f>
        <v>0</v>
      </c>
      <c r="I355" s="229"/>
      <c r="J355" s="294" t="s">
        <v>388</v>
      </c>
      <c r="K355" s="318" t="s">
        <v>14</v>
      </c>
      <c r="L355" s="297">
        <f t="shared" si="10"/>
        <v>0</v>
      </c>
      <c r="M355" s="229"/>
    </row>
    <row r="356" spans="2:13" x14ac:dyDescent="0.2">
      <c r="B356" s="186" t="s">
        <v>601</v>
      </c>
      <c r="C356" s="220"/>
      <c r="D356" s="221"/>
      <c r="E356" s="229"/>
      <c r="F356" s="333" t="s">
        <v>478</v>
      </c>
      <c r="G356" s="316"/>
      <c r="H356" s="358"/>
      <c r="I356" s="229"/>
      <c r="J356" s="294" t="s">
        <v>544</v>
      </c>
      <c r="K356" s="318" t="s">
        <v>14</v>
      </c>
      <c r="L356" s="297">
        <f t="shared" si="10"/>
        <v>0</v>
      </c>
      <c r="M356" s="229"/>
    </row>
    <row r="357" spans="2:13" x14ac:dyDescent="0.2">
      <c r="B357" s="214" t="s">
        <v>515</v>
      </c>
      <c r="C357" s="204" t="s">
        <v>514</v>
      </c>
      <c r="D357" s="177" t="s">
        <v>496</v>
      </c>
      <c r="E357" s="229"/>
      <c r="F357" s="333" t="s">
        <v>515</v>
      </c>
      <c r="G357" s="370" t="s">
        <v>516</v>
      </c>
      <c r="H357" s="409" t="s">
        <v>488</v>
      </c>
      <c r="I357" s="229"/>
      <c r="J357" s="294" t="s">
        <v>543</v>
      </c>
      <c r="K357" s="318" t="s">
        <v>14</v>
      </c>
      <c r="L357" s="297">
        <f t="shared" si="10"/>
        <v>0</v>
      </c>
      <c r="M357" s="229"/>
    </row>
    <row r="358" spans="2:13" x14ac:dyDescent="0.2">
      <c r="B358" s="214" t="s">
        <v>258</v>
      </c>
      <c r="C358" s="205">
        <v>203141</v>
      </c>
      <c r="D358" s="59" t="s">
        <v>497</v>
      </c>
      <c r="E358" s="229"/>
      <c r="F358" s="235" t="s">
        <v>258</v>
      </c>
      <c r="G358" s="318" t="s">
        <v>490</v>
      </c>
      <c r="H358" s="250" t="s">
        <v>489</v>
      </c>
      <c r="I358" s="229"/>
      <c r="J358" s="294" t="s">
        <v>398</v>
      </c>
      <c r="K358" s="318" t="s">
        <v>14</v>
      </c>
      <c r="L358" s="297">
        <f t="shared" si="10"/>
        <v>0.32879303973729052</v>
      </c>
      <c r="M358" s="229"/>
    </row>
    <row r="359" spans="2:13" x14ac:dyDescent="0.2">
      <c r="B359" s="214" t="s">
        <v>272</v>
      </c>
      <c r="C359" s="206"/>
      <c r="D359" s="185">
        <v>756</v>
      </c>
      <c r="E359" s="229"/>
      <c r="F359" s="235" t="s">
        <v>32</v>
      </c>
      <c r="G359" s="318" t="s">
        <v>174</v>
      </c>
      <c r="H359" s="425">
        <v>2.5000000000000002E-6</v>
      </c>
      <c r="I359" s="229"/>
      <c r="J359" s="294" t="s">
        <v>397</v>
      </c>
      <c r="K359" s="318" t="s">
        <v>14</v>
      </c>
      <c r="L359" s="297">
        <f t="shared" si="10"/>
        <v>0.10959767991243018</v>
      </c>
      <c r="M359" s="229"/>
    </row>
    <row r="360" spans="2:13" x14ac:dyDescent="0.2">
      <c r="B360" s="214" t="s">
        <v>343</v>
      </c>
      <c r="C360" s="206"/>
      <c r="D360" s="104">
        <v>756</v>
      </c>
      <c r="E360" s="229"/>
      <c r="F360" s="235" t="s">
        <v>17</v>
      </c>
      <c r="G360" s="318" t="s">
        <v>68</v>
      </c>
      <c r="H360" s="270">
        <v>0.05</v>
      </c>
      <c r="I360" s="229"/>
      <c r="J360" s="267" t="s">
        <v>608</v>
      </c>
      <c r="K360" s="370" t="s">
        <v>279</v>
      </c>
      <c r="L360" s="292">
        <f>L375*L376</f>
        <v>71.277403244873881</v>
      </c>
      <c r="M360" s="229"/>
    </row>
    <row r="361" spans="2:13" x14ac:dyDescent="0.2">
      <c r="B361" s="214" t="s">
        <v>245</v>
      </c>
      <c r="C361" s="207" t="s">
        <v>15</v>
      </c>
      <c r="D361" s="59">
        <v>0.1</v>
      </c>
      <c r="E361" s="229"/>
      <c r="F361" s="235" t="s">
        <v>256</v>
      </c>
      <c r="G361" s="318" t="s">
        <v>257</v>
      </c>
      <c r="H361" s="426" t="s">
        <v>491</v>
      </c>
      <c r="I361" s="229"/>
      <c r="J361" s="294" t="s">
        <v>507</v>
      </c>
      <c r="K361" s="318" t="s">
        <v>279</v>
      </c>
      <c r="L361" s="285">
        <f t="shared" ref="L361:L371" si="11">L159*L349</f>
        <v>16.972977504216914</v>
      </c>
      <c r="M361" s="229"/>
    </row>
    <row r="362" spans="2:13" x14ac:dyDescent="0.2">
      <c r="B362" s="214"/>
      <c r="C362" s="207" t="s">
        <v>246</v>
      </c>
      <c r="D362" s="180">
        <f>D361/2.54</f>
        <v>3.937007874015748E-2</v>
      </c>
      <c r="E362" s="229"/>
      <c r="F362" s="235" t="s">
        <v>492</v>
      </c>
      <c r="G362" s="318" t="s">
        <v>176</v>
      </c>
      <c r="H362" s="270">
        <v>10000</v>
      </c>
      <c r="I362" s="229"/>
      <c r="J362" s="294" t="s">
        <v>508</v>
      </c>
      <c r="K362" s="318" t="s">
        <v>279</v>
      </c>
      <c r="L362" s="285">
        <f t="shared" si="11"/>
        <v>0.99284485929999988</v>
      </c>
      <c r="M362" s="229"/>
    </row>
    <row r="363" spans="2:13" x14ac:dyDescent="0.2">
      <c r="B363" s="214" t="s">
        <v>494</v>
      </c>
      <c r="C363" s="208" t="s">
        <v>15</v>
      </c>
      <c r="D363" s="187">
        <f>2.95-0.3</f>
        <v>2.6500000000000004</v>
      </c>
      <c r="E363" s="229"/>
      <c r="F363" s="235" t="s">
        <v>245</v>
      </c>
      <c r="G363" s="318" t="s">
        <v>186</v>
      </c>
      <c r="H363" s="270">
        <v>6.33</v>
      </c>
      <c r="I363" s="229"/>
      <c r="J363" s="294" t="s">
        <v>553</v>
      </c>
      <c r="K363" s="318" t="s">
        <v>279</v>
      </c>
      <c r="L363" s="285">
        <f t="shared" si="11"/>
        <v>3.7480174211343429</v>
      </c>
      <c r="M363" s="229"/>
    </row>
    <row r="364" spans="2:13" x14ac:dyDescent="0.2">
      <c r="B364" s="214" t="s">
        <v>91</v>
      </c>
      <c r="C364" s="209" t="s">
        <v>15</v>
      </c>
      <c r="D364" s="187">
        <v>4.2</v>
      </c>
      <c r="E364" s="229"/>
      <c r="F364" s="235" t="s">
        <v>91</v>
      </c>
      <c r="G364" s="318" t="s">
        <v>186</v>
      </c>
      <c r="H364" s="270">
        <v>22</v>
      </c>
      <c r="I364" s="229"/>
      <c r="J364" s="294" t="s">
        <v>552</v>
      </c>
      <c r="K364" s="318" t="s">
        <v>279</v>
      </c>
      <c r="L364" s="285">
        <f t="shared" si="11"/>
        <v>3.7480174211343429</v>
      </c>
      <c r="M364" s="229"/>
    </row>
    <row r="365" spans="2:13" x14ac:dyDescent="0.2">
      <c r="B365" s="214"/>
      <c r="C365" s="209" t="s">
        <v>246</v>
      </c>
      <c r="D365" s="180">
        <f>D364/in2cm</f>
        <v>1.6535433070866141</v>
      </c>
      <c r="E365" s="229"/>
      <c r="F365" s="235" t="s">
        <v>92</v>
      </c>
      <c r="G365" s="318" t="s">
        <v>186</v>
      </c>
      <c r="H365" s="384">
        <f>2*H364</f>
        <v>44</v>
      </c>
      <c r="I365" s="229"/>
      <c r="J365" s="294" t="s">
        <v>390</v>
      </c>
      <c r="K365" s="318" t="s">
        <v>279</v>
      </c>
      <c r="L365" s="285">
        <f t="shared" si="11"/>
        <v>3.7480174211343429</v>
      </c>
      <c r="M365" s="229"/>
    </row>
    <row r="366" spans="2:13" x14ac:dyDescent="0.2">
      <c r="B366" s="214" t="s">
        <v>92</v>
      </c>
      <c r="C366" s="209" t="s">
        <v>15</v>
      </c>
      <c r="D366" s="59">
        <f>8.45-0.36</f>
        <v>8.09</v>
      </c>
      <c r="E366" s="229"/>
      <c r="F366" s="235" t="s">
        <v>482</v>
      </c>
      <c r="G366" s="421" t="s">
        <v>481</v>
      </c>
      <c r="H366" s="422">
        <f>2^12</f>
        <v>4096</v>
      </c>
      <c r="I366" s="229"/>
      <c r="J366" s="294" t="s">
        <v>389</v>
      </c>
      <c r="K366" s="318" t="s">
        <v>279</v>
      </c>
      <c r="L366" s="285">
        <f t="shared" si="11"/>
        <v>1.6229391502644901</v>
      </c>
      <c r="M366" s="229"/>
    </row>
    <row r="367" spans="2:13" x14ac:dyDescent="0.2">
      <c r="B367" s="214"/>
      <c r="C367" s="209" t="s">
        <v>246</v>
      </c>
      <c r="D367" s="180">
        <f>D366/in2cm</f>
        <v>3.1850393700787403</v>
      </c>
      <c r="E367" s="229"/>
      <c r="F367" s="235" t="s">
        <v>483</v>
      </c>
      <c r="G367" s="421" t="s">
        <v>349</v>
      </c>
      <c r="H367" s="319">
        <f>360/H366</f>
        <v>8.7890625E-2</v>
      </c>
      <c r="I367" s="229"/>
      <c r="J367" s="294" t="s">
        <v>388</v>
      </c>
      <c r="K367" s="318" t="s">
        <v>279</v>
      </c>
      <c r="L367" s="285">
        <f t="shared" si="11"/>
        <v>0</v>
      </c>
      <c r="M367" s="229"/>
    </row>
    <row r="368" spans="2:13" x14ac:dyDescent="0.2">
      <c r="B368" s="214" t="s">
        <v>17</v>
      </c>
      <c r="C368" s="207" t="s">
        <v>68</v>
      </c>
      <c r="D368" s="185">
        <v>0.56000000000000005</v>
      </c>
      <c r="E368" s="229"/>
      <c r="F368" s="235" t="s">
        <v>485</v>
      </c>
      <c r="G368" s="318" t="s">
        <v>15</v>
      </c>
      <c r="H368" s="357">
        <f>L244</f>
        <v>71.588904740888438</v>
      </c>
      <c r="I368" s="229"/>
      <c r="J368" s="294" t="s">
        <v>544</v>
      </c>
      <c r="K368" s="318" t="s">
        <v>279</v>
      </c>
      <c r="L368" s="285">
        <f t="shared" si="11"/>
        <v>0</v>
      </c>
      <c r="M368" s="229"/>
    </row>
    <row r="369" spans="2:13" x14ac:dyDescent="0.2">
      <c r="B369" s="214"/>
      <c r="C369" s="207" t="s">
        <v>134</v>
      </c>
      <c r="D369" s="180">
        <f>D368*kg2lb</f>
        <v>1.2345872</v>
      </c>
      <c r="E369" s="229"/>
      <c r="F369" s="235" t="s">
        <v>484</v>
      </c>
      <c r="G369" s="421" t="s">
        <v>186</v>
      </c>
      <c r="H369" s="373">
        <f>H367*PI()/180*H368*10</f>
        <v>1.0981600449829816</v>
      </c>
      <c r="I369" s="229"/>
      <c r="J369" s="294" t="s">
        <v>543</v>
      </c>
      <c r="K369" s="318" t="s">
        <v>279</v>
      </c>
      <c r="L369" s="285">
        <f t="shared" si="11"/>
        <v>0</v>
      </c>
      <c r="M369" s="229"/>
    </row>
    <row r="370" spans="2:13" x14ac:dyDescent="0.2">
      <c r="B370" s="214" t="s">
        <v>32</v>
      </c>
      <c r="C370" s="207" t="s">
        <v>277</v>
      </c>
      <c r="D370" s="185">
        <v>14</v>
      </c>
      <c r="E370" s="229"/>
      <c r="F370" s="333" t="s">
        <v>479</v>
      </c>
      <c r="G370" s="316"/>
      <c r="H370" s="358"/>
      <c r="I370" s="229"/>
      <c r="J370" s="294" t="s">
        <v>398</v>
      </c>
      <c r="K370" s="318" t="s">
        <v>279</v>
      </c>
      <c r="L370" s="285">
        <f t="shared" si="11"/>
        <v>0.1180211600053387</v>
      </c>
      <c r="M370" s="229"/>
    </row>
    <row r="371" spans="2:13" x14ac:dyDescent="0.2">
      <c r="B371" s="214"/>
      <c r="C371" s="207" t="s">
        <v>174</v>
      </c>
      <c r="D371" s="181">
        <f>D370*gcs2kgms</f>
        <v>1.4000000000000001E-6</v>
      </c>
      <c r="E371" s="229"/>
      <c r="F371" s="333" t="s">
        <v>515</v>
      </c>
      <c r="G371" s="370" t="s">
        <v>514</v>
      </c>
      <c r="H371" s="420" t="s">
        <v>513</v>
      </c>
      <c r="I371" s="229"/>
      <c r="J371" s="294" t="s">
        <v>397</v>
      </c>
      <c r="K371" s="318" t="s">
        <v>279</v>
      </c>
      <c r="L371" s="285">
        <f t="shared" si="11"/>
        <v>3.9340386668446234E-2</v>
      </c>
      <c r="M371" s="229"/>
    </row>
    <row r="372" spans="2:13" x14ac:dyDescent="0.2">
      <c r="B372" s="214" t="s">
        <v>344</v>
      </c>
      <c r="C372" s="210" t="s">
        <v>70</v>
      </c>
      <c r="D372" s="187">
        <v>150</v>
      </c>
      <c r="E372" s="229"/>
      <c r="F372" s="235" t="s">
        <v>258</v>
      </c>
      <c r="G372" s="282">
        <v>347717</v>
      </c>
      <c r="H372" s="424" t="s">
        <v>531</v>
      </c>
      <c r="I372" s="229"/>
      <c r="J372" s="294" t="s">
        <v>610</v>
      </c>
      <c r="K372" s="318" t="s">
        <v>279</v>
      </c>
      <c r="L372" s="285">
        <f>SUM(L361:L371)</f>
        <v>30.990175323858214</v>
      </c>
      <c r="M372" s="229"/>
    </row>
    <row r="373" spans="2:13" x14ac:dyDescent="0.2">
      <c r="B373" s="214" t="s">
        <v>345</v>
      </c>
      <c r="C373" s="210" t="s">
        <v>70</v>
      </c>
      <c r="D373" s="187">
        <v>300</v>
      </c>
      <c r="E373" s="229"/>
      <c r="F373" s="235" t="s">
        <v>320</v>
      </c>
      <c r="G373" s="318" t="s">
        <v>255</v>
      </c>
      <c r="H373" s="270">
        <v>250</v>
      </c>
      <c r="I373" s="229"/>
      <c r="J373" s="294" t="s">
        <v>630</v>
      </c>
      <c r="K373" s="318"/>
      <c r="L373" s="270">
        <v>1</v>
      </c>
      <c r="M373" s="229"/>
    </row>
    <row r="374" spans="2:13" x14ac:dyDescent="0.2">
      <c r="B374" s="214" t="s">
        <v>346</v>
      </c>
      <c r="C374" s="206"/>
      <c r="D374" s="59">
        <v>4</v>
      </c>
      <c r="E374" s="229"/>
      <c r="F374" s="235" t="s">
        <v>525</v>
      </c>
      <c r="G374" s="318" t="s">
        <v>276</v>
      </c>
      <c r="H374" s="270">
        <v>5</v>
      </c>
      <c r="I374" s="229"/>
      <c r="J374" s="294" t="s">
        <v>631</v>
      </c>
      <c r="K374" s="318" t="s">
        <v>279</v>
      </c>
      <c r="L374" s="324">
        <f>L373*L372</f>
        <v>30.990175323858214</v>
      </c>
      <c r="M374" s="229"/>
    </row>
    <row r="375" spans="2:13" x14ac:dyDescent="0.2">
      <c r="B375" s="214" t="s">
        <v>348</v>
      </c>
      <c r="C375" s="210" t="s">
        <v>349</v>
      </c>
      <c r="D375" s="187">
        <v>1</v>
      </c>
      <c r="E375" s="229"/>
      <c r="F375" s="235" t="s">
        <v>256</v>
      </c>
      <c r="G375" s="318" t="s">
        <v>257</v>
      </c>
      <c r="H375" s="328">
        <f>L127</f>
        <v>12</v>
      </c>
      <c r="I375" s="229"/>
      <c r="J375" s="294" t="s">
        <v>628</v>
      </c>
      <c r="K375" s="318" t="s">
        <v>279</v>
      </c>
      <c r="L375" s="324">
        <f>L374+L372</f>
        <v>61.980350647716428</v>
      </c>
      <c r="M375" s="229"/>
    </row>
    <row r="376" spans="2:13" x14ac:dyDescent="0.2">
      <c r="B376" s="214" t="s">
        <v>327</v>
      </c>
      <c r="C376" s="206"/>
      <c r="D376" s="59">
        <v>0.64</v>
      </c>
      <c r="E376" s="229"/>
      <c r="F376" s="235" t="s">
        <v>526</v>
      </c>
      <c r="G376" s="318" t="s">
        <v>255</v>
      </c>
      <c r="H376" s="328">
        <f>H375*H374</f>
        <v>60</v>
      </c>
      <c r="I376" s="229"/>
      <c r="J376" s="294" t="s">
        <v>609</v>
      </c>
      <c r="K376" s="318"/>
      <c r="L376" s="328">
        <f>L335</f>
        <v>1.1499999999999999</v>
      </c>
      <c r="M376" s="229"/>
    </row>
    <row r="377" spans="2:13" x14ac:dyDescent="0.2">
      <c r="B377" s="214" t="s">
        <v>296</v>
      </c>
      <c r="C377" s="207" t="s">
        <v>176</v>
      </c>
      <c r="D377" s="187">
        <v>8000</v>
      </c>
      <c r="E377" s="229"/>
      <c r="F377" s="235" t="s">
        <v>92</v>
      </c>
      <c r="G377" s="318" t="s">
        <v>15</v>
      </c>
      <c r="H377" s="270">
        <v>12</v>
      </c>
      <c r="I377" s="229"/>
      <c r="J377" s="391" t="s">
        <v>632</v>
      </c>
      <c r="K377" s="318"/>
      <c r="L377" s="270">
        <v>3</v>
      </c>
      <c r="M377" s="229"/>
    </row>
    <row r="378" spans="2:13" x14ac:dyDescent="0.2">
      <c r="B378" s="214" t="s">
        <v>351</v>
      </c>
      <c r="C378" s="208" t="s">
        <v>279</v>
      </c>
      <c r="D378" s="187">
        <v>15</v>
      </c>
      <c r="E378" s="229"/>
      <c r="F378" s="235" t="s">
        <v>93</v>
      </c>
      <c r="G378" s="318" t="s">
        <v>15</v>
      </c>
      <c r="H378" s="270">
        <v>9.35</v>
      </c>
      <c r="I378" s="229"/>
      <c r="J378" s="391" t="s">
        <v>633</v>
      </c>
      <c r="K378" s="318" t="s">
        <v>279</v>
      </c>
      <c r="L378" s="292">
        <f>L360/L377</f>
        <v>23.759134414957959</v>
      </c>
      <c r="M378" s="229"/>
    </row>
    <row r="379" spans="2:13" x14ac:dyDescent="0.2">
      <c r="B379" s="214" t="s">
        <v>350</v>
      </c>
      <c r="C379" s="208" t="s">
        <v>279</v>
      </c>
      <c r="D379" s="187">
        <v>22.5</v>
      </c>
      <c r="E379" s="229"/>
      <c r="F379" s="235" t="s">
        <v>169</v>
      </c>
      <c r="G379" s="318" t="s">
        <v>15</v>
      </c>
      <c r="H379" s="270">
        <v>2.7</v>
      </c>
      <c r="I379" s="229"/>
      <c r="J379" s="333" t="s">
        <v>622</v>
      </c>
      <c r="K379" s="316"/>
      <c r="L379" s="312"/>
      <c r="M379" s="229"/>
    </row>
    <row r="380" spans="2:13" x14ac:dyDescent="0.2">
      <c r="B380" s="214" t="s">
        <v>352</v>
      </c>
      <c r="C380" s="208" t="s">
        <v>279</v>
      </c>
      <c r="D380" s="182">
        <f>D360*D376*$H$271/1000</f>
        <v>123.37920000000001</v>
      </c>
      <c r="E380" s="229"/>
      <c r="F380" s="235" t="s">
        <v>517</v>
      </c>
      <c r="G380" s="318" t="s">
        <v>518</v>
      </c>
      <c r="H380" s="270">
        <v>11</v>
      </c>
      <c r="I380" s="229"/>
      <c r="J380" s="294" t="s">
        <v>621</v>
      </c>
      <c r="K380" s="318" t="s">
        <v>458</v>
      </c>
      <c r="L380" s="328">
        <f>L295</f>
        <v>8</v>
      </c>
      <c r="M380" s="229"/>
    </row>
    <row r="381" spans="2:13" x14ac:dyDescent="0.2">
      <c r="B381" s="214" t="s">
        <v>692</v>
      </c>
      <c r="C381" s="208" t="s">
        <v>255</v>
      </c>
      <c r="D381" s="182">
        <f>$H$283</f>
        <v>18.422400000000003</v>
      </c>
      <c r="E381" s="229"/>
      <c r="F381" s="235"/>
      <c r="G381" s="318" t="s">
        <v>519</v>
      </c>
      <c r="H381" s="270">
        <v>2</v>
      </c>
      <c r="I381" s="229"/>
      <c r="J381" s="294"/>
      <c r="K381" s="318" t="s">
        <v>624</v>
      </c>
      <c r="L381" s="328">
        <f>L380/100</f>
        <v>0.08</v>
      </c>
      <c r="M381" s="229"/>
    </row>
    <row r="382" spans="2:13" x14ac:dyDescent="0.2">
      <c r="B382" s="214" t="s">
        <v>693</v>
      </c>
      <c r="C382" s="208" t="s">
        <v>255</v>
      </c>
      <c r="D382" s="182">
        <f>D381*D376</f>
        <v>11.790336000000002</v>
      </c>
      <c r="E382" s="229"/>
      <c r="F382" s="235" t="s">
        <v>520</v>
      </c>
      <c r="G382" s="318" t="s">
        <v>518</v>
      </c>
      <c r="H382" s="270">
        <v>5</v>
      </c>
      <c r="I382" s="229"/>
      <c r="J382" s="294" t="s">
        <v>626</v>
      </c>
      <c r="K382" s="318" t="s">
        <v>333</v>
      </c>
      <c r="L382" s="270">
        <v>30</v>
      </c>
      <c r="M382" s="229"/>
    </row>
    <row r="383" spans="2:13" x14ac:dyDescent="0.2">
      <c r="B383" s="214" t="s">
        <v>694</v>
      </c>
      <c r="C383" s="208" t="s">
        <v>177</v>
      </c>
      <c r="D383" s="182">
        <f>$H$285</f>
        <v>638.79050622992452</v>
      </c>
      <c r="E383" s="229"/>
      <c r="F383" s="235"/>
      <c r="G383" s="318" t="s">
        <v>519</v>
      </c>
      <c r="H383" s="270">
        <v>1</v>
      </c>
      <c r="I383" s="229"/>
      <c r="J383" s="294" t="s">
        <v>623</v>
      </c>
      <c r="K383" s="318" t="s">
        <v>460</v>
      </c>
      <c r="L383" s="361">
        <f>(L381-0)/L382</f>
        <v>2.6666666666666666E-3</v>
      </c>
      <c r="M383" s="229"/>
    </row>
    <row r="384" spans="2:13" x14ac:dyDescent="0.2">
      <c r="B384" s="214" t="s">
        <v>695</v>
      </c>
      <c r="C384" s="208" t="s">
        <v>177</v>
      </c>
      <c r="D384" s="188">
        <f>D383/D360</f>
        <v>0.84496098707661971</v>
      </c>
      <c r="E384" s="229"/>
      <c r="F384" s="235" t="s">
        <v>521</v>
      </c>
      <c r="G384" s="318" t="s">
        <v>522</v>
      </c>
      <c r="H384" s="270">
        <v>50</v>
      </c>
      <c r="I384" s="229"/>
      <c r="J384" s="294"/>
      <c r="K384" s="318" t="s">
        <v>466</v>
      </c>
      <c r="L384" s="361">
        <f>L383*100</f>
        <v>0.26666666666666666</v>
      </c>
      <c r="M384" s="229"/>
    </row>
    <row r="385" spans="2:13" x14ac:dyDescent="0.2">
      <c r="B385" s="215" t="s">
        <v>263</v>
      </c>
      <c r="C385" s="208" t="s">
        <v>279</v>
      </c>
      <c r="D385" s="182">
        <f>D382/D384</f>
        <v>13.953704585571444</v>
      </c>
      <c r="E385" s="229"/>
      <c r="F385" s="235"/>
      <c r="G385" s="318" t="s">
        <v>334</v>
      </c>
      <c r="H385" s="328">
        <f>1/(H384*1000)*1000</f>
        <v>0.02</v>
      </c>
      <c r="I385" s="229"/>
      <c r="J385" s="427" t="s">
        <v>625</v>
      </c>
      <c r="K385" s="318"/>
      <c r="L385" s="270"/>
      <c r="M385" s="229"/>
    </row>
    <row r="386" spans="2:13" x14ac:dyDescent="0.2">
      <c r="B386" s="215" t="s">
        <v>697</v>
      </c>
      <c r="C386" s="208" t="s">
        <v>279</v>
      </c>
      <c r="D386" s="189">
        <f>$H$223</f>
        <v>23.759134414957959</v>
      </c>
      <c r="E386" s="229"/>
      <c r="F386" s="235" t="s">
        <v>523</v>
      </c>
      <c r="G386" s="318" t="s">
        <v>522</v>
      </c>
      <c r="H386" s="270">
        <v>10</v>
      </c>
      <c r="I386" s="229"/>
      <c r="J386" s="428" t="s">
        <v>507</v>
      </c>
      <c r="K386" s="318" t="s">
        <v>70</v>
      </c>
      <c r="L386" s="429">
        <v>0</v>
      </c>
      <c r="M386" s="229"/>
    </row>
    <row r="387" spans="2:13" x14ac:dyDescent="0.2">
      <c r="B387" s="214" t="s">
        <v>620</v>
      </c>
      <c r="C387" s="206"/>
      <c r="D387" s="201">
        <f>D385/$L$454</f>
        <v>0.58729852451134146</v>
      </c>
      <c r="E387" s="229"/>
      <c r="F387" s="235"/>
      <c r="G387" s="318" t="s">
        <v>334</v>
      </c>
      <c r="H387" s="328">
        <f>1/(H386*1000)*1000</f>
        <v>0.1</v>
      </c>
      <c r="I387" s="229"/>
      <c r="J387" s="428" t="s">
        <v>508</v>
      </c>
      <c r="K387" s="318" t="s">
        <v>70</v>
      </c>
      <c r="L387" s="337">
        <f t="shared" ref="L387:L396" si="12">L145*$L$383</f>
        <v>5.3333333333333336E-4</v>
      </c>
      <c r="M387" s="229"/>
    </row>
    <row r="388" spans="2:13" x14ac:dyDescent="0.2">
      <c r="B388" s="216" t="s">
        <v>347</v>
      </c>
      <c r="C388" s="217" t="s">
        <v>15</v>
      </c>
      <c r="D388" s="166">
        <v>9.74</v>
      </c>
      <c r="E388" s="229"/>
      <c r="F388" s="235" t="s">
        <v>524</v>
      </c>
      <c r="G388" s="318" t="s">
        <v>522</v>
      </c>
      <c r="H388" s="270">
        <v>1</v>
      </c>
      <c r="I388" s="229"/>
      <c r="J388" s="428" t="s">
        <v>553</v>
      </c>
      <c r="K388" s="318" t="s">
        <v>70</v>
      </c>
      <c r="L388" s="337">
        <f t="shared" si="12"/>
        <v>2.013348415798141E-3</v>
      </c>
      <c r="M388" s="229"/>
    </row>
    <row r="389" spans="2:13" x14ac:dyDescent="0.2">
      <c r="B389" s="186" t="s">
        <v>601</v>
      </c>
      <c r="C389" s="220"/>
      <c r="D389" s="221"/>
      <c r="E389" s="229"/>
      <c r="F389" s="235"/>
      <c r="G389" s="318" t="s">
        <v>334</v>
      </c>
      <c r="H389" s="328">
        <f>1/(H388*1000)*1000</f>
        <v>1</v>
      </c>
      <c r="I389" s="229"/>
      <c r="J389" s="428" t="s">
        <v>552</v>
      </c>
      <c r="K389" s="318" t="s">
        <v>70</v>
      </c>
      <c r="L389" s="337">
        <f t="shared" si="12"/>
        <v>2.013348415798141E-3</v>
      </c>
      <c r="M389" s="229"/>
    </row>
    <row r="390" spans="2:13" x14ac:dyDescent="0.2">
      <c r="B390" s="214" t="s">
        <v>515</v>
      </c>
      <c r="C390" s="204" t="s">
        <v>514</v>
      </c>
      <c r="D390" s="177" t="s">
        <v>496</v>
      </c>
      <c r="E390" s="229"/>
      <c r="F390" s="235" t="s">
        <v>529</v>
      </c>
      <c r="G390" s="318"/>
      <c r="H390" s="270">
        <f>2^12</f>
        <v>4096</v>
      </c>
      <c r="I390" s="229"/>
      <c r="J390" s="428" t="s">
        <v>390</v>
      </c>
      <c r="K390" s="318" t="s">
        <v>70</v>
      </c>
      <c r="L390" s="337">
        <f t="shared" si="12"/>
        <v>2.013348415798141E-3</v>
      </c>
      <c r="M390" s="229"/>
    </row>
    <row r="391" spans="2:13" x14ac:dyDescent="0.2">
      <c r="B391" s="214" t="s">
        <v>258</v>
      </c>
      <c r="C391" s="205">
        <v>203142</v>
      </c>
      <c r="D391" s="59" t="s">
        <v>497</v>
      </c>
      <c r="E391" s="229"/>
      <c r="F391" s="251" t="s">
        <v>528</v>
      </c>
      <c r="G391" s="320" t="s">
        <v>527</v>
      </c>
      <c r="H391" s="261">
        <v>22</v>
      </c>
      <c r="I391" s="229"/>
      <c r="J391" s="428" t="s">
        <v>389</v>
      </c>
      <c r="K391" s="318" t="s">
        <v>70</v>
      </c>
      <c r="L391" s="337">
        <f t="shared" si="12"/>
        <v>2.013348415798141E-3</v>
      </c>
      <c r="M391" s="229"/>
    </row>
    <row r="392" spans="2:13" x14ac:dyDescent="0.2">
      <c r="B392" s="214" t="s">
        <v>272</v>
      </c>
      <c r="C392" s="206"/>
      <c r="D392" s="185">
        <v>936</v>
      </c>
      <c r="E392" s="229"/>
      <c r="F392" s="229"/>
      <c r="G392" s="229"/>
      <c r="H392" s="229"/>
      <c r="I392" s="229"/>
      <c r="J392" s="428" t="s">
        <v>388</v>
      </c>
      <c r="K392" s="318" t="s">
        <v>70</v>
      </c>
      <c r="L392" s="337">
        <f t="shared" si="12"/>
        <v>2.013348415798141E-3</v>
      </c>
      <c r="M392" s="229"/>
    </row>
    <row r="393" spans="2:13" x14ac:dyDescent="0.2">
      <c r="B393" s="214" t="s">
        <v>343</v>
      </c>
      <c r="C393" s="206"/>
      <c r="D393" s="104">
        <v>936</v>
      </c>
      <c r="E393" s="229"/>
      <c r="F393" s="230"/>
      <c r="G393" s="234"/>
      <c r="H393" s="232"/>
      <c r="I393" s="229"/>
      <c r="J393" s="428" t="s">
        <v>544</v>
      </c>
      <c r="K393" s="318" t="s">
        <v>70</v>
      </c>
      <c r="L393" s="337">
        <f t="shared" si="12"/>
        <v>2.013348415798141E-3</v>
      </c>
      <c r="M393" s="229"/>
    </row>
    <row r="394" spans="2:13" x14ac:dyDescent="0.2">
      <c r="B394" s="214" t="s">
        <v>245</v>
      </c>
      <c r="C394" s="207" t="s">
        <v>15</v>
      </c>
      <c r="D394" s="59">
        <v>0.8</v>
      </c>
      <c r="E394" s="229"/>
      <c r="F394" s="235"/>
      <c r="G394" s="318"/>
      <c r="H394" s="328"/>
      <c r="I394" s="229"/>
      <c r="J394" s="428" t="s">
        <v>543</v>
      </c>
      <c r="K394" s="318" t="s">
        <v>70</v>
      </c>
      <c r="L394" s="337">
        <f t="shared" si="12"/>
        <v>2.013348415798141E-3</v>
      </c>
      <c r="M394" s="229"/>
    </row>
    <row r="395" spans="2:13" x14ac:dyDescent="0.2">
      <c r="B395" s="214"/>
      <c r="C395" s="207" t="s">
        <v>246</v>
      </c>
      <c r="D395" s="180">
        <f>D394/2.54</f>
        <v>0.31496062992125984</v>
      </c>
      <c r="E395" s="229"/>
      <c r="F395" s="235"/>
      <c r="G395" s="268"/>
      <c r="H395" s="250"/>
      <c r="I395" s="229"/>
      <c r="J395" s="428" t="s">
        <v>398</v>
      </c>
      <c r="K395" s="318" t="s">
        <v>70</v>
      </c>
      <c r="L395" s="337">
        <f t="shared" si="12"/>
        <v>9.7607978910231293E-5</v>
      </c>
      <c r="M395" s="229"/>
    </row>
    <row r="396" spans="2:13" x14ac:dyDescent="0.2">
      <c r="B396" s="214" t="s">
        <v>494</v>
      </c>
      <c r="C396" s="208" t="s">
        <v>15</v>
      </c>
      <c r="D396" s="187">
        <f>2.95-0.3</f>
        <v>2.6500000000000004</v>
      </c>
      <c r="E396" s="229"/>
      <c r="F396" s="235"/>
      <c r="G396" s="268"/>
      <c r="H396" s="250"/>
      <c r="I396" s="229"/>
      <c r="J396" s="428" t="s">
        <v>397</v>
      </c>
      <c r="K396" s="318" t="s">
        <v>70</v>
      </c>
      <c r="L396" s="337">
        <f t="shared" si="12"/>
        <v>9.7607978910231293E-5</v>
      </c>
      <c r="M396" s="229"/>
    </row>
    <row r="397" spans="2:13" x14ac:dyDescent="0.2">
      <c r="B397" s="214" t="s">
        <v>91</v>
      </c>
      <c r="C397" s="209" t="s">
        <v>15</v>
      </c>
      <c r="D397" s="187">
        <v>4.2</v>
      </c>
      <c r="E397" s="229"/>
      <c r="F397" s="235"/>
      <c r="G397" s="268"/>
      <c r="H397" s="250"/>
      <c r="I397" s="229"/>
      <c r="J397" s="427" t="s">
        <v>469</v>
      </c>
      <c r="K397" s="318"/>
      <c r="L397" s="270"/>
      <c r="M397" s="229"/>
    </row>
    <row r="398" spans="2:13" x14ac:dyDescent="0.2">
      <c r="B398" s="214"/>
      <c r="C398" s="209" t="s">
        <v>246</v>
      </c>
      <c r="D398" s="180">
        <f>D397/in2cm</f>
        <v>1.6535433070866141</v>
      </c>
      <c r="E398" s="229"/>
      <c r="F398" s="235"/>
      <c r="G398" s="268"/>
      <c r="H398" s="250"/>
      <c r="I398" s="229"/>
      <c r="J398" s="428" t="s">
        <v>507</v>
      </c>
      <c r="K398" s="318" t="s">
        <v>279</v>
      </c>
      <c r="L398" s="430">
        <f t="shared" ref="L398:L408" si="13">L386*L187</f>
        <v>0</v>
      </c>
      <c r="M398" s="229"/>
    </row>
    <row r="399" spans="2:13" x14ac:dyDescent="0.2">
      <c r="B399" s="214" t="s">
        <v>92</v>
      </c>
      <c r="C399" s="209" t="s">
        <v>15</v>
      </c>
      <c r="D399" s="59">
        <f>8.45-0.36</f>
        <v>8.09</v>
      </c>
      <c r="E399" s="229"/>
      <c r="F399" s="235"/>
      <c r="G399" s="268"/>
      <c r="H399" s="250"/>
      <c r="I399" s="229"/>
      <c r="J399" s="428" t="s">
        <v>508</v>
      </c>
      <c r="K399" s="318" t="s">
        <v>279</v>
      </c>
      <c r="L399" s="430">
        <f t="shared" si="13"/>
        <v>3.8180749195140503E-4</v>
      </c>
      <c r="M399" s="229"/>
    </row>
    <row r="400" spans="2:13" x14ac:dyDescent="0.2">
      <c r="B400" s="214"/>
      <c r="C400" s="209" t="s">
        <v>246</v>
      </c>
      <c r="D400" s="180">
        <f>D399/in2cm</f>
        <v>3.1850393700787403</v>
      </c>
      <c r="E400" s="229"/>
      <c r="F400" s="235"/>
      <c r="G400" s="268"/>
      <c r="H400" s="250"/>
      <c r="I400" s="229"/>
      <c r="J400" s="428" t="s">
        <v>553</v>
      </c>
      <c r="K400" s="318" t="s">
        <v>279</v>
      </c>
      <c r="L400" s="430">
        <f t="shared" si="13"/>
        <v>1.4413340794879176E-3</v>
      </c>
      <c r="M400" s="229"/>
    </row>
    <row r="401" spans="2:13" x14ac:dyDescent="0.2">
      <c r="B401" s="214" t="s">
        <v>17</v>
      </c>
      <c r="C401" s="207" t="s">
        <v>68</v>
      </c>
      <c r="D401" s="185">
        <v>0.56000000000000005</v>
      </c>
      <c r="E401" s="229"/>
      <c r="F401" s="235"/>
      <c r="G401" s="268"/>
      <c r="H401" s="250"/>
      <c r="I401" s="229"/>
      <c r="J401" s="428" t="s">
        <v>552</v>
      </c>
      <c r="K401" s="318" t="s">
        <v>279</v>
      </c>
      <c r="L401" s="430">
        <f t="shared" si="13"/>
        <v>1.4413340794879176E-3</v>
      </c>
      <c r="M401" s="229"/>
    </row>
    <row r="402" spans="2:13" x14ac:dyDescent="0.2">
      <c r="B402" s="214"/>
      <c r="C402" s="207" t="s">
        <v>134</v>
      </c>
      <c r="D402" s="180">
        <f>D401*kg2lb</f>
        <v>1.2345872</v>
      </c>
      <c r="E402" s="229"/>
      <c r="F402" s="235"/>
      <c r="G402" s="268"/>
      <c r="H402" s="250"/>
      <c r="I402" s="229"/>
      <c r="J402" s="428" t="s">
        <v>390</v>
      </c>
      <c r="K402" s="318" t="s">
        <v>279</v>
      </c>
      <c r="L402" s="430">
        <f t="shared" si="13"/>
        <v>1.4413340794879176E-3</v>
      </c>
      <c r="M402" s="229"/>
    </row>
    <row r="403" spans="2:13" x14ac:dyDescent="0.2">
      <c r="B403" s="214" t="s">
        <v>32</v>
      </c>
      <c r="C403" s="207" t="s">
        <v>277</v>
      </c>
      <c r="D403" s="185">
        <v>9.1</v>
      </c>
      <c r="E403" s="229"/>
      <c r="F403" s="235"/>
      <c r="G403" s="268"/>
      <c r="H403" s="250"/>
      <c r="I403" s="229"/>
      <c r="J403" s="428" t="s">
        <v>389</v>
      </c>
      <c r="K403" s="318" t="s">
        <v>279</v>
      </c>
      <c r="L403" s="430">
        <f t="shared" si="13"/>
        <v>7.2066703974395881E-4</v>
      </c>
      <c r="M403" s="229"/>
    </row>
    <row r="404" spans="2:13" x14ac:dyDescent="0.2">
      <c r="B404" s="214"/>
      <c r="C404" s="207" t="s">
        <v>174</v>
      </c>
      <c r="D404" s="181">
        <f>D403*gcs2kgms</f>
        <v>9.1000000000000008E-7</v>
      </c>
      <c r="E404" s="229"/>
      <c r="F404" s="235"/>
      <c r="G404" s="268"/>
      <c r="H404" s="250"/>
      <c r="I404" s="229"/>
      <c r="J404" s="428" t="s">
        <v>388</v>
      </c>
      <c r="K404" s="318" t="s">
        <v>279</v>
      </c>
      <c r="L404" s="430">
        <f t="shared" si="13"/>
        <v>0</v>
      </c>
      <c r="M404" s="229"/>
    </row>
    <row r="405" spans="2:13" x14ac:dyDescent="0.2">
      <c r="B405" s="214" t="s">
        <v>344</v>
      </c>
      <c r="C405" s="210" t="s">
        <v>70</v>
      </c>
      <c r="D405" s="187">
        <v>150</v>
      </c>
      <c r="E405" s="229"/>
      <c r="F405" s="235"/>
      <c r="G405" s="268"/>
      <c r="H405" s="250"/>
      <c r="I405" s="229"/>
      <c r="J405" s="428" t="s">
        <v>544</v>
      </c>
      <c r="K405" s="318" t="s">
        <v>279</v>
      </c>
      <c r="L405" s="430">
        <f t="shared" si="13"/>
        <v>0</v>
      </c>
      <c r="M405" s="229"/>
    </row>
    <row r="406" spans="2:13" x14ac:dyDescent="0.2">
      <c r="B406" s="214" t="s">
        <v>345</v>
      </c>
      <c r="C406" s="210" t="s">
        <v>70</v>
      </c>
      <c r="D406" s="187">
        <v>300</v>
      </c>
      <c r="E406" s="229"/>
      <c r="F406" s="235"/>
      <c r="G406" s="268"/>
      <c r="H406" s="250"/>
      <c r="I406" s="229"/>
      <c r="J406" s="428" t="s">
        <v>543</v>
      </c>
      <c r="K406" s="318" t="s">
        <v>279</v>
      </c>
      <c r="L406" s="430">
        <f t="shared" si="13"/>
        <v>0</v>
      </c>
      <c r="M406" s="229"/>
    </row>
    <row r="407" spans="2:13" x14ac:dyDescent="0.2">
      <c r="B407" s="214" t="s">
        <v>346</v>
      </c>
      <c r="C407" s="206"/>
      <c r="D407" s="59">
        <v>4</v>
      </c>
      <c r="E407" s="229"/>
      <c r="F407" s="235"/>
      <c r="G407" s="268"/>
      <c r="H407" s="250"/>
      <c r="I407" s="229"/>
      <c r="J407" s="428" t="s">
        <v>398</v>
      </c>
      <c r="K407" s="318" t="s">
        <v>279</v>
      </c>
      <c r="L407" s="430">
        <f t="shared" si="13"/>
        <v>5.2407362281163959E-5</v>
      </c>
      <c r="M407" s="229"/>
    </row>
    <row r="408" spans="2:13" x14ac:dyDescent="0.2">
      <c r="B408" s="214" t="s">
        <v>348</v>
      </c>
      <c r="C408" s="210" t="s">
        <v>349</v>
      </c>
      <c r="D408" s="187">
        <v>1</v>
      </c>
      <c r="E408" s="229"/>
      <c r="F408" s="235"/>
      <c r="G408" s="268"/>
      <c r="H408" s="250"/>
      <c r="I408" s="229"/>
      <c r="J408" s="428" t="s">
        <v>397</v>
      </c>
      <c r="K408" s="318" t="s">
        <v>279</v>
      </c>
      <c r="L408" s="430">
        <f t="shared" si="13"/>
        <v>1.7469120760387989E-5</v>
      </c>
      <c r="M408" s="229"/>
    </row>
    <row r="409" spans="2:13" x14ac:dyDescent="0.2">
      <c r="B409" s="214" t="s">
        <v>327</v>
      </c>
      <c r="C409" s="206"/>
      <c r="D409" s="59">
        <v>0.64</v>
      </c>
      <c r="E409" s="229"/>
      <c r="F409" s="235"/>
      <c r="G409" s="268"/>
      <c r="H409" s="250"/>
      <c r="I409" s="229"/>
      <c r="J409" s="294" t="s">
        <v>636</v>
      </c>
      <c r="K409" s="318" t="s">
        <v>279</v>
      </c>
      <c r="L409" s="431">
        <f>SUM(L398:L408)</f>
        <v>5.4963532532006686E-3</v>
      </c>
      <c r="M409" s="229"/>
    </row>
    <row r="410" spans="2:13" x14ac:dyDescent="0.2">
      <c r="B410" s="214" t="s">
        <v>296</v>
      </c>
      <c r="C410" s="207" t="s">
        <v>176</v>
      </c>
      <c r="D410" s="187">
        <v>8000</v>
      </c>
      <c r="E410" s="229"/>
      <c r="F410" s="235"/>
      <c r="G410" s="268"/>
      <c r="H410" s="250"/>
      <c r="I410" s="229"/>
      <c r="J410" s="294" t="s">
        <v>630</v>
      </c>
      <c r="K410" s="318"/>
      <c r="L410" s="368">
        <f>$L$373</f>
        <v>1</v>
      </c>
      <c r="M410" s="229"/>
    </row>
    <row r="411" spans="2:13" x14ac:dyDescent="0.2">
      <c r="B411" s="214" t="s">
        <v>351</v>
      </c>
      <c r="C411" s="208" t="s">
        <v>279</v>
      </c>
      <c r="D411" s="187">
        <v>15</v>
      </c>
      <c r="E411" s="229"/>
      <c r="F411" s="235"/>
      <c r="G411" s="268"/>
      <c r="H411" s="250"/>
      <c r="I411" s="229"/>
      <c r="J411" s="294" t="s">
        <v>631</v>
      </c>
      <c r="K411" s="318"/>
      <c r="L411" s="362">
        <f>L410*L409</f>
        <v>5.4963532532006686E-3</v>
      </c>
      <c r="M411" s="229"/>
    </row>
    <row r="412" spans="2:13" x14ac:dyDescent="0.2">
      <c r="B412" s="214" t="s">
        <v>350</v>
      </c>
      <c r="C412" s="208" t="s">
        <v>279</v>
      </c>
      <c r="D412" s="187">
        <v>22.5</v>
      </c>
      <c r="E412" s="229"/>
      <c r="F412" s="235"/>
      <c r="G412" s="268"/>
      <c r="H412" s="250"/>
      <c r="I412" s="229"/>
      <c r="J412" s="294" t="s">
        <v>628</v>
      </c>
      <c r="K412" s="318" t="s">
        <v>279</v>
      </c>
      <c r="L412" s="431">
        <f>L411+L409</f>
        <v>1.0992706506401337E-2</v>
      </c>
      <c r="M412" s="229"/>
    </row>
    <row r="413" spans="2:13" x14ac:dyDescent="0.2">
      <c r="B413" s="214" t="s">
        <v>352</v>
      </c>
      <c r="C413" s="208" t="s">
        <v>279</v>
      </c>
      <c r="D413" s="182">
        <f>D393*D409*$H$271/1000</f>
        <v>152.75519999999997</v>
      </c>
      <c r="E413" s="229"/>
      <c r="F413" s="235"/>
      <c r="G413" s="268"/>
      <c r="H413" s="250"/>
      <c r="I413" s="229"/>
      <c r="J413" s="294" t="s">
        <v>48</v>
      </c>
      <c r="K413" s="318"/>
      <c r="L413" s="270">
        <v>2</v>
      </c>
      <c r="M413" s="229"/>
    </row>
    <row r="414" spans="2:13" x14ac:dyDescent="0.2">
      <c r="B414" s="214" t="s">
        <v>692</v>
      </c>
      <c r="C414" s="208" t="s">
        <v>255</v>
      </c>
      <c r="D414" s="182">
        <f>$H$283</f>
        <v>18.422400000000003</v>
      </c>
      <c r="E414" s="229"/>
      <c r="F414" s="235"/>
      <c r="G414" s="268"/>
      <c r="H414" s="250"/>
      <c r="I414" s="229"/>
      <c r="J414" s="235" t="s">
        <v>627</v>
      </c>
      <c r="K414" s="318" t="s">
        <v>279</v>
      </c>
      <c r="L414" s="432">
        <f>L413*L412</f>
        <v>2.1985413012802674E-2</v>
      </c>
      <c r="M414" s="229"/>
    </row>
    <row r="415" spans="2:13" x14ac:dyDescent="0.2">
      <c r="B415" s="214" t="s">
        <v>693</v>
      </c>
      <c r="C415" s="208" t="s">
        <v>255</v>
      </c>
      <c r="D415" s="182">
        <f>D414*D409</f>
        <v>11.790336000000002</v>
      </c>
      <c r="E415" s="229"/>
      <c r="F415" s="235"/>
      <c r="G415" s="268"/>
      <c r="H415" s="250"/>
      <c r="I415" s="229"/>
      <c r="J415" s="333" t="s">
        <v>613</v>
      </c>
      <c r="K415" s="316"/>
      <c r="L415" s="312"/>
      <c r="M415" s="229"/>
    </row>
    <row r="416" spans="2:13" x14ac:dyDescent="0.2">
      <c r="B416" s="214" t="s">
        <v>694</v>
      </c>
      <c r="C416" s="208" t="s">
        <v>177</v>
      </c>
      <c r="D416" s="182">
        <f>$H$285</f>
        <v>638.79050622992452</v>
      </c>
      <c r="E416" s="229"/>
      <c r="F416" s="235"/>
      <c r="G416" s="268"/>
      <c r="H416" s="250"/>
      <c r="I416" s="229"/>
      <c r="J416" s="294" t="s">
        <v>446</v>
      </c>
      <c r="K416" s="318" t="s">
        <v>68</v>
      </c>
      <c r="L416" s="433">
        <f>L310</f>
        <v>15.4275</v>
      </c>
      <c r="M416" s="229"/>
    </row>
    <row r="417" spans="2:13" x14ac:dyDescent="0.2">
      <c r="B417" s="214" t="s">
        <v>695</v>
      </c>
      <c r="C417" s="208" t="s">
        <v>177</v>
      </c>
      <c r="D417" s="188">
        <f>D416/D393</f>
        <v>0.68246848956188522</v>
      </c>
      <c r="E417" s="229"/>
      <c r="F417" s="235"/>
      <c r="G417" s="268"/>
      <c r="H417" s="250"/>
      <c r="I417" s="229"/>
      <c r="J417" s="294" t="s">
        <v>614</v>
      </c>
      <c r="K417" s="318" t="s">
        <v>68</v>
      </c>
      <c r="L417" s="433">
        <f>L312</f>
        <v>23.141249999999999</v>
      </c>
      <c r="M417" s="229"/>
    </row>
    <row r="418" spans="2:13" x14ac:dyDescent="0.2">
      <c r="B418" s="215" t="s">
        <v>263</v>
      </c>
      <c r="C418" s="208" t="s">
        <v>279</v>
      </c>
      <c r="D418" s="182">
        <f>D415/D417</f>
        <v>17.276015201183689</v>
      </c>
      <c r="E418" s="229"/>
      <c r="F418" s="235"/>
      <c r="G418" s="268"/>
      <c r="H418" s="250"/>
      <c r="I418" s="229"/>
      <c r="J418" s="294" t="s">
        <v>621</v>
      </c>
      <c r="K418" s="318" t="s">
        <v>458</v>
      </c>
      <c r="L418" s="434">
        <f>L296</f>
        <v>8</v>
      </c>
      <c r="M418" s="229"/>
    </row>
    <row r="419" spans="2:13" x14ac:dyDescent="0.2">
      <c r="B419" s="215" t="s">
        <v>697</v>
      </c>
      <c r="C419" s="208" t="s">
        <v>279</v>
      </c>
      <c r="D419" s="189">
        <f>$H$223</f>
        <v>23.759134414957959</v>
      </c>
      <c r="E419" s="229"/>
      <c r="F419" s="235"/>
      <c r="G419" s="268"/>
      <c r="H419" s="250"/>
      <c r="I419" s="229"/>
      <c r="J419" s="294"/>
      <c r="K419" s="318" t="s">
        <v>624</v>
      </c>
      <c r="L419" s="328">
        <f>L418/100</f>
        <v>0.08</v>
      </c>
      <c r="M419" s="229"/>
    </row>
    <row r="420" spans="2:13" x14ac:dyDescent="0.2">
      <c r="B420" s="214" t="s">
        <v>620</v>
      </c>
      <c r="C420" s="206"/>
      <c r="D420" s="201">
        <f>D418/$L$454</f>
        <v>0.72713150653785119</v>
      </c>
      <c r="E420" s="229"/>
      <c r="F420" s="235"/>
      <c r="G420" s="268"/>
      <c r="H420" s="250"/>
      <c r="I420" s="229"/>
      <c r="J420" s="294" t="s">
        <v>626</v>
      </c>
      <c r="K420" s="318" t="s">
        <v>333</v>
      </c>
      <c r="L420" s="270">
        <v>10</v>
      </c>
      <c r="M420" s="229"/>
    </row>
    <row r="421" spans="2:13" x14ac:dyDescent="0.2">
      <c r="B421" s="216" t="s">
        <v>347</v>
      </c>
      <c r="C421" s="217" t="s">
        <v>15</v>
      </c>
      <c r="D421" s="166">
        <v>9.74</v>
      </c>
      <c r="E421" s="229"/>
      <c r="F421" s="235"/>
      <c r="G421" s="268"/>
      <c r="H421" s="250"/>
      <c r="I421" s="229"/>
      <c r="J421" s="294" t="s">
        <v>623</v>
      </c>
      <c r="K421" s="318" t="s">
        <v>460</v>
      </c>
      <c r="L421" s="361">
        <f>(L419-0)/L420</f>
        <v>8.0000000000000002E-3</v>
      </c>
      <c r="M421" s="229"/>
    </row>
    <row r="422" spans="2:13" x14ac:dyDescent="0.2">
      <c r="B422" s="5"/>
      <c r="C422" s="5"/>
      <c r="D422" s="5"/>
      <c r="E422" s="229"/>
      <c r="F422" s="235"/>
      <c r="G422" s="268"/>
      <c r="H422" s="250"/>
      <c r="I422" s="229"/>
      <c r="J422" s="294"/>
      <c r="K422" s="318" t="s">
        <v>466</v>
      </c>
      <c r="L422" s="361">
        <f>L421*100</f>
        <v>0.8</v>
      </c>
      <c r="M422" s="229"/>
    </row>
    <row r="423" spans="2:13" x14ac:dyDescent="0.2">
      <c r="B423" s="113"/>
      <c r="C423" s="168"/>
      <c r="D423" s="167"/>
      <c r="E423" s="229"/>
      <c r="F423" s="235"/>
      <c r="G423" s="268"/>
      <c r="H423" s="250"/>
      <c r="I423" s="229"/>
      <c r="J423" s="427" t="s">
        <v>625</v>
      </c>
      <c r="K423" s="318"/>
      <c r="L423" s="434"/>
      <c r="M423" s="229"/>
    </row>
    <row r="424" spans="2:13" x14ac:dyDescent="0.2">
      <c r="B424" s="18"/>
      <c r="C424" s="19"/>
      <c r="D424" s="22"/>
      <c r="E424" s="229"/>
      <c r="F424" s="235"/>
      <c r="G424" s="268"/>
      <c r="H424" s="250"/>
      <c r="I424" s="229"/>
      <c r="J424" s="428" t="s">
        <v>507</v>
      </c>
      <c r="K424" s="318" t="s">
        <v>70</v>
      </c>
      <c r="L424" s="337">
        <f t="shared" ref="L424:L434" si="14">L144*$L$421</f>
        <v>2.4E-2</v>
      </c>
      <c r="M424" s="229"/>
    </row>
    <row r="425" spans="2:13" x14ac:dyDescent="0.2">
      <c r="B425" s="18"/>
      <c r="C425" s="19"/>
      <c r="D425" s="22"/>
      <c r="E425" s="229"/>
      <c r="F425" s="235"/>
      <c r="G425" s="268"/>
      <c r="H425" s="250"/>
      <c r="I425" s="229"/>
      <c r="J425" s="428" t="s">
        <v>508</v>
      </c>
      <c r="K425" s="318" t="s">
        <v>70</v>
      </c>
      <c r="L425" s="337">
        <f t="shared" si="14"/>
        <v>1.6000000000000001E-3</v>
      </c>
      <c r="M425" s="229"/>
    </row>
    <row r="426" spans="2:13" x14ac:dyDescent="0.2">
      <c r="B426" s="18"/>
      <c r="C426" s="19"/>
      <c r="D426" s="22"/>
      <c r="E426" s="229"/>
      <c r="F426" s="235"/>
      <c r="G426" s="268"/>
      <c r="H426" s="250"/>
      <c r="I426" s="229"/>
      <c r="J426" s="428" t="s">
        <v>553</v>
      </c>
      <c r="K426" s="318" t="s">
        <v>70</v>
      </c>
      <c r="L426" s="337">
        <f t="shared" si="14"/>
        <v>6.0400452473944235E-3</v>
      </c>
      <c r="M426" s="229"/>
    </row>
    <row r="427" spans="2:13" x14ac:dyDescent="0.2">
      <c r="B427" s="18"/>
      <c r="C427" s="19"/>
      <c r="D427" s="22"/>
      <c r="E427" s="229"/>
      <c r="F427" s="235"/>
      <c r="G427" s="268"/>
      <c r="H427" s="250"/>
      <c r="I427" s="229"/>
      <c r="J427" s="428" t="s">
        <v>552</v>
      </c>
      <c r="K427" s="318" t="s">
        <v>70</v>
      </c>
      <c r="L427" s="337">
        <f t="shared" si="14"/>
        <v>6.0400452473944235E-3</v>
      </c>
      <c r="M427" s="229"/>
    </row>
    <row r="428" spans="2:13" x14ac:dyDescent="0.2">
      <c r="B428" s="18"/>
      <c r="C428" s="19"/>
      <c r="D428" s="22"/>
      <c r="E428" s="229"/>
      <c r="F428" s="235"/>
      <c r="G428" s="268"/>
      <c r="H428" s="250"/>
      <c r="I428" s="229"/>
      <c r="J428" s="428" t="s">
        <v>390</v>
      </c>
      <c r="K428" s="318" t="s">
        <v>70</v>
      </c>
      <c r="L428" s="337">
        <f t="shared" si="14"/>
        <v>6.0400452473944235E-3</v>
      </c>
      <c r="M428" s="229"/>
    </row>
    <row r="429" spans="2:13" x14ac:dyDescent="0.2">
      <c r="B429" s="18"/>
      <c r="C429" s="19"/>
      <c r="D429" s="22"/>
      <c r="E429" s="229"/>
      <c r="F429" s="235"/>
      <c r="G429" s="268"/>
      <c r="H429" s="250"/>
      <c r="I429" s="229"/>
      <c r="J429" s="428" t="s">
        <v>389</v>
      </c>
      <c r="K429" s="318" t="s">
        <v>70</v>
      </c>
      <c r="L429" s="337">
        <f t="shared" si="14"/>
        <v>6.0400452473944235E-3</v>
      </c>
      <c r="M429" s="229"/>
    </row>
    <row r="430" spans="2:13" x14ac:dyDescent="0.2">
      <c r="B430" s="18"/>
      <c r="C430" s="19"/>
      <c r="D430" s="22"/>
      <c r="E430" s="229"/>
      <c r="F430" s="235"/>
      <c r="G430" s="268"/>
      <c r="H430" s="250"/>
      <c r="I430" s="229"/>
      <c r="J430" s="428" t="s">
        <v>388</v>
      </c>
      <c r="K430" s="318" t="s">
        <v>70</v>
      </c>
      <c r="L430" s="337">
        <f t="shared" si="14"/>
        <v>6.0400452473944235E-3</v>
      </c>
      <c r="M430" s="229"/>
    </row>
    <row r="431" spans="2:13" x14ac:dyDescent="0.2">
      <c r="B431" s="18"/>
      <c r="C431" s="19"/>
      <c r="D431" s="22"/>
      <c r="E431" s="229"/>
      <c r="F431" s="235"/>
      <c r="G431" s="268"/>
      <c r="H431" s="250"/>
      <c r="I431" s="229"/>
      <c r="J431" s="428" t="s">
        <v>544</v>
      </c>
      <c r="K431" s="318" t="s">
        <v>70</v>
      </c>
      <c r="L431" s="337">
        <f t="shared" si="14"/>
        <v>6.0400452473944235E-3</v>
      </c>
      <c r="M431" s="229"/>
    </row>
    <row r="432" spans="2:13" x14ac:dyDescent="0.2">
      <c r="B432" s="18"/>
      <c r="C432" s="19"/>
      <c r="D432" s="22"/>
      <c r="E432" s="229"/>
      <c r="F432" s="235"/>
      <c r="G432" s="268"/>
      <c r="H432" s="250"/>
      <c r="I432" s="229"/>
      <c r="J432" s="428" t="s">
        <v>543</v>
      </c>
      <c r="K432" s="318" t="s">
        <v>70</v>
      </c>
      <c r="L432" s="337">
        <f t="shared" si="14"/>
        <v>6.0400452473944235E-3</v>
      </c>
      <c r="M432" s="229"/>
    </row>
    <row r="433" spans="2:13" x14ac:dyDescent="0.2">
      <c r="B433" s="18"/>
      <c r="C433" s="19"/>
      <c r="D433" s="22"/>
      <c r="E433" s="229"/>
      <c r="F433" s="235"/>
      <c r="G433" s="268"/>
      <c r="H433" s="250"/>
      <c r="I433" s="229"/>
      <c r="J433" s="428" t="s">
        <v>398</v>
      </c>
      <c r="K433" s="318" t="s">
        <v>70</v>
      </c>
      <c r="L433" s="337">
        <f t="shared" si="14"/>
        <v>2.9282393673069393E-4</v>
      </c>
      <c r="M433" s="229"/>
    </row>
    <row r="434" spans="2:13" x14ac:dyDescent="0.2">
      <c r="B434" s="18"/>
      <c r="C434" s="19"/>
      <c r="D434" s="22"/>
      <c r="E434" s="229"/>
      <c r="F434" s="235"/>
      <c r="G434" s="268"/>
      <c r="H434" s="250"/>
      <c r="I434" s="229"/>
      <c r="J434" s="428" t="s">
        <v>397</v>
      </c>
      <c r="K434" s="318" t="s">
        <v>70</v>
      </c>
      <c r="L434" s="337">
        <f t="shared" si="14"/>
        <v>2.9282393673069393E-4</v>
      </c>
      <c r="M434" s="229"/>
    </row>
    <row r="435" spans="2:13" x14ac:dyDescent="0.2">
      <c r="B435" s="18"/>
      <c r="C435" s="19"/>
      <c r="D435" s="22"/>
      <c r="E435" s="229"/>
      <c r="F435" s="235"/>
      <c r="G435" s="268"/>
      <c r="H435" s="250"/>
      <c r="I435" s="229"/>
      <c r="J435" s="427" t="s">
        <v>469</v>
      </c>
      <c r="K435" s="318"/>
      <c r="L435" s="434"/>
      <c r="M435" s="229"/>
    </row>
    <row r="436" spans="2:13" x14ac:dyDescent="0.2">
      <c r="B436" s="18"/>
      <c r="C436" s="19"/>
      <c r="D436" s="22"/>
      <c r="E436" s="229"/>
      <c r="F436" s="235"/>
      <c r="G436" s="268"/>
      <c r="H436" s="250"/>
      <c r="I436" s="229"/>
      <c r="J436" s="428" t="s">
        <v>507</v>
      </c>
      <c r="K436" s="318" t="s">
        <v>279</v>
      </c>
      <c r="L436" s="430">
        <f t="shared" ref="L436:L446" si="15">L424*L187</f>
        <v>1.9581337137813223E-2</v>
      </c>
      <c r="M436" s="229"/>
    </row>
    <row r="437" spans="2:13" x14ac:dyDescent="0.2">
      <c r="B437" s="18"/>
      <c r="C437" s="19"/>
      <c r="D437" s="22"/>
      <c r="E437" s="229"/>
      <c r="F437" s="235"/>
      <c r="G437" s="268"/>
      <c r="H437" s="250"/>
      <c r="I437" s="229"/>
      <c r="J437" s="428" t="s">
        <v>508</v>
      </c>
      <c r="K437" s="318" t="s">
        <v>279</v>
      </c>
      <c r="L437" s="430">
        <f t="shared" si="15"/>
        <v>1.1454224758542151E-3</v>
      </c>
      <c r="M437" s="229"/>
    </row>
    <row r="438" spans="2:13" x14ac:dyDescent="0.2">
      <c r="B438" s="18"/>
      <c r="C438" s="19"/>
      <c r="D438" s="22"/>
      <c r="E438" s="229"/>
      <c r="F438" s="235"/>
      <c r="G438" s="268"/>
      <c r="H438" s="250"/>
      <c r="I438" s="229"/>
      <c r="J438" s="428" t="s">
        <v>553</v>
      </c>
      <c r="K438" s="318" t="s">
        <v>279</v>
      </c>
      <c r="L438" s="430">
        <f t="shared" si="15"/>
        <v>4.3240022384637535E-3</v>
      </c>
      <c r="M438" s="229"/>
    </row>
    <row r="439" spans="2:13" x14ac:dyDescent="0.2">
      <c r="B439" s="18"/>
      <c r="C439" s="19"/>
      <c r="D439" s="22"/>
      <c r="E439" s="229"/>
      <c r="F439" s="235"/>
      <c r="G439" s="268"/>
      <c r="H439" s="250"/>
      <c r="I439" s="229"/>
      <c r="J439" s="428" t="s">
        <v>552</v>
      </c>
      <c r="K439" s="318" t="s">
        <v>279</v>
      </c>
      <c r="L439" s="430">
        <f t="shared" si="15"/>
        <v>4.3240022384637535E-3</v>
      </c>
      <c r="M439" s="229"/>
    </row>
    <row r="440" spans="2:13" x14ac:dyDescent="0.2">
      <c r="B440" s="18"/>
      <c r="C440" s="19"/>
      <c r="D440" s="22"/>
      <c r="E440" s="229"/>
      <c r="F440" s="235"/>
      <c r="G440" s="268"/>
      <c r="H440" s="250"/>
      <c r="I440" s="229"/>
      <c r="J440" s="428" t="s">
        <v>390</v>
      </c>
      <c r="K440" s="318" t="s">
        <v>279</v>
      </c>
      <c r="L440" s="430">
        <f t="shared" si="15"/>
        <v>4.3240022384637535E-3</v>
      </c>
      <c r="M440" s="229"/>
    </row>
    <row r="441" spans="2:13" x14ac:dyDescent="0.2">
      <c r="B441" s="18"/>
      <c r="C441" s="19"/>
      <c r="D441" s="22"/>
      <c r="E441" s="229"/>
      <c r="F441" s="235"/>
      <c r="G441" s="268"/>
      <c r="H441" s="250"/>
      <c r="I441" s="229"/>
      <c r="J441" s="428" t="s">
        <v>389</v>
      </c>
      <c r="K441" s="318" t="s">
        <v>279</v>
      </c>
      <c r="L441" s="430">
        <f t="shared" si="15"/>
        <v>2.1620011192318767E-3</v>
      </c>
      <c r="M441" s="229"/>
    </row>
    <row r="442" spans="2:13" x14ac:dyDescent="0.2">
      <c r="B442" s="18"/>
      <c r="C442" s="19"/>
      <c r="D442" s="22"/>
      <c r="E442" s="229"/>
      <c r="F442" s="235"/>
      <c r="G442" s="268"/>
      <c r="H442" s="250"/>
      <c r="I442" s="229"/>
      <c r="J442" s="428" t="s">
        <v>388</v>
      </c>
      <c r="K442" s="318" t="s">
        <v>279</v>
      </c>
      <c r="L442" s="430">
        <f t="shared" si="15"/>
        <v>0</v>
      </c>
      <c r="M442" s="229"/>
    </row>
    <row r="443" spans="2:13" x14ac:dyDescent="0.2">
      <c r="B443" s="18"/>
      <c r="C443" s="19"/>
      <c r="D443" s="22"/>
      <c r="E443" s="229"/>
      <c r="F443" s="235"/>
      <c r="G443" s="268"/>
      <c r="H443" s="250"/>
      <c r="I443" s="229"/>
      <c r="J443" s="428" t="s">
        <v>544</v>
      </c>
      <c r="K443" s="318" t="s">
        <v>279</v>
      </c>
      <c r="L443" s="430">
        <f t="shared" si="15"/>
        <v>0</v>
      </c>
      <c r="M443" s="229"/>
    </row>
    <row r="444" spans="2:13" x14ac:dyDescent="0.2">
      <c r="B444" s="18"/>
      <c r="C444" s="19"/>
      <c r="D444" s="22"/>
      <c r="E444" s="229"/>
      <c r="F444" s="235"/>
      <c r="G444" s="268"/>
      <c r="H444" s="250"/>
      <c r="I444" s="229"/>
      <c r="J444" s="428" t="s">
        <v>543</v>
      </c>
      <c r="K444" s="318" t="s">
        <v>279</v>
      </c>
      <c r="L444" s="430">
        <f t="shared" si="15"/>
        <v>0</v>
      </c>
      <c r="M444" s="229"/>
    </row>
    <row r="445" spans="2:13" x14ac:dyDescent="0.2">
      <c r="B445" s="18"/>
      <c r="C445" s="19"/>
      <c r="D445" s="22"/>
      <c r="E445" s="229"/>
      <c r="F445" s="235"/>
      <c r="G445" s="268"/>
      <c r="H445" s="250"/>
      <c r="I445" s="229"/>
      <c r="J445" s="428" t="s">
        <v>398</v>
      </c>
      <c r="K445" s="318" t="s">
        <v>279</v>
      </c>
      <c r="L445" s="430">
        <f t="shared" si="15"/>
        <v>1.5722208684349192E-4</v>
      </c>
      <c r="M445" s="229"/>
    </row>
    <row r="446" spans="2:13" x14ac:dyDescent="0.2">
      <c r="B446" s="18"/>
      <c r="C446" s="19"/>
      <c r="D446" s="22"/>
      <c r="E446" s="229"/>
      <c r="F446" s="235"/>
      <c r="G446" s="268"/>
      <c r="H446" s="250"/>
      <c r="I446" s="229"/>
      <c r="J446" s="428" t="s">
        <v>397</v>
      </c>
      <c r="K446" s="318" t="s">
        <v>279</v>
      </c>
      <c r="L446" s="430">
        <f t="shared" si="15"/>
        <v>5.2407362281163979E-5</v>
      </c>
      <c r="M446" s="229"/>
    </row>
    <row r="447" spans="2:13" x14ac:dyDescent="0.2">
      <c r="B447" s="18"/>
      <c r="C447" s="19"/>
      <c r="D447" s="22"/>
      <c r="E447" s="229"/>
      <c r="F447" s="235"/>
      <c r="G447" s="268"/>
      <c r="H447" s="250"/>
      <c r="I447" s="229"/>
      <c r="J447" s="294" t="s">
        <v>636</v>
      </c>
      <c r="K447" s="318" t="s">
        <v>279</v>
      </c>
      <c r="L447" s="431">
        <f>SUM(L436:L446)</f>
        <v>3.6070396897415223E-2</v>
      </c>
      <c r="M447" s="229"/>
    </row>
    <row r="448" spans="2:13" x14ac:dyDescent="0.2">
      <c r="B448" s="18"/>
      <c r="C448" s="19"/>
      <c r="D448" s="22"/>
      <c r="E448" s="229"/>
      <c r="F448" s="235"/>
      <c r="G448" s="268"/>
      <c r="H448" s="250"/>
      <c r="I448" s="229"/>
      <c r="J448" s="294" t="s">
        <v>630</v>
      </c>
      <c r="K448" s="318"/>
      <c r="L448" s="368">
        <f>$L$373</f>
        <v>1</v>
      </c>
      <c r="M448" s="229"/>
    </row>
    <row r="449" spans="2:13" x14ac:dyDescent="0.2">
      <c r="B449" s="18"/>
      <c r="C449" s="19"/>
      <c r="D449" s="22"/>
      <c r="E449" s="229"/>
      <c r="F449" s="235"/>
      <c r="G449" s="268"/>
      <c r="H449" s="250"/>
      <c r="I449" s="229"/>
      <c r="J449" s="294" t="s">
        <v>631</v>
      </c>
      <c r="K449" s="318"/>
      <c r="L449" s="362">
        <f>L448*L447</f>
        <v>3.6070396897415223E-2</v>
      </c>
      <c r="M449" s="229"/>
    </row>
    <row r="450" spans="2:13" x14ac:dyDescent="0.2">
      <c r="B450" s="18"/>
      <c r="C450" s="19"/>
      <c r="D450" s="22"/>
      <c r="E450" s="229"/>
      <c r="F450" s="235"/>
      <c r="G450" s="268"/>
      <c r="H450" s="250"/>
      <c r="I450" s="229"/>
      <c r="J450" s="294" t="s">
        <v>628</v>
      </c>
      <c r="K450" s="318" t="s">
        <v>279</v>
      </c>
      <c r="L450" s="431">
        <f>L449+L447</f>
        <v>7.2140793794830446E-2</v>
      </c>
      <c r="M450" s="229"/>
    </row>
    <row r="451" spans="2:13" x14ac:dyDescent="0.2">
      <c r="B451" s="18"/>
      <c r="C451" s="19"/>
      <c r="D451" s="22"/>
      <c r="E451" s="229"/>
      <c r="F451" s="235"/>
      <c r="G451" s="268"/>
      <c r="H451" s="250"/>
      <c r="I451" s="229"/>
      <c r="J451" s="294" t="s">
        <v>48</v>
      </c>
      <c r="K451" s="318"/>
      <c r="L451" s="270">
        <v>2</v>
      </c>
      <c r="M451" s="229"/>
    </row>
    <row r="452" spans="2:13" x14ac:dyDescent="0.2">
      <c r="B452" s="18"/>
      <c r="C452" s="19"/>
      <c r="D452" s="22"/>
      <c r="E452" s="229"/>
      <c r="F452" s="235"/>
      <c r="G452" s="268"/>
      <c r="H452" s="250"/>
      <c r="I452" s="229"/>
      <c r="J452" s="235" t="s">
        <v>627</v>
      </c>
      <c r="K452" s="318" t="s">
        <v>279</v>
      </c>
      <c r="L452" s="432">
        <f>L451*L450</f>
        <v>0.14428158758966089</v>
      </c>
      <c r="M452" s="229"/>
    </row>
    <row r="453" spans="2:13" x14ac:dyDescent="0.2">
      <c r="B453" s="18"/>
      <c r="C453" s="19"/>
      <c r="D453" s="22"/>
      <c r="E453" s="229"/>
      <c r="F453" s="235"/>
      <c r="G453" s="268"/>
      <c r="H453" s="250"/>
      <c r="I453" s="229"/>
      <c r="J453" s="333" t="s">
        <v>615</v>
      </c>
      <c r="K453" s="316"/>
      <c r="L453" s="312"/>
      <c r="M453" s="229"/>
    </row>
    <row r="454" spans="2:13" x14ac:dyDescent="0.2">
      <c r="B454" s="18"/>
      <c r="C454" s="19"/>
      <c r="D454" s="22"/>
      <c r="E454" s="229"/>
      <c r="F454" s="235"/>
      <c r="G454" s="268"/>
      <c r="H454" s="250"/>
      <c r="I454" s="229"/>
      <c r="J454" s="391" t="s">
        <v>616</v>
      </c>
      <c r="K454" s="318" t="s">
        <v>279</v>
      </c>
      <c r="L454" s="292">
        <f>MAX(L326,L378,L414,L452)</f>
        <v>23.759134414957959</v>
      </c>
      <c r="M454" s="229"/>
    </row>
    <row r="455" spans="2:13" x14ac:dyDescent="0.2">
      <c r="B455" s="18"/>
      <c r="C455" s="19"/>
      <c r="D455" s="22"/>
      <c r="E455" s="229"/>
      <c r="F455" s="235"/>
      <c r="G455" s="268"/>
      <c r="H455" s="250"/>
      <c r="I455" s="229"/>
      <c r="J455" s="333" t="s">
        <v>376</v>
      </c>
      <c r="K455" s="316"/>
      <c r="L455" s="312"/>
      <c r="M455" s="229"/>
    </row>
    <row r="456" spans="2:13" x14ac:dyDescent="0.2">
      <c r="B456" s="18"/>
      <c r="C456" s="19"/>
      <c r="D456" s="22"/>
      <c r="E456" s="229"/>
      <c r="F456" s="235"/>
      <c r="G456" s="268"/>
      <c r="H456" s="250"/>
      <c r="I456" s="229"/>
      <c r="J456" s="235" t="s">
        <v>605</v>
      </c>
      <c r="K456" s="318" t="s">
        <v>279</v>
      </c>
      <c r="L456" s="270">
        <v>2</v>
      </c>
      <c r="M456" s="229"/>
    </row>
    <row r="457" spans="2:13" x14ac:dyDescent="0.2">
      <c r="B457" s="18"/>
      <c r="C457" s="19"/>
      <c r="D457" s="22"/>
      <c r="E457" s="229"/>
      <c r="F457" s="235"/>
      <c r="G457" s="268"/>
      <c r="H457" s="250"/>
      <c r="I457" s="229"/>
      <c r="J457" s="333" t="s">
        <v>135</v>
      </c>
      <c r="K457" s="316"/>
      <c r="L457" s="312"/>
      <c r="M457" s="229"/>
    </row>
    <row r="458" spans="2:13" x14ac:dyDescent="0.2">
      <c r="B458" s="18"/>
      <c r="C458" s="19"/>
      <c r="D458" s="22"/>
      <c r="E458" s="229"/>
      <c r="F458" s="235"/>
      <c r="G458" s="268"/>
      <c r="H458" s="250"/>
      <c r="I458" s="229"/>
      <c r="J458" s="333" t="s">
        <v>386</v>
      </c>
      <c r="K458" s="318" t="s">
        <v>562</v>
      </c>
      <c r="L458" s="372">
        <f>H155</f>
        <v>2106.3280076067203</v>
      </c>
      <c r="M458" s="229"/>
    </row>
    <row r="459" spans="2:13" x14ac:dyDescent="0.2">
      <c r="B459" s="18"/>
      <c r="C459" s="19"/>
      <c r="D459" s="22"/>
      <c r="E459" s="229"/>
      <c r="F459" s="235"/>
      <c r="G459" s="268"/>
      <c r="H459" s="250"/>
      <c r="I459" s="229"/>
      <c r="J459" s="333" t="s">
        <v>396</v>
      </c>
      <c r="K459" s="318" t="s">
        <v>562</v>
      </c>
      <c r="L459" s="372">
        <f>H197</f>
        <v>9090.9090909090901</v>
      </c>
      <c r="M459" s="229"/>
    </row>
    <row r="460" spans="2:13" x14ac:dyDescent="0.2">
      <c r="B460" s="27"/>
      <c r="C460" s="28"/>
      <c r="D460" s="29"/>
      <c r="E460" s="229"/>
      <c r="F460" s="251"/>
      <c r="G460" s="260"/>
      <c r="H460" s="253"/>
      <c r="I460" s="229"/>
      <c r="J460" s="251" t="s">
        <v>561</v>
      </c>
      <c r="K460" s="320" t="s">
        <v>562</v>
      </c>
      <c r="L460" s="435">
        <f>1/(1/L458+1/L459)</f>
        <v>1710.1036857857091</v>
      </c>
      <c r="M460" s="229"/>
    </row>
    <row r="461" spans="2:13" x14ac:dyDescent="0.2">
      <c r="B461" s="5"/>
      <c r="C461" s="5"/>
      <c r="D461" s="5"/>
      <c r="E461" s="229"/>
      <c r="F461" s="229"/>
      <c r="G461" s="229"/>
      <c r="H461" s="229"/>
      <c r="I461" s="229"/>
      <c r="J461" s="229"/>
      <c r="K461" s="436"/>
      <c r="L461" s="229"/>
      <c r="M461" s="229"/>
    </row>
    <row r="462" spans="2:13" x14ac:dyDescent="0.2">
      <c r="B462" s="60" t="s">
        <v>64</v>
      </c>
      <c r="C462" s="61"/>
      <c r="D462" s="62"/>
      <c r="E462" s="234"/>
      <c r="F462" s="266" t="s">
        <v>262</v>
      </c>
      <c r="G462" s="263"/>
      <c r="H462" s="265"/>
      <c r="I462" s="234"/>
      <c r="J462" s="229"/>
      <c r="K462" s="229"/>
      <c r="L462" s="229"/>
      <c r="M462" s="229"/>
    </row>
    <row r="463" spans="2:13" x14ac:dyDescent="0.2">
      <c r="B463" s="16" t="s">
        <v>72</v>
      </c>
      <c r="C463" s="19"/>
      <c r="D463" s="22"/>
      <c r="E463" s="268"/>
      <c r="F463" s="235" t="s">
        <v>249</v>
      </c>
      <c r="G463" s="318" t="s">
        <v>15</v>
      </c>
      <c r="H463" s="270">
        <v>1</v>
      </c>
      <c r="I463" s="268"/>
      <c r="J463" s="268"/>
      <c r="K463" s="268"/>
      <c r="L463" s="250"/>
      <c r="M463" s="229"/>
    </row>
    <row r="464" spans="2:13" x14ac:dyDescent="0.2">
      <c r="B464" s="18" t="s">
        <v>65</v>
      </c>
      <c r="C464" s="69" t="s">
        <v>68</v>
      </c>
      <c r="D464" s="33">
        <f>H13</f>
        <v>15.4275</v>
      </c>
      <c r="E464" s="268"/>
      <c r="F464" s="235" t="s">
        <v>250</v>
      </c>
      <c r="G464" s="318" t="s">
        <v>15</v>
      </c>
      <c r="H464" s="285">
        <f>H550</f>
        <v>11.7</v>
      </c>
      <c r="I464" s="268"/>
      <c r="J464" s="268"/>
      <c r="K464" s="268"/>
      <c r="L464" s="250"/>
      <c r="M464" s="229"/>
    </row>
    <row r="465" spans="2:24" x14ac:dyDescent="0.2">
      <c r="B465" s="18" t="s">
        <v>133</v>
      </c>
      <c r="C465" s="69" t="s">
        <v>134</v>
      </c>
      <c r="D465" s="33">
        <f>D464*D9*kg2lb</f>
        <v>136.04710019999999</v>
      </c>
      <c r="E465" s="268"/>
      <c r="F465" s="235" t="s">
        <v>248</v>
      </c>
      <c r="G465" s="316" t="s">
        <v>15</v>
      </c>
      <c r="H465" s="324">
        <f>H550+H463</f>
        <v>12.7</v>
      </c>
      <c r="I465" s="268"/>
      <c r="J465" s="268"/>
      <c r="K465" s="268"/>
      <c r="L465" s="250"/>
      <c r="M465" s="229"/>
    </row>
    <row r="466" spans="2:24" x14ac:dyDescent="0.2">
      <c r="B466" s="18" t="s">
        <v>71</v>
      </c>
      <c r="C466" s="69" t="s">
        <v>70</v>
      </c>
      <c r="D466" s="33">
        <f>D464*g</f>
        <v>151.29209287499998</v>
      </c>
      <c r="E466" s="268"/>
      <c r="F466" s="235" t="s">
        <v>163</v>
      </c>
      <c r="G466" s="316" t="s">
        <v>15</v>
      </c>
      <c r="H466" s="324">
        <f>H53</f>
        <v>5.08</v>
      </c>
      <c r="I466" s="268"/>
      <c r="J466" s="268"/>
      <c r="K466" s="268"/>
      <c r="L466" s="250"/>
      <c r="M466" s="229"/>
    </row>
    <row r="467" spans="2:24" x14ac:dyDescent="0.2">
      <c r="B467" s="18" t="s">
        <v>111</v>
      </c>
      <c r="C467" s="69" t="s">
        <v>70</v>
      </c>
      <c r="D467" s="33">
        <f>D9*D466</f>
        <v>605.16837149999992</v>
      </c>
      <c r="E467" s="268"/>
      <c r="F467" s="235" t="s">
        <v>251</v>
      </c>
      <c r="G467" s="316" t="s">
        <v>15</v>
      </c>
      <c r="H467" s="324">
        <f>H465-H466</f>
        <v>7.6199999999999992</v>
      </c>
      <c r="I467" s="268"/>
      <c r="J467" s="268"/>
      <c r="K467" s="268"/>
      <c r="L467" s="250"/>
      <c r="M467" s="229"/>
    </row>
    <row r="468" spans="2:24" x14ac:dyDescent="0.2">
      <c r="B468" s="18" t="s">
        <v>66</v>
      </c>
      <c r="C468" s="69"/>
      <c r="D468" s="30">
        <v>4</v>
      </c>
      <c r="E468" s="268"/>
      <c r="F468" s="235" t="s">
        <v>252</v>
      </c>
      <c r="G468" s="316"/>
      <c r="H468" s="312">
        <v>0.2</v>
      </c>
      <c r="I468" s="268"/>
      <c r="J468" s="268"/>
      <c r="K468" s="268"/>
      <c r="L468" s="250"/>
      <c r="M468" s="229"/>
    </row>
    <row r="469" spans="2:24" x14ac:dyDescent="0.2">
      <c r="B469" s="18" t="s">
        <v>69</v>
      </c>
      <c r="C469" s="69" t="s">
        <v>70</v>
      </c>
      <c r="D469" s="121">
        <f>D467/D468</f>
        <v>151.29209287499998</v>
      </c>
      <c r="E469" s="268"/>
      <c r="F469" s="235" t="s">
        <v>254</v>
      </c>
      <c r="G469" s="316" t="s">
        <v>15</v>
      </c>
      <c r="H469" s="285">
        <f>H468*H467</f>
        <v>1.524</v>
      </c>
      <c r="I469" s="268"/>
      <c r="J469" s="268"/>
      <c r="K469" s="268"/>
      <c r="L469" s="250"/>
      <c r="M469" s="229"/>
    </row>
    <row r="470" spans="2:24" x14ac:dyDescent="0.2">
      <c r="B470" s="18"/>
      <c r="C470" s="69" t="s">
        <v>109</v>
      </c>
      <c r="D470" s="121">
        <f>D469/lbf2N</f>
        <v>34.01181255679235</v>
      </c>
      <c r="E470" s="268"/>
      <c r="F470" s="235" t="s">
        <v>253</v>
      </c>
      <c r="G470" s="316" t="s">
        <v>15</v>
      </c>
      <c r="H470" s="312">
        <f>(1-H468)*H467</f>
        <v>6.0960000000000001</v>
      </c>
      <c r="I470" s="268"/>
      <c r="J470" s="268"/>
      <c r="K470" s="268"/>
      <c r="L470" s="250"/>
      <c r="M470" s="229"/>
    </row>
    <row r="471" spans="2:24" x14ac:dyDescent="0.2">
      <c r="B471" s="27" t="s">
        <v>151</v>
      </c>
      <c r="C471" s="81" t="s">
        <v>87</v>
      </c>
      <c r="D471" s="122">
        <v>40</v>
      </c>
      <c r="E471" s="268"/>
      <c r="F471" s="251"/>
      <c r="G471" s="260"/>
      <c r="H471" s="253"/>
      <c r="I471" s="268"/>
      <c r="J471" s="268"/>
      <c r="K471" s="268"/>
      <c r="L471" s="250"/>
      <c r="M471" s="229"/>
    </row>
    <row r="472" spans="2:24" ht="13.5" thickBot="1" x14ac:dyDescent="0.25">
      <c r="B472" s="11"/>
      <c r="C472" s="70"/>
      <c r="D472" s="11"/>
      <c r="E472" s="229"/>
      <c r="F472" s="229"/>
      <c r="G472" s="229"/>
      <c r="H472" s="229"/>
      <c r="I472" s="229"/>
      <c r="J472" s="229"/>
      <c r="K472" s="229"/>
      <c r="L472" s="229"/>
      <c r="M472" s="229"/>
      <c r="N472" s="11"/>
      <c r="O472" s="11"/>
      <c r="P472" s="11"/>
      <c r="Q472" s="11"/>
      <c r="R472" s="11"/>
      <c r="S472" s="11"/>
      <c r="T472" s="11"/>
      <c r="U472" s="11"/>
      <c r="V472" s="11"/>
      <c r="W472" s="11"/>
      <c r="X472" s="11"/>
    </row>
    <row r="473" spans="2:24" ht="13.5" thickTop="1" x14ac:dyDescent="0.2">
      <c r="B473" s="38" t="s">
        <v>143</v>
      </c>
      <c r="C473" s="71"/>
      <c r="D473" s="39"/>
      <c r="E473" s="229"/>
      <c r="F473" s="229" t="s">
        <v>143</v>
      </c>
      <c r="G473" s="229"/>
      <c r="H473" s="229"/>
      <c r="I473" s="229"/>
      <c r="J473" s="229" t="s">
        <v>75</v>
      </c>
      <c r="K473" s="229"/>
      <c r="L473" s="229"/>
      <c r="M473" s="229"/>
      <c r="N473" t="s">
        <v>148</v>
      </c>
      <c r="Q473" s="11"/>
      <c r="R473" t="s">
        <v>149</v>
      </c>
      <c r="U473" s="11"/>
      <c r="V473" t="s">
        <v>147</v>
      </c>
    </row>
    <row r="474" spans="2:24" x14ac:dyDescent="0.2">
      <c r="B474" s="53" t="s">
        <v>91</v>
      </c>
      <c r="C474" s="72" t="s">
        <v>15</v>
      </c>
      <c r="D474" s="41">
        <v>4</v>
      </c>
      <c r="E474" s="229"/>
      <c r="F474" s="229" t="s">
        <v>91</v>
      </c>
      <c r="G474" s="436" t="s">
        <v>15</v>
      </c>
      <c r="H474" s="437">
        <v>4</v>
      </c>
      <c r="I474" s="229"/>
      <c r="J474" s="229" t="s">
        <v>91</v>
      </c>
      <c r="K474" s="436" t="s">
        <v>15</v>
      </c>
      <c r="L474" s="437">
        <v>4</v>
      </c>
      <c r="M474" s="229"/>
      <c r="N474" t="s">
        <v>91</v>
      </c>
      <c r="O474" s="68" t="s">
        <v>15</v>
      </c>
      <c r="P474" s="8">
        <v>5</v>
      </c>
      <c r="Q474" s="11"/>
      <c r="R474" t="s">
        <v>91</v>
      </c>
      <c r="S474" s="68" t="s">
        <v>15</v>
      </c>
      <c r="T474" s="8">
        <v>6.5</v>
      </c>
      <c r="U474" s="11"/>
      <c r="V474" t="s">
        <v>91</v>
      </c>
      <c r="W474" s="68" t="s">
        <v>15</v>
      </c>
      <c r="X474" s="8">
        <v>8</v>
      </c>
    </row>
    <row r="475" spans="2:24" x14ac:dyDescent="0.2">
      <c r="B475" s="53"/>
      <c r="C475" s="72" t="s">
        <v>106</v>
      </c>
      <c r="D475" s="45">
        <f>D474/in2cm</f>
        <v>1.5748031496062991</v>
      </c>
      <c r="E475" s="229"/>
      <c r="F475" s="229"/>
      <c r="G475" s="436" t="s">
        <v>106</v>
      </c>
      <c r="H475" s="438">
        <f>H474/in2cm</f>
        <v>1.5748031496062991</v>
      </c>
      <c r="I475" s="229"/>
      <c r="J475" s="229"/>
      <c r="K475" s="436" t="s">
        <v>106</v>
      </c>
      <c r="L475" s="438">
        <f>L474/in2cm</f>
        <v>1.5748031496062991</v>
      </c>
      <c r="M475" s="229"/>
      <c r="O475" s="68" t="s">
        <v>106</v>
      </c>
      <c r="P475" s="2">
        <f>P474/in2cm</f>
        <v>1.9685039370078741</v>
      </c>
      <c r="Q475" s="11"/>
      <c r="S475" s="68" t="s">
        <v>106</v>
      </c>
      <c r="T475" s="2">
        <f>T474/in2cm</f>
        <v>2.5590551181102361</v>
      </c>
      <c r="U475" s="11"/>
      <c r="W475" s="68" t="s">
        <v>106</v>
      </c>
      <c r="X475" s="2">
        <f>X474/in2cm</f>
        <v>3.1496062992125982</v>
      </c>
    </row>
    <row r="476" spans="2:24" x14ac:dyDescent="0.2">
      <c r="B476" s="53" t="s">
        <v>107</v>
      </c>
      <c r="C476" s="72" t="s">
        <v>108</v>
      </c>
      <c r="D476" s="46">
        <f>PI()*(D475/2)^2</f>
        <v>1.9477913408083531</v>
      </c>
      <c r="E476" s="229"/>
      <c r="F476" s="229" t="s">
        <v>107</v>
      </c>
      <c r="G476" s="436" t="s">
        <v>108</v>
      </c>
      <c r="H476" s="439">
        <f>PI()*(H475/2)^2</f>
        <v>1.9477913408083531</v>
      </c>
      <c r="I476" s="229"/>
      <c r="J476" s="229" t="s">
        <v>107</v>
      </c>
      <c r="K476" s="436" t="s">
        <v>108</v>
      </c>
      <c r="L476" s="439">
        <f>PI()*(L475/2)^2</f>
        <v>1.9477913408083531</v>
      </c>
      <c r="M476" s="229"/>
      <c r="N476" t="s">
        <v>107</v>
      </c>
      <c r="O476" s="68" t="s">
        <v>108</v>
      </c>
      <c r="P476" s="1">
        <f>PI()*(P475/2)^2</f>
        <v>3.0434239700130523</v>
      </c>
      <c r="Q476" s="11"/>
      <c r="R476" t="s">
        <v>107</v>
      </c>
      <c r="S476" s="68" t="s">
        <v>108</v>
      </c>
      <c r="T476" s="1">
        <f>PI()*(T475/2)^2</f>
        <v>5.1433865093220579</v>
      </c>
      <c r="U476" s="11"/>
      <c r="V476" t="s">
        <v>107</v>
      </c>
      <c r="W476" s="68" t="s">
        <v>108</v>
      </c>
      <c r="X476" s="1">
        <f>PI()*(X475/2)^2</f>
        <v>7.7911653632334126</v>
      </c>
    </row>
    <row r="477" spans="2:24" x14ac:dyDescent="0.2">
      <c r="B477" s="53" t="s">
        <v>145</v>
      </c>
      <c r="C477" s="72" t="s">
        <v>87</v>
      </c>
      <c r="D477" s="40">
        <v>60</v>
      </c>
      <c r="E477" s="229"/>
      <c r="F477" s="229" t="s">
        <v>145</v>
      </c>
      <c r="G477" s="436" t="s">
        <v>87</v>
      </c>
      <c r="H477" s="440">
        <v>60</v>
      </c>
      <c r="I477" s="229"/>
      <c r="J477" s="229" t="s">
        <v>145</v>
      </c>
      <c r="K477" s="436" t="s">
        <v>87</v>
      </c>
      <c r="L477" s="441">
        <v>60</v>
      </c>
      <c r="M477" s="229"/>
      <c r="N477" t="s">
        <v>145</v>
      </c>
      <c r="O477" s="68" t="s">
        <v>87</v>
      </c>
      <c r="P477" s="36">
        <v>60</v>
      </c>
      <c r="Q477" s="11"/>
      <c r="R477" t="s">
        <v>145</v>
      </c>
      <c r="S477" s="68" t="s">
        <v>87</v>
      </c>
      <c r="T477" s="36">
        <v>60</v>
      </c>
      <c r="U477" s="11"/>
      <c r="V477" t="s">
        <v>145</v>
      </c>
      <c r="W477" s="68" t="s">
        <v>87</v>
      </c>
      <c r="X477" s="36">
        <v>60</v>
      </c>
    </row>
    <row r="478" spans="2:24" x14ac:dyDescent="0.2">
      <c r="B478" s="53" t="s">
        <v>146</v>
      </c>
      <c r="C478" s="72" t="s">
        <v>109</v>
      </c>
      <c r="D478" s="40">
        <v>50</v>
      </c>
      <c r="E478" s="229"/>
      <c r="F478" s="229" t="s">
        <v>146</v>
      </c>
      <c r="G478" s="436" t="s">
        <v>109</v>
      </c>
      <c r="H478" s="440">
        <v>50</v>
      </c>
      <c r="I478" s="229"/>
      <c r="J478" s="229" t="s">
        <v>146</v>
      </c>
      <c r="K478" s="436" t="s">
        <v>109</v>
      </c>
      <c r="L478" s="440">
        <v>50</v>
      </c>
      <c r="M478" s="229"/>
      <c r="N478" t="s">
        <v>146</v>
      </c>
      <c r="O478" s="68" t="s">
        <v>109</v>
      </c>
      <c r="P478" s="36">
        <v>80</v>
      </c>
      <c r="Q478" s="11"/>
      <c r="R478" t="s">
        <v>146</v>
      </c>
      <c r="S478" s="68" t="s">
        <v>109</v>
      </c>
      <c r="T478" s="36">
        <v>150</v>
      </c>
      <c r="U478" s="11"/>
      <c r="V478" t="s">
        <v>146</v>
      </c>
      <c r="W478" s="68" t="s">
        <v>109</v>
      </c>
      <c r="X478" s="36">
        <v>250</v>
      </c>
    </row>
    <row r="479" spans="2:24" x14ac:dyDescent="0.2">
      <c r="B479" s="53" t="s">
        <v>144</v>
      </c>
      <c r="C479" s="72"/>
      <c r="D479" s="47">
        <f>1/(D476*D477/D478)</f>
        <v>0.42783501285486336</v>
      </c>
      <c r="E479" s="229"/>
      <c r="F479" s="229" t="s">
        <v>144</v>
      </c>
      <c r="G479" s="436"/>
      <c r="H479" s="442">
        <f>1/(H476*H477/H478)</f>
        <v>0.42783501285486336</v>
      </c>
      <c r="I479" s="229"/>
      <c r="J479" s="229" t="s">
        <v>144</v>
      </c>
      <c r="K479" s="436"/>
      <c r="L479" s="442">
        <f>1/(L476*L477/L478)</f>
        <v>0.42783501285486336</v>
      </c>
      <c r="M479" s="229"/>
      <c r="N479" t="s">
        <v>144</v>
      </c>
      <c r="O479" s="68"/>
      <c r="P479" s="44">
        <f>1/(P476*P477/P478)</f>
        <v>0.43810305316338</v>
      </c>
      <c r="Q479" s="11"/>
      <c r="R479" t="s">
        <v>144</v>
      </c>
      <c r="S479" s="68"/>
      <c r="T479" s="44">
        <f>1/(T476*T477/T478)</f>
        <v>0.4860610796930992</v>
      </c>
      <c r="U479" s="11"/>
      <c r="V479" t="s">
        <v>144</v>
      </c>
      <c r="W479" s="68"/>
      <c r="X479" s="44">
        <f>1/(X476*X477/X478)</f>
        <v>0.53479376606857931</v>
      </c>
    </row>
    <row r="480" spans="2:24" x14ac:dyDescent="0.2">
      <c r="B480" s="53" t="s">
        <v>86</v>
      </c>
      <c r="C480" s="72" t="s">
        <v>87</v>
      </c>
      <c r="D480" s="48">
        <f>IF($D$470/D476/D479&lt;$D$471,$D$471,FLOOR($D$470/D476/D479,1))</f>
        <v>40</v>
      </c>
      <c r="E480" s="229"/>
      <c r="F480" s="229" t="s">
        <v>86</v>
      </c>
      <c r="G480" s="436" t="s">
        <v>87</v>
      </c>
      <c r="H480" s="443">
        <f>IF($D$470/H476/H479&lt;$D$471,$D$471,FLOOR($D$470/H476/H479,1))</f>
        <v>40</v>
      </c>
      <c r="I480" s="229"/>
      <c r="J480" s="229" t="s">
        <v>86</v>
      </c>
      <c r="K480" s="436" t="s">
        <v>87</v>
      </c>
      <c r="L480" s="443">
        <f>IF($D$470/L476/L479&lt;$D$471,$D$471,FLOOR($D$470/L476/L479,1))</f>
        <v>40</v>
      </c>
      <c r="M480" s="229"/>
      <c r="N480" t="s">
        <v>86</v>
      </c>
      <c r="O480" s="68" t="s">
        <v>87</v>
      </c>
      <c r="P480" s="55">
        <f>IF($D$470/P476/P479&lt;$D$471,$D$471,FLOOR($D$470/P476/P479,1))</f>
        <v>40</v>
      </c>
      <c r="Q480" s="11"/>
      <c r="R480" t="s">
        <v>86</v>
      </c>
      <c r="S480" s="68" t="s">
        <v>87</v>
      </c>
      <c r="T480" s="55">
        <f>IF($D$470/T476/T479&lt;$D$471,$D$471,FLOOR($D$470/T476/T479,1))</f>
        <v>40</v>
      </c>
      <c r="U480" s="11"/>
      <c r="V480" t="s">
        <v>86</v>
      </c>
      <c r="W480" s="68" t="s">
        <v>87</v>
      </c>
      <c r="X480" s="55">
        <f>IF($D$470/X476/X479&lt;$D$471,$D$471,FLOOR($D$470/X476/X479,1))</f>
        <v>40</v>
      </c>
    </row>
    <row r="481" spans="2:24" x14ac:dyDescent="0.2">
      <c r="B481" s="53" t="s">
        <v>135</v>
      </c>
      <c r="C481" s="72" t="s">
        <v>136</v>
      </c>
      <c r="D481" s="49">
        <v>160000</v>
      </c>
      <c r="E481" s="229"/>
      <c r="F481" s="229" t="s">
        <v>135</v>
      </c>
      <c r="G481" s="436" t="s">
        <v>136</v>
      </c>
      <c r="H481" s="440">
        <v>160000</v>
      </c>
      <c r="I481" s="229"/>
      <c r="J481" s="229" t="s">
        <v>135</v>
      </c>
      <c r="K481" s="436" t="s">
        <v>136</v>
      </c>
      <c r="L481" s="440">
        <v>160000</v>
      </c>
      <c r="M481" s="229"/>
      <c r="N481" t="s">
        <v>135</v>
      </c>
      <c r="O481" s="68" t="s">
        <v>136</v>
      </c>
      <c r="P481" s="43">
        <v>330000</v>
      </c>
      <c r="Q481" s="11"/>
      <c r="R481" t="s">
        <v>135</v>
      </c>
      <c r="S481" s="68" t="s">
        <v>136</v>
      </c>
      <c r="T481" s="43">
        <v>500000</v>
      </c>
      <c r="U481" s="11"/>
      <c r="V481" t="s">
        <v>135</v>
      </c>
      <c r="W481" s="68" t="s">
        <v>136</v>
      </c>
      <c r="X481" s="43">
        <v>650000</v>
      </c>
    </row>
    <row r="482" spans="2:24" x14ac:dyDescent="0.2">
      <c r="B482" s="53"/>
      <c r="C482" s="72" t="s">
        <v>137</v>
      </c>
      <c r="D482" s="50">
        <f>D481*lbf2N/in2cm/10</f>
        <v>28020.296062992129</v>
      </c>
      <c r="E482" s="229"/>
      <c r="F482" s="229"/>
      <c r="G482" s="436" t="s">
        <v>137</v>
      </c>
      <c r="H482" s="444">
        <f>H481*lbf2N/in2cm/10</f>
        <v>28020.296062992129</v>
      </c>
      <c r="I482" s="229"/>
      <c r="J482" s="229"/>
      <c r="K482" s="436" t="s">
        <v>137</v>
      </c>
      <c r="L482" s="444">
        <f>L481*lbf2N/in2cm/10</f>
        <v>28020.296062992129</v>
      </c>
      <c r="M482" s="229"/>
      <c r="O482" s="68" t="s">
        <v>137</v>
      </c>
      <c r="P482" s="42">
        <f>P481*lbf2N/in2cm/10</f>
        <v>57791.860629921255</v>
      </c>
      <c r="Q482" s="11"/>
      <c r="S482" s="68" t="s">
        <v>137</v>
      </c>
      <c r="T482" s="42">
        <f>T481*lbf2N/in2cm/10</f>
        <v>87563.425196850396</v>
      </c>
      <c r="U482" s="11"/>
      <c r="W482" s="68" t="s">
        <v>137</v>
      </c>
      <c r="X482" s="42">
        <f>X481*lbf2N/in2cm/10</f>
        <v>113832.45275590553</v>
      </c>
    </row>
    <row r="483" spans="2:24" x14ac:dyDescent="0.2">
      <c r="B483" s="53" t="s">
        <v>150</v>
      </c>
      <c r="C483" s="72" t="s">
        <v>109</v>
      </c>
      <c r="D483" s="50">
        <f>D476*D480/D479</f>
        <v>182.10677315174411</v>
      </c>
      <c r="E483" s="229"/>
      <c r="F483" s="229" t="s">
        <v>150</v>
      </c>
      <c r="G483" s="436" t="s">
        <v>109</v>
      </c>
      <c r="H483" s="444">
        <f>H476*H480/H479</f>
        <v>182.10677315174411</v>
      </c>
      <c r="I483" s="229"/>
      <c r="J483" s="229" t="s">
        <v>150</v>
      </c>
      <c r="K483" s="436" t="s">
        <v>109</v>
      </c>
      <c r="L483" s="444">
        <f>L476*L480/L479</f>
        <v>182.10677315174411</v>
      </c>
      <c r="M483" s="229"/>
      <c r="N483" t="s">
        <v>150</v>
      </c>
      <c r="O483" s="68" t="s">
        <v>109</v>
      </c>
      <c r="P483" s="42">
        <f>P476*P480/P479</f>
        <v>277.87288383750024</v>
      </c>
      <c r="Q483" s="11"/>
      <c r="R483" t="s">
        <v>150</v>
      </c>
      <c r="S483" s="68" t="s">
        <v>109</v>
      </c>
      <c r="T483" s="42">
        <f>T476*T480/T479</f>
        <v>423.27079654841828</v>
      </c>
      <c r="U483" s="11"/>
      <c r="V483" t="s">
        <v>150</v>
      </c>
      <c r="W483" s="68" t="s">
        <v>109</v>
      </c>
      <c r="X483" s="42">
        <f>X476*X480/X479</f>
        <v>582.74167408558094</v>
      </c>
    </row>
    <row r="484" spans="2:24" x14ac:dyDescent="0.2">
      <c r="B484" s="53"/>
      <c r="C484" s="72" t="s">
        <v>70</v>
      </c>
      <c r="D484" s="50">
        <f>D483*lbf2N</f>
        <v>810.05135468259755</v>
      </c>
      <c r="E484" s="229"/>
      <c r="F484" s="229"/>
      <c r="G484" s="436" t="s">
        <v>70</v>
      </c>
      <c r="H484" s="444">
        <f>H483*lbf2N</f>
        <v>810.05135468259755</v>
      </c>
      <c r="I484" s="229"/>
      <c r="J484" s="229"/>
      <c r="K484" s="436" t="s">
        <v>70</v>
      </c>
      <c r="L484" s="444">
        <f>L483*lbf2N</f>
        <v>810.05135468259755</v>
      </c>
      <c r="M484" s="229"/>
      <c r="O484" s="68" t="s">
        <v>70</v>
      </c>
      <c r="P484" s="42">
        <f>P483*lbf2N</f>
        <v>1236.0402750894132</v>
      </c>
      <c r="Q484" s="11"/>
      <c r="S484" s="68" t="s">
        <v>70</v>
      </c>
      <c r="T484" s="42">
        <f>T483*lbf2N</f>
        <v>1882.8024691641983</v>
      </c>
      <c r="U484" s="11"/>
      <c r="W484" s="68" t="s">
        <v>70</v>
      </c>
      <c r="X484" s="42">
        <f>X483*lbf2N</f>
        <v>2592.1643349843112</v>
      </c>
    </row>
    <row r="485" spans="2:24" x14ac:dyDescent="0.2">
      <c r="B485" s="53" t="s">
        <v>138</v>
      </c>
      <c r="C485" s="72" t="s">
        <v>139</v>
      </c>
      <c r="D485" s="50">
        <f>$D$483/D481*1000000</f>
        <v>1138.1673321984008</v>
      </c>
      <c r="E485" s="229"/>
      <c r="F485" s="229" t="s">
        <v>138</v>
      </c>
      <c r="G485" s="436" t="s">
        <v>139</v>
      </c>
      <c r="H485" s="444">
        <f>$D$483/H481*1000000</f>
        <v>1138.1673321984008</v>
      </c>
      <c r="I485" s="229"/>
      <c r="J485" s="229" t="s">
        <v>138</v>
      </c>
      <c r="K485" s="436" t="s">
        <v>139</v>
      </c>
      <c r="L485" s="444">
        <f>$D$483/L481*1000000</f>
        <v>1138.1673321984008</v>
      </c>
      <c r="M485" s="229"/>
      <c r="N485" t="s">
        <v>138</v>
      </c>
      <c r="O485" s="68" t="s">
        <v>139</v>
      </c>
      <c r="P485" s="42">
        <f>$D$483/P481*1000000</f>
        <v>551.83870652043674</v>
      </c>
      <c r="Q485" s="11"/>
      <c r="R485" t="s">
        <v>138</v>
      </c>
      <c r="S485" s="68" t="s">
        <v>139</v>
      </c>
      <c r="T485" s="42">
        <f>$D$483/T481*1000000</f>
        <v>364.21354630348822</v>
      </c>
      <c r="U485" s="11"/>
      <c r="V485" t="s">
        <v>138</v>
      </c>
      <c r="W485" s="68" t="s">
        <v>139</v>
      </c>
      <c r="X485" s="42">
        <f>$D$483/X481*1000000</f>
        <v>280.1642663872986</v>
      </c>
    </row>
    <row r="486" spans="2:24" x14ac:dyDescent="0.2">
      <c r="B486" s="53"/>
      <c r="C486" s="72" t="s">
        <v>140</v>
      </c>
      <c r="D486" s="50">
        <f>$D$484/D482*1000</f>
        <v>28.909450237839376</v>
      </c>
      <c r="E486" s="229"/>
      <c r="F486" s="229"/>
      <c r="G486" s="436" t="s">
        <v>140</v>
      </c>
      <c r="H486" s="444">
        <f>$D$484/H482*1000</f>
        <v>28.909450237839376</v>
      </c>
      <c r="I486" s="229"/>
      <c r="J486" s="229"/>
      <c r="K486" s="436" t="s">
        <v>140</v>
      </c>
      <c r="L486" s="444">
        <f>$D$484/L482*1000</f>
        <v>28.909450237839376</v>
      </c>
      <c r="M486" s="229"/>
      <c r="O486" s="68" t="s">
        <v>140</v>
      </c>
      <c r="P486" s="42">
        <f>$D$484/P482*1000</f>
        <v>14.016703145619095</v>
      </c>
      <c r="Q486" s="11"/>
      <c r="S486" s="68" t="s">
        <v>140</v>
      </c>
      <c r="T486" s="42">
        <f>$D$484/T482*1000</f>
        <v>9.2510240761085996</v>
      </c>
      <c r="U486" s="11"/>
      <c r="W486" s="68" t="s">
        <v>140</v>
      </c>
      <c r="X486" s="42">
        <f>$D$484/X482*1000</f>
        <v>7.116172366237385</v>
      </c>
    </row>
    <row r="487" spans="2:24" x14ac:dyDescent="0.2">
      <c r="B487" s="53" t="s">
        <v>77</v>
      </c>
      <c r="C487" s="72" t="s">
        <v>70</v>
      </c>
      <c r="D487" s="41">
        <v>222</v>
      </c>
      <c r="E487" s="229"/>
      <c r="F487" s="229" t="s">
        <v>77</v>
      </c>
      <c r="G487" s="436" t="s">
        <v>70</v>
      </c>
      <c r="H487" s="437">
        <v>222</v>
      </c>
      <c r="I487" s="229"/>
      <c r="J487" s="229" t="s">
        <v>77</v>
      </c>
      <c r="K487" s="436" t="s">
        <v>70</v>
      </c>
      <c r="L487" s="437">
        <v>220</v>
      </c>
      <c r="M487" s="229"/>
      <c r="N487" t="s">
        <v>77</v>
      </c>
      <c r="O487" s="68" t="s">
        <v>70</v>
      </c>
      <c r="P487" s="8">
        <v>355</v>
      </c>
      <c r="Q487" s="11"/>
      <c r="R487" t="s">
        <v>77</v>
      </c>
      <c r="S487" s="68" t="s">
        <v>70</v>
      </c>
      <c r="T487" s="8">
        <v>666</v>
      </c>
      <c r="U487" s="11"/>
      <c r="V487" t="s">
        <v>77</v>
      </c>
      <c r="W487" s="68" t="s">
        <v>70</v>
      </c>
      <c r="X487" s="8">
        <v>1110</v>
      </c>
    </row>
    <row r="488" spans="2:24" x14ac:dyDescent="0.2">
      <c r="B488" s="53" t="s">
        <v>76</v>
      </c>
      <c r="C488" s="72" t="s">
        <v>82</v>
      </c>
      <c r="D488" s="41">
        <v>1.6</v>
      </c>
      <c r="E488" s="229"/>
      <c r="F488" s="229" t="s">
        <v>76</v>
      </c>
      <c r="G488" s="436" t="s">
        <v>82</v>
      </c>
      <c r="H488" s="437">
        <v>1.6</v>
      </c>
      <c r="I488" s="229"/>
      <c r="J488" s="229" t="s">
        <v>76</v>
      </c>
      <c r="K488" s="436" t="s">
        <v>82</v>
      </c>
      <c r="L488" s="437">
        <v>2</v>
      </c>
      <c r="M488" s="229"/>
      <c r="N488" t="s">
        <v>76</v>
      </c>
      <c r="O488" s="68" t="s">
        <v>82</v>
      </c>
      <c r="P488" s="8">
        <v>2.2999999999999998</v>
      </c>
      <c r="Q488" s="11"/>
      <c r="R488" t="s">
        <v>76</v>
      </c>
      <c r="S488" s="68" t="s">
        <v>82</v>
      </c>
      <c r="T488" s="8">
        <v>2.9</v>
      </c>
      <c r="U488" s="11"/>
      <c r="V488" t="s">
        <v>76</v>
      </c>
      <c r="W488" s="68" t="s">
        <v>82</v>
      </c>
      <c r="X488" s="8">
        <v>4.9000000000000004</v>
      </c>
    </row>
    <row r="489" spans="2:24" x14ac:dyDescent="0.2">
      <c r="B489" s="53" t="s">
        <v>80</v>
      </c>
      <c r="C489" s="72" t="s">
        <v>81</v>
      </c>
      <c r="D489" s="51">
        <f>$L$37</f>
        <v>0.9375</v>
      </c>
      <c r="E489" s="229"/>
      <c r="F489" s="229" t="s">
        <v>80</v>
      </c>
      <c r="G489" s="436" t="s">
        <v>81</v>
      </c>
      <c r="H489" s="445">
        <f>$L$37</f>
        <v>0.9375</v>
      </c>
      <c r="I489" s="229"/>
      <c r="J489" s="229" t="s">
        <v>80</v>
      </c>
      <c r="K489" s="436" t="s">
        <v>81</v>
      </c>
      <c r="L489" s="445">
        <f>$L$37</f>
        <v>0.9375</v>
      </c>
      <c r="M489" s="229"/>
      <c r="N489" t="s">
        <v>80</v>
      </c>
      <c r="O489" s="68" t="s">
        <v>81</v>
      </c>
      <c r="P489" s="4">
        <f>$L$37</f>
        <v>0.9375</v>
      </c>
      <c r="Q489" s="11"/>
      <c r="R489" t="s">
        <v>80</v>
      </c>
      <c r="S489" s="68" t="s">
        <v>81</v>
      </c>
      <c r="T489" s="4">
        <f>$L$37</f>
        <v>0.9375</v>
      </c>
      <c r="U489" s="11"/>
      <c r="V489" t="s">
        <v>80</v>
      </c>
      <c r="W489" s="68" t="s">
        <v>81</v>
      </c>
      <c r="X489" s="4">
        <f>$L$37</f>
        <v>0.9375</v>
      </c>
    </row>
    <row r="490" spans="2:24" x14ac:dyDescent="0.2">
      <c r="B490" s="53" t="s">
        <v>132</v>
      </c>
      <c r="C490" s="72" t="s">
        <v>83</v>
      </c>
      <c r="D490" s="51">
        <f>D489*D488</f>
        <v>1.5</v>
      </c>
      <c r="E490" s="229"/>
      <c r="F490" s="229" t="s">
        <v>132</v>
      </c>
      <c r="G490" s="436" t="s">
        <v>83</v>
      </c>
      <c r="H490" s="445">
        <f>H489*H488</f>
        <v>1.5</v>
      </c>
      <c r="I490" s="229"/>
      <c r="J490" s="229" t="s">
        <v>132</v>
      </c>
      <c r="K490" s="436" t="s">
        <v>83</v>
      </c>
      <c r="L490" s="445">
        <f>L489*L488</f>
        <v>1.875</v>
      </c>
      <c r="M490" s="229"/>
      <c r="N490" t="s">
        <v>132</v>
      </c>
      <c r="O490" s="68" t="s">
        <v>83</v>
      </c>
      <c r="P490" s="4">
        <f>P489*P488</f>
        <v>2.15625</v>
      </c>
      <c r="Q490" s="11"/>
      <c r="R490" t="s">
        <v>132</v>
      </c>
      <c r="S490" s="68" t="s">
        <v>83</v>
      </c>
      <c r="T490" s="4">
        <f>T489*T488</f>
        <v>2.71875</v>
      </c>
      <c r="U490" s="11"/>
      <c r="V490" t="s">
        <v>132</v>
      </c>
      <c r="W490" s="68" t="s">
        <v>83</v>
      </c>
      <c r="X490" s="4">
        <f>X489*X488</f>
        <v>4.59375</v>
      </c>
    </row>
    <row r="491" spans="2:24" ht="13.5" thickBot="1" x14ac:dyDescent="0.25">
      <c r="B491" s="54" t="s">
        <v>84</v>
      </c>
      <c r="C491" s="73" t="s">
        <v>83</v>
      </c>
      <c r="D491" s="52">
        <f>D490*$D$468</f>
        <v>6</v>
      </c>
      <c r="E491" s="229"/>
      <c r="F491" s="229" t="s">
        <v>84</v>
      </c>
      <c r="G491" s="436" t="s">
        <v>83</v>
      </c>
      <c r="H491" s="445">
        <f>H490*$D$468</f>
        <v>6</v>
      </c>
      <c r="I491" s="229"/>
      <c r="J491" s="229" t="s">
        <v>84</v>
      </c>
      <c r="K491" s="436" t="s">
        <v>83</v>
      </c>
      <c r="L491" s="445">
        <f>L490*$D$468</f>
        <v>7.5</v>
      </c>
      <c r="M491" s="229"/>
      <c r="N491" t="s">
        <v>84</v>
      </c>
      <c r="O491" s="68" t="s">
        <v>83</v>
      </c>
      <c r="P491" s="4">
        <f>P490*$D$468</f>
        <v>8.625</v>
      </c>
      <c r="Q491" s="11"/>
      <c r="R491" t="s">
        <v>84</v>
      </c>
      <c r="S491" s="68" t="s">
        <v>83</v>
      </c>
      <c r="T491" s="4">
        <f>T490*$D$468</f>
        <v>10.875</v>
      </c>
      <c r="U491" s="11"/>
      <c r="V491" t="s">
        <v>84</v>
      </c>
      <c r="W491" s="68" t="s">
        <v>83</v>
      </c>
      <c r="X491" s="4">
        <f>X490*$D$468</f>
        <v>18.375</v>
      </c>
    </row>
    <row r="492" spans="2:24" ht="13.5" thickTop="1" x14ac:dyDescent="0.2">
      <c r="B492" s="11"/>
      <c r="C492" s="70"/>
      <c r="D492" s="11"/>
      <c r="E492" s="229"/>
      <c r="F492" s="229"/>
      <c r="G492" s="436"/>
      <c r="H492" s="229"/>
      <c r="I492" s="229"/>
      <c r="J492" s="229"/>
      <c r="K492" s="436"/>
      <c r="L492" s="229"/>
      <c r="M492" s="229"/>
      <c r="N492" s="11"/>
      <c r="O492" s="11"/>
      <c r="P492" s="11"/>
      <c r="Q492" s="11"/>
      <c r="R492" s="11"/>
      <c r="S492" s="11"/>
      <c r="T492" s="11"/>
      <c r="U492" s="11"/>
      <c r="V492" s="11"/>
      <c r="W492" s="70"/>
      <c r="X492" s="11"/>
    </row>
    <row r="493" spans="2:24" x14ac:dyDescent="0.2">
      <c r="B493" t="s">
        <v>89</v>
      </c>
      <c r="C493" s="68"/>
      <c r="D493" t="s">
        <v>88</v>
      </c>
      <c r="E493" s="229"/>
      <c r="F493" s="229" t="s">
        <v>104</v>
      </c>
      <c r="G493" s="436"/>
      <c r="H493" s="229" t="s">
        <v>102</v>
      </c>
      <c r="I493" s="229"/>
      <c r="J493" s="229" t="s">
        <v>101</v>
      </c>
      <c r="K493" s="436"/>
      <c r="L493" s="229" t="s">
        <v>100</v>
      </c>
      <c r="M493" s="229"/>
    </row>
    <row r="494" spans="2:24" x14ac:dyDescent="0.2">
      <c r="B494" t="s">
        <v>91</v>
      </c>
      <c r="C494" s="68" t="s">
        <v>15</v>
      </c>
      <c r="D494" s="9">
        <f>2.25*in2cm</f>
        <v>5.7149999999999999</v>
      </c>
      <c r="E494" s="229"/>
      <c r="F494" s="229" t="s">
        <v>91</v>
      </c>
      <c r="G494" s="436" t="s">
        <v>15</v>
      </c>
      <c r="H494" s="441">
        <f>(5+1/8)*in2cm</f>
        <v>13.0175</v>
      </c>
      <c r="I494" s="229"/>
      <c r="J494" s="229" t="s">
        <v>91</v>
      </c>
      <c r="K494" s="436" t="s">
        <v>15</v>
      </c>
      <c r="L494" s="437">
        <v>12.7</v>
      </c>
      <c r="M494" s="229"/>
    </row>
    <row r="495" spans="2:24" x14ac:dyDescent="0.2">
      <c r="B495" t="s">
        <v>93</v>
      </c>
      <c r="C495" s="68" t="s">
        <v>15</v>
      </c>
      <c r="D495" s="1">
        <f>D494</f>
        <v>5.7149999999999999</v>
      </c>
      <c r="E495" s="229"/>
      <c r="F495" s="229" t="s">
        <v>93</v>
      </c>
      <c r="G495" s="436" t="s">
        <v>15</v>
      </c>
      <c r="H495" s="441">
        <f>(5+1/8)*in2cm</f>
        <v>13.0175</v>
      </c>
      <c r="I495" s="229"/>
      <c r="J495" s="229" t="s">
        <v>93</v>
      </c>
      <c r="K495" s="436" t="s">
        <v>15</v>
      </c>
      <c r="L495" s="437">
        <v>14.7</v>
      </c>
      <c r="M495" s="229"/>
    </row>
    <row r="496" spans="2:24" x14ac:dyDescent="0.2">
      <c r="B496" t="s">
        <v>92</v>
      </c>
      <c r="C496" s="68" t="s">
        <v>15</v>
      </c>
      <c r="D496" s="9">
        <f>9.5*in2cm</f>
        <v>24.13</v>
      </c>
      <c r="E496" s="229"/>
      <c r="F496" s="229" t="s">
        <v>92</v>
      </c>
      <c r="G496" s="436" t="s">
        <v>15</v>
      </c>
      <c r="H496" s="441">
        <f>19.5*in2cm</f>
        <v>49.53</v>
      </c>
      <c r="I496" s="229"/>
      <c r="J496" s="229" t="s">
        <v>92</v>
      </c>
      <c r="K496" s="436" t="s">
        <v>15</v>
      </c>
      <c r="L496" s="437">
        <v>29.7</v>
      </c>
      <c r="M496" s="229"/>
    </row>
    <row r="497" spans="2:13" x14ac:dyDescent="0.2">
      <c r="B497" t="s">
        <v>17</v>
      </c>
      <c r="C497" s="68" t="s">
        <v>68</v>
      </c>
      <c r="D497" s="9">
        <f>0.96/kg2lb</f>
        <v>0.43544919305821411</v>
      </c>
      <c r="E497" s="229"/>
      <c r="F497" s="229" t="s">
        <v>17</v>
      </c>
      <c r="G497" s="436" t="s">
        <v>68</v>
      </c>
      <c r="H497" s="441">
        <f>10/kg2lb</f>
        <v>4.5359290943563977</v>
      </c>
      <c r="I497" s="229"/>
      <c r="J497" s="229" t="s">
        <v>17</v>
      </c>
      <c r="K497" s="436" t="s">
        <v>68</v>
      </c>
      <c r="L497" s="441">
        <v>0.81599999999999995</v>
      </c>
      <c r="M497" s="229"/>
    </row>
    <row r="498" spans="2:13" x14ac:dyDescent="0.2">
      <c r="B498" t="s">
        <v>85</v>
      </c>
      <c r="C498" s="68" t="s">
        <v>112</v>
      </c>
      <c r="D498" s="8">
        <v>13</v>
      </c>
      <c r="E498" s="229"/>
      <c r="F498" s="229" t="s">
        <v>85</v>
      </c>
      <c r="G498" s="436" t="s">
        <v>112</v>
      </c>
      <c r="H498" s="437">
        <v>22</v>
      </c>
      <c r="I498" s="229"/>
      <c r="J498" s="229" t="s">
        <v>85</v>
      </c>
      <c r="K498" s="436" t="s">
        <v>112</v>
      </c>
      <c r="L498" s="437">
        <v>35</v>
      </c>
      <c r="M498" s="229"/>
    </row>
    <row r="499" spans="2:13" x14ac:dyDescent="0.2">
      <c r="B499" t="s">
        <v>86</v>
      </c>
      <c r="C499" s="68" t="s">
        <v>87</v>
      </c>
      <c r="D499" s="8">
        <v>3000</v>
      </c>
      <c r="E499" s="229"/>
      <c r="F499" s="229" t="s">
        <v>86</v>
      </c>
      <c r="G499" s="436" t="s">
        <v>87</v>
      </c>
      <c r="H499" s="437">
        <v>2216</v>
      </c>
      <c r="I499" s="229"/>
      <c r="J499" s="229" t="s">
        <v>86</v>
      </c>
      <c r="K499" s="436" t="s">
        <v>87</v>
      </c>
      <c r="L499" s="437">
        <v>3000</v>
      </c>
      <c r="M499" s="229"/>
    </row>
    <row r="500" spans="2:13" x14ac:dyDescent="0.2">
      <c r="B500" s="6" t="s">
        <v>113</v>
      </c>
      <c r="C500" s="74" t="s">
        <v>114</v>
      </c>
      <c r="D500" s="12">
        <f>D498*D499</f>
        <v>39000</v>
      </c>
      <c r="E500" s="229"/>
      <c r="F500" s="229" t="s">
        <v>113</v>
      </c>
      <c r="G500" s="436" t="s">
        <v>114</v>
      </c>
      <c r="H500" s="446">
        <f>H498*H499</f>
        <v>48752</v>
      </c>
      <c r="I500" s="229"/>
      <c r="J500" s="229" t="s">
        <v>113</v>
      </c>
      <c r="K500" s="436" t="s">
        <v>114</v>
      </c>
      <c r="L500" s="446">
        <f>L498*L499</f>
        <v>105000</v>
      </c>
      <c r="M500" s="229"/>
    </row>
    <row r="501" spans="2:13" x14ac:dyDescent="0.2">
      <c r="B501" s="6" t="s">
        <v>115</v>
      </c>
      <c r="C501" s="74" t="s">
        <v>112</v>
      </c>
      <c r="D501" s="12">
        <f>D500/$D$480</f>
        <v>975</v>
      </c>
      <c r="E501" s="229"/>
      <c r="F501" s="229" t="s">
        <v>115</v>
      </c>
      <c r="G501" s="436" t="s">
        <v>112</v>
      </c>
      <c r="H501" s="446">
        <f>H500/$D$480</f>
        <v>1218.8</v>
      </c>
      <c r="I501" s="229"/>
      <c r="J501" s="229" t="s">
        <v>115</v>
      </c>
      <c r="K501" s="436" t="s">
        <v>112</v>
      </c>
      <c r="L501" s="446">
        <f>L500/$D$480</f>
        <v>2625</v>
      </c>
      <c r="M501" s="229"/>
    </row>
    <row r="502" spans="2:13" x14ac:dyDescent="0.2">
      <c r="B502" s="6"/>
      <c r="C502" s="74" t="s">
        <v>83</v>
      </c>
      <c r="D502" s="12">
        <f>D501/ft2in^3</f>
        <v>0.56423611111111116</v>
      </c>
      <c r="E502" s="229"/>
      <c r="F502" s="229"/>
      <c r="G502" s="436" t="s">
        <v>83</v>
      </c>
      <c r="H502" s="446">
        <f>H501/ft2in^3</f>
        <v>0.70532407407407405</v>
      </c>
      <c r="I502" s="229"/>
      <c r="J502" s="229"/>
      <c r="K502" s="436" t="s">
        <v>83</v>
      </c>
      <c r="L502" s="446">
        <f>L501/ft2in^3</f>
        <v>1.5190972222222223</v>
      </c>
      <c r="M502" s="229"/>
    </row>
    <row r="503" spans="2:13" x14ac:dyDescent="0.2">
      <c r="B503" s="6" t="s">
        <v>116</v>
      </c>
      <c r="C503" s="74"/>
      <c r="D503" s="14">
        <v>3</v>
      </c>
      <c r="E503" s="229"/>
      <c r="F503" s="229" t="s">
        <v>116</v>
      </c>
      <c r="G503" s="436"/>
      <c r="H503" s="447">
        <v>3</v>
      </c>
      <c r="I503" s="229"/>
      <c r="J503" s="229" t="s">
        <v>116</v>
      </c>
      <c r="K503" s="436"/>
      <c r="L503" s="447">
        <v>2</v>
      </c>
      <c r="M503" s="229"/>
    </row>
    <row r="504" spans="2:13" x14ac:dyDescent="0.2">
      <c r="B504" s="6" t="s">
        <v>117</v>
      </c>
      <c r="C504" s="74" t="s">
        <v>83</v>
      </c>
      <c r="D504" s="12">
        <f>D503*D502</f>
        <v>1.6927083333333335</v>
      </c>
      <c r="E504" s="229"/>
      <c r="F504" s="229" t="s">
        <v>117</v>
      </c>
      <c r="G504" s="436" t="s">
        <v>83</v>
      </c>
      <c r="H504" s="446">
        <f>H503*H502</f>
        <v>2.1159722222222221</v>
      </c>
      <c r="I504" s="229"/>
      <c r="J504" s="229" t="s">
        <v>117</v>
      </c>
      <c r="K504" s="436" t="s">
        <v>83</v>
      </c>
      <c r="L504" s="446">
        <f>L503*L502</f>
        <v>3.0381944444444446</v>
      </c>
      <c r="M504" s="229"/>
    </row>
    <row r="505" spans="2:13" x14ac:dyDescent="0.2">
      <c r="B505" s="6" t="s">
        <v>48</v>
      </c>
      <c r="C505" s="68"/>
      <c r="D505" s="10">
        <f>D504/$D$491</f>
        <v>0.28211805555555558</v>
      </c>
      <c r="E505" s="229"/>
      <c r="F505" s="229" t="s">
        <v>48</v>
      </c>
      <c r="G505" s="436"/>
      <c r="H505" s="439">
        <f>H504/$D$491</f>
        <v>0.35266203703703702</v>
      </c>
      <c r="I505" s="229"/>
      <c r="J505" s="229" t="s">
        <v>48</v>
      </c>
      <c r="K505" s="436"/>
      <c r="L505" s="439">
        <f>L504/$D$491</f>
        <v>0.50636574074074081</v>
      </c>
      <c r="M505" s="229"/>
    </row>
    <row r="506" spans="2:13" x14ac:dyDescent="0.2">
      <c r="B506" s="11"/>
      <c r="C506" s="70"/>
      <c r="D506" s="11"/>
      <c r="E506" s="229"/>
      <c r="F506" s="229"/>
      <c r="G506" s="436"/>
      <c r="H506" s="439"/>
      <c r="I506" s="229"/>
      <c r="J506" s="229"/>
      <c r="K506" s="436"/>
      <c r="L506" s="229"/>
      <c r="M506" s="229"/>
    </row>
    <row r="507" spans="2:13" x14ac:dyDescent="0.2">
      <c r="B507" s="35" t="s">
        <v>95</v>
      </c>
      <c r="C507" s="75"/>
      <c r="D507" t="s">
        <v>94</v>
      </c>
      <c r="E507" s="229"/>
      <c r="F507" s="229" t="s">
        <v>120</v>
      </c>
      <c r="G507" s="436"/>
      <c r="H507" s="229" t="s">
        <v>119</v>
      </c>
      <c r="I507" s="229"/>
      <c r="J507" s="229" t="s">
        <v>122</v>
      </c>
      <c r="K507" s="436"/>
      <c r="L507" s="229" t="s">
        <v>121</v>
      </c>
      <c r="M507" s="229"/>
    </row>
    <row r="508" spans="2:13" x14ac:dyDescent="0.2">
      <c r="B508" s="35" t="s">
        <v>91</v>
      </c>
      <c r="C508" s="75" t="s">
        <v>15</v>
      </c>
      <c r="D508" s="8">
        <v>10</v>
      </c>
      <c r="E508" s="229"/>
      <c r="F508" s="229" t="s">
        <v>91</v>
      </c>
      <c r="G508" s="436" t="s">
        <v>15</v>
      </c>
      <c r="H508" s="441">
        <f>4.5*in2cm</f>
        <v>11.43</v>
      </c>
      <c r="I508" s="229"/>
      <c r="J508" s="229" t="s">
        <v>91</v>
      </c>
      <c r="K508" s="436" t="s">
        <v>15</v>
      </c>
      <c r="L508" s="441">
        <f>4.5*in2cm</f>
        <v>11.43</v>
      </c>
      <c r="M508" s="229"/>
    </row>
    <row r="509" spans="2:13" x14ac:dyDescent="0.2">
      <c r="B509" s="35" t="s">
        <v>93</v>
      </c>
      <c r="C509" s="75" t="s">
        <v>15</v>
      </c>
      <c r="D509" s="15">
        <f>D508</f>
        <v>10</v>
      </c>
      <c r="E509" s="229"/>
      <c r="F509" s="229" t="s">
        <v>93</v>
      </c>
      <c r="G509" s="436" t="s">
        <v>15</v>
      </c>
      <c r="H509" s="448">
        <f>H508</f>
        <v>11.43</v>
      </c>
      <c r="I509" s="229"/>
      <c r="J509" s="229" t="s">
        <v>93</v>
      </c>
      <c r="K509" s="436" t="s">
        <v>15</v>
      </c>
      <c r="L509" s="448">
        <f>L508</f>
        <v>11.43</v>
      </c>
      <c r="M509" s="229"/>
    </row>
    <row r="510" spans="2:13" x14ac:dyDescent="0.2">
      <c r="B510" s="35" t="s">
        <v>92</v>
      </c>
      <c r="C510" s="75" t="s">
        <v>15</v>
      </c>
      <c r="D510" s="34">
        <v>37</v>
      </c>
      <c r="E510" s="229"/>
      <c r="F510" s="229" t="s">
        <v>92</v>
      </c>
      <c r="G510" s="436" t="s">
        <v>15</v>
      </c>
      <c r="H510" s="441">
        <f>8.75*in2cm</f>
        <v>22.225000000000001</v>
      </c>
      <c r="I510" s="229"/>
      <c r="J510" s="229" t="s">
        <v>92</v>
      </c>
      <c r="K510" s="436" t="s">
        <v>15</v>
      </c>
      <c r="L510" s="441">
        <f>10.25*in2cm</f>
        <v>26.035</v>
      </c>
      <c r="M510" s="229"/>
    </row>
    <row r="511" spans="2:13" x14ac:dyDescent="0.2">
      <c r="B511" s="35" t="s">
        <v>17</v>
      </c>
      <c r="C511" s="75" t="s">
        <v>68</v>
      </c>
      <c r="D511" s="8">
        <v>0.9</v>
      </c>
      <c r="E511" s="229"/>
      <c r="F511" s="229" t="s">
        <v>17</v>
      </c>
      <c r="G511" s="436" t="s">
        <v>68</v>
      </c>
      <c r="H511" s="441">
        <f>2/kg2lb</f>
        <v>0.90718581887127947</v>
      </c>
      <c r="I511" s="229"/>
      <c r="J511" s="229" t="s">
        <v>17</v>
      </c>
      <c r="K511" s="436" t="s">
        <v>68</v>
      </c>
      <c r="L511" s="441">
        <f>(1+0.0625*14)/kg2lb</f>
        <v>0.85048670519182457</v>
      </c>
      <c r="M511" s="229"/>
    </row>
    <row r="512" spans="2:13" x14ac:dyDescent="0.2">
      <c r="B512" s="35" t="s">
        <v>85</v>
      </c>
      <c r="C512" s="75" t="s">
        <v>112</v>
      </c>
      <c r="D512" s="8">
        <v>48</v>
      </c>
      <c r="E512" s="229"/>
      <c r="F512" s="229" t="s">
        <v>85</v>
      </c>
      <c r="G512" s="436" t="s">
        <v>112</v>
      </c>
      <c r="H512" s="440">
        <f>50</f>
        <v>50</v>
      </c>
      <c r="I512" s="229"/>
      <c r="J512" s="229" t="s">
        <v>85</v>
      </c>
      <c r="K512" s="436" t="s">
        <v>112</v>
      </c>
      <c r="L512" s="440">
        <v>68</v>
      </c>
      <c r="M512" s="229"/>
    </row>
    <row r="513" spans="2:13" x14ac:dyDescent="0.2">
      <c r="B513" s="35" t="s">
        <v>86</v>
      </c>
      <c r="C513" s="75" t="s">
        <v>87</v>
      </c>
      <c r="D513" s="8">
        <v>3000</v>
      </c>
      <c r="E513" s="229"/>
      <c r="F513" s="229" t="s">
        <v>86</v>
      </c>
      <c r="G513" s="436" t="s">
        <v>87</v>
      </c>
      <c r="H513" s="437">
        <v>4500</v>
      </c>
      <c r="I513" s="229"/>
      <c r="J513" s="229" t="s">
        <v>86</v>
      </c>
      <c r="K513" s="436" t="s">
        <v>87</v>
      </c>
      <c r="L513" s="437">
        <v>4500</v>
      </c>
      <c r="M513" s="229"/>
    </row>
    <row r="514" spans="2:13" x14ac:dyDescent="0.2">
      <c r="B514" s="35" t="s">
        <v>113</v>
      </c>
      <c r="C514" s="75" t="s">
        <v>114</v>
      </c>
      <c r="D514" s="12">
        <f>D512*D513</f>
        <v>144000</v>
      </c>
      <c r="E514" s="229"/>
      <c r="F514" s="229" t="s">
        <v>113</v>
      </c>
      <c r="G514" s="436" t="s">
        <v>114</v>
      </c>
      <c r="H514" s="446">
        <f>H512*H513</f>
        <v>225000</v>
      </c>
      <c r="I514" s="229"/>
      <c r="J514" s="229" t="s">
        <v>113</v>
      </c>
      <c r="K514" s="436" t="s">
        <v>114</v>
      </c>
      <c r="L514" s="446">
        <f>L512*L513</f>
        <v>306000</v>
      </c>
      <c r="M514" s="229"/>
    </row>
    <row r="515" spans="2:13" x14ac:dyDescent="0.2">
      <c r="B515" s="35" t="s">
        <v>115</v>
      </c>
      <c r="C515" s="75" t="s">
        <v>112</v>
      </c>
      <c r="D515" s="12">
        <f>D514/$D$480</f>
        <v>3600</v>
      </c>
      <c r="E515" s="229"/>
      <c r="F515" s="229" t="s">
        <v>115</v>
      </c>
      <c r="G515" s="436" t="s">
        <v>112</v>
      </c>
      <c r="H515" s="446">
        <f>H514/$D$480</f>
        <v>5625</v>
      </c>
      <c r="I515" s="229"/>
      <c r="J515" s="229" t="s">
        <v>115</v>
      </c>
      <c r="K515" s="436" t="s">
        <v>112</v>
      </c>
      <c r="L515" s="446">
        <f>L514/$D$480</f>
        <v>7650</v>
      </c>
      <c r="M515" s="229"/>
    </row>
    <row r="516" spans="2:13" x14ac:dyDescent="0.2">
      <c r="B516" s="35"/>
      <c r="C516" s="75" t="s">
        <v>83</v>
      </c>
      <c r="D516" s="12">
        <f>D515/ft2in^3</f>
        <v>2.0833333333333335</v>
      </c>
      <c r="E516" s="229"/>
      <c r="F516" s="229"/>
      <c r="G516" s="436" t="s">
        <v>83</v>
      </c>
      <c r="H516" s="446">
        <f>H515/ft2in^3</f>
        <v>3.2552083333333335</v>
      </c>
      <c r="I516" s="229"/>
      <c r="J516" s="229"/>
      <c r="K516" s="436" t="s">
        <v>83</v>
      </c>
      <c r="L516" s="446">
        <f>L515/ft2in^3</f>
        <v>4.427083333333333</v>
      </c>
      <c r="M516" s="229"/>
    </row>
    <row r="517" spans="2:13" x14ac:dyDescent="0.2">
      <c r="B517" s="35" t="s">
        <v>116</v>
      </c>
      <c r="C517" s="75"/>
      <c r="D517" s="14">
        <v>1</v>
      </c>
      <c r="E517" s="229"/>
      <c r="F517" s="229" t="s">
        <v>116</v>
      </c>
      <c r="G517" s="436"/>
      <c r="H517" s="447">
        <v>1</v>
      </c>
      <c r="I517" s="229"/>
      <c r="J517" s="229" t="s">
        <v>116</v>
      </c>
      <c r="K517" s="436"/>
      <c r="L517" s="447">
        <v>1</v>
      </c>
      <c r="M517" s="229"/>
    </row>
    <row r="518" spans="2:13" x14ac:dyDescent="0.2">
      <c r="B518" s="35" t="s">
        <v>117</v>
      </c>
      <c r="C518" s="75" t="s">
        <v>83</v>
      </c>
      <c r="D518" s="12">
        <f>D517*D516</f>
        <v>2.0833333333333335</v>
      </c>
      <c r="E518" s="229"/>
      <c r="F518" s="229" t="s">
        <v>117</v>
      </c>
      <c r="G518" s="436" t="s">
        <v>83</v>
      </c>
      <c r="H518" s="446">
        <f>H517*H516</f>
        <v>3.2552083333333335</v>
      </c>
      <c r="I518" s="229"/>
      <c r="J518" s="229" t="s">
        <v>117</v>
      </c>
      <c r="K518" s="436" t="s">
        <v>83</v>
      </c>
      <c r="L518" s="446">
        <f>L517*L516</f>
        <v>4.427083333333333</v>
      </c>
      <c r="M518" s="229"/>
    </row>
    <row r="519" spans="2:13" x14ac:dyDescent="0.2">
      <c r="B519" s="35" t="s">
        <v>48</v>
      </c>
      <c r="C519" s="75"/>
      <c r="D519" s="10">
        <f>D518/$D$491</f>
        <v>0.34722222222222227</v>
      </c>
      <c r="E519" s="229"/>
      <c r="F519" s="229" t="s">
        <v>48</v>
      </c>
      <c r="G519" s="436"/>
      <c r="H519" s="439">
        <f>H518/$D$491</f>
        <v>0.54253472222222221</v>
      </c>
      <c r="I519" s="229"/>
      <c r="J519" s="229" t="s">
        <v>48</v>
      </c>
      <c r="K519" s="436"/>
      <c r="L519" s="439">
        <f>L518/$D$491</f>
        <v>0.73784722222222221</v>
      </c>
      <c r="M519" s="229"/>
    </row>
    <row r="520" spans="2:13" x14ac:dyDescent="0.2">
      <c r="B520" s="11"/>
      <c r="C520" s="70"/>
      <c r="D520" s="11"/>
      <c r="E520" s="229"/>
      <c r="F520" s="229"/>
      <c r="G520" s="436"/>
      <c r="H520" s="439"/>
      <c r="I520" s="229"/>
      <c r="J520" s="229"/>
      <c r="K520" s="436"/>
      <c r="L520" s="229"/>
      <c r="M520" s="229"/>
    </row>
    <row r="521" spans="2:13" x14ac:dyDescent="0.2">
      <c r="B521" t="s">
        <v>96</v>
      </c>
      <c r="C521" s="68"/>
      <c r="D521" t="s">
        <v>97</v>
      </c>
      <c r="E521" s="229"/>
      <c r="F521" s="229" t="s">
        <v>98</v>
      </c>
      <c r="G521" s="436"/>
      <c r="H521" s="229" t="s">
        <v>99</v>
      </c>
      <c r="I521" s="229"/>
      <c r="J521" s="229" t="s">
        <v>90</v>
      </c>
      <c r="K521" s="436"/>
      <c r="L521" s="229" t="s">
        <v>88</v>
      </c>
      <c r="M521" s="229"/>
    </row>
    <row r="522" spans="2:13" x14ac:dyDescent="0.2">
      <c r="B522" t="s">
        <v>91</v>
      </c>
      <c r="C522" s="68" t="s">
        <v>15</v>
      </c>
      <c r="D522" s="8">
        <v>12.9</v>
      </c>
      <c r="E522" s="229"/>
      <c r="F522" s="229" t="s">
        <v>91</v>
      </c>
      <c r="G522" s="436" t="s">
        <v>15</v>
      </c>
      <c r="H522" s="437">
        <v>12.7</v>
      </c>
      <c r="I522" s="229"/>
      <c r="J522" s="229" t="s">
        <v>91</v>
      </c>
      <c r="K522" s="436" t="s">
        <v>15</v>
      </c>
      <c r="L522" s="437">
        <v>10.199999999999999</v>
      </c>
      <c r="M522" s="229"/>
    </row>
    <row r="523" spans="2:13" x14ac:dyDescent="0.2">
      <c r="B523" t="s">
        <v>93</v>
      </c>
      <c r="C523" s="68" t="s">
        <v>15</v>
      </c>
      <c r="D523" s="15">
        <f>D522</f>
        <v>12.9</v>
      </c>
      <c r="E523" s="229"/>
      <c r="F523" s="229" t="s">
        <v>93</v>
      </c>
      <c r="G523" s="436" t="s">
        <v>15</v>
      </c>
      <c r="H523" s="437">
        <v>14.2</v>
      </c>
      <c r="I523" s="229"/>
      <c r="J523" s="229" t="s">
        <v>93</v>
      </c>
      <c r="K523" s="436" t="s">
        <v>15</v>
      </c>
      <c r="L523" s="437">
        <v>15.5</v>
      </c>
      <c r="M523" s="229"/>
    </row>
    <row r="524" spans="2:13" x14ac:dyDescent="0.2">
      <c r="B524" t="s">
        <v>92</v>
      </c>
      <c r="C524" s="68" t="s">
        <v>15</v>
      </c>
      <c r="D524" s="8">
        <v>29.6</v>
      </c>
      <c r="E524" s="229"/>
      <c r="F524" s="229" t="s">
        <v>92</v>
      </c>
      <c r="G524" s="436" t="s">
        <v>15</v>
      </c>
      <c r="H524" s="437">
        <v>29.7</v>
      </c>
      <c r="I524" s="229"/>
      <c r="J524" s="229" t="s">
        <v>92</v>
      </c>
      <c r="K524" s="436" t="s">
        <v>15</v>
      </c>
      <c r="L524" s="437">
        <v>35.1</v>
      </c>
      <c r="M524" s="229"/>
    </row>
    <row r="525" spans="2:13" x14ac:dyDescent="0.2">
      <c r="B525" t="s">
        <v>17</v>
      </c>
      <c r="C525" s="68" t="s">
        <v>68</v>
      </c>
      <c r="D525" s="8">
        <v>1.5</v>
      </c>
      <c r="E525" s="229"/>
      <c r="F525" s="229" t="s">
        <v>17</v>
      </c>
      <c r="G525" s="436" t="s">
        <v>68</v>
      </c>
      <c r="H525" s="437">
        <v>1.2</v>
      </c>
      <c r="I525" s="229"/>
      <c r="J525" s="229" t="s">
        <v>17</v>
      </c>
      <c r="K525" s="436" t="s">
        <v>68</v>
      </c>
      <c r="L525" s="437">
        <v>1.1000000000000001</v>
      </c>
      <c r="M525" s="229"/>
    </row>
    <row r="526" spans="2:13" x14ac:dyDescent="0.2">
      <c r="B526" t="s">
        <v>85</v>
      </c>
      <c r="C526" s="68" t="s">
        <v>112</v>
      </c>
      <c r="D526" s="8">
        <v>62</v>
      </c>
      <c r="E526" s="229"/>
      <c r="F526" s="229" t="s">
        <v>85</v>
      </c>
      <c r="G526" s="436" t="s">
        <v>112</v>
      </c>
      <c r="H526" s="437">
        <v>68</v>
      </c>
      <c r="I526" s="229"/>
      <c r="J526" s="229" t="s">
        <v>85</v>
      </c>
      <c r="K526" s="436" t="s">
        <v>112</v>
      </c>
      <c r="L526" s="437">
        <v>68</v>
      </c>
      <c r="M526" s="229"/>
    </row>
    <row r="527" spans="2:13" x14ac:dyDescent="0.2">
      <c r="B527" t="s">
        <v>86</v>
      </c>
      <c r="C527" s="68" t="s">
        <v>87</v>
      </c>
      <c r="D527" s="8">
        <v>3000</v>
      </c>
      <c r="E527" s="229"/>
      <c r="F527" s="229" t="s">
        <v>86</v>
      </c>
      <c r="G527" s="436" t="s">
        <v>87</v>
      </c>
      <c r="H527" s="437">
        <v>4500</v>
      </c>
      <c r="I527" s="229"/>
      <c r="J527" s="229" t="s">
        <v>86</v>
      </c>
      <c r="K527" s="436" t="s">
        <v>87</v>
      </c>
      <c r="L527" s="437">
        <v>4500</v>
      </c>
      <c r="M527" s="229"/>
    </row>
    <row r="528" spans="2:13" x14ac:dyDescent="0.2">
      <c r="B528" s="6" t="s">
        <v>113</v>
      </c>
      <c r="C528" s="74" t="s">
        <v>114</v>
      </c>
      <c r="D528" s="12">
        <f>D526*D527</f>
        <v>186000</v>
      </c>
      <c r="E528" s="229"/>
      <c r="F528" s="229" t="s">
        <v>113</v>
      </c>
      <c r="G528" s="436" t="s">
        <v>114</v>
      </c>
      <c r="H528" s="446">
        <f>H526*H527</f>
        <v>306000</v>
      </c>
      <c r="I528" s="229"/>
      <c r="J528" s="229" t="s">
        <v>113</v>
      </c>
      <c r="K528" s="436" t="s">
        <v>114</v>
      </c>
      <c r="L528" s="446">
        <f>L526*L527</f>
        <v>306000</v>
      </c>
      <c r="M528" s="229"/>
    </row>
    <row r="529" spans="2:13" x14ac:dyDescent="0.2">
      <c r="B529" s="6" t="s">
        <v>115</v>
      </c>
      <c r="C529" s="74" t="s">
        <v>112</v>
      </c>
      <c r="D529" s="12">
        <f>D528/$D$480</f>
        <v>4650</v>
      </c>
      <c r="E529" s="229"/>
      <c r="F529" s="229" t="s">
        <v>115</v>
      </c>
      <c r="G529" s="436" t="s">
        <v>112</v>
      </c>
      <c r="H529" s="446">
        <f>H528/$D$480</f>
        <v>7650</v>
      </c>
      <c r="I529" s="229"/>
      <c r="J529" s="229" t="s">
        <v>115</v>
      </c>
      <c r="K529" s="436" t="s">
        <v>112</v>
      </c>
      <c r="L529" s="446">
        <f>L528/$D$480</f>
        <v>7650</v>
      </c>
      <c r="M529" s="229"/>
    </row>
    <row r="530" spans="2:13" x14ac:dyDescent="0.2">
      <c r="B530" s="6"/>
      <c r="C530" s="74" t="s">
        <v>83</v>
      </c>
      <c r="D530" s="12">
        <f>D529/ft2in^3</f>
        <v>2.6909722222222223</v>
      </c>
      <c r="E530" s="229"/>
      <c r="F530" s="229"/>
      <c r="G530" s="436" t="s">
        <v>83</v>
      </c>
      <c r="H530" s="446">
        <f>H529/ft2in^3</f>
        <v>4.427083333333333</v>
      </c>
      <c r="I530" s="229"/>
      <c r="J530" s="229"/>
      <c r="K530" s="436" t="s">
        <v>83</v>
      </c>
      <c r="L530" s="446">
        <f>L529/ft2in^3</f>
        <v>4.427083333333333</v>
      </c>
      <c r="M530" s="229"/>
    </row>
    <row r="531" spans="2:13" x14ac:dyDescent="0.2">
      <c r="B531" s="6" t="s">
        <v>116</v>
      </c>
      <c r="C531" s="74"/>
      <c r="D531" s="14">
        <v>1</v>
      </c>
      <c r="E531" s="229"/>
      <c r="F531" s="229" t="s">
        <v>116</v>
      </c>
      <c r="G531" s="436"/>
      <c r="H531" s="447">
        <v>1</v>
      </c>
      <c r="I531" s="229"/>
      <c r="J531" s="229" t="s">
        <v>116</v>
      </c>
      <c r="K531" s="436"/>
      <c r="L531" s="447">
        <v>1</v>
      </c>
      <c r="M531" s="229"/>
    </row>
    <row r="532" spans="2:13" x14ac:dyDescent="0.2">
      <c r="B532" s="6" t="s">
        <v>117</v>
      </c>
      <c r="C532" s="74" t="s">
        <v>83</v>
      </c>
      <c r="D532" s="12">
        <f>D531*D530</f>
        <v>2.6909722222222223</v>
      </c>
      <c r="E532" s="229"/>
      <c r="F532" s="229" t="s">
        <v>117</v>
      </c>
      <c r="G532" s="436" t="s">
        <v>83</v>
      </c>
      <c r="H532" s="446">
        <f>H531*H530</f>
        <v>4.427083333333333</v>
      </c>
      <c r="I532" s="229"/>
      <c r="J532" s="229" t="s">
        <v>117</v>
      </c>
      <c r="K532" s="436" t="s">
        <v>83</v>
      </c>
      <c r="L532" s="446">
        <f>L531*L530</f>
        <v>4.427083333333333</v>
      </c>
      <c r="M532" s="229"/>
    </row>
    <row r="533" spans="2:13" x14ac:dyDescent="0.2">
      <c r="B533" s="6" t="s">
        <v>48</v>
      </c>
      <c r="C533" s="68"/>
      <c r="D533" s="10">
        <f>D532/$D$491</f>
        <v>0.44849537037037041</v>
      </c>
      <c r="E533" s="229"/>
      <c r="F533" s="229" t="s">
        <v>48</v>
      </c>
      <c r="G533" s="436"/>
      <c r="H533" s="439">
        <f>H532/$D$491</f>
        <v>0.73784722222222221</v>
      </c>
      <c r="I533" s="229"/>
      <c r="J533" s="229" t="s">
        <v>48</v>
      </c>
      <c r="K533" s="436"/>
      <c r="L533" s="439">
        <f>L532/$D$491</f>
        <v>0.73784722222222221</v>
      </c>
      <c r="M533" s="229"/>
    </row>
    <row r="534" spans="2:13" x14ac:dyDescent="0.2">
      <c r="B534" s="11"/>
      <c r="C534" s="70"/>
      <c r="D534" s="11"/>
      <c r="E534" s="229"/>
      <c r="F534" s="229"/>
      <c r="G534" s="436"/>
      <c r="H534" s="439"/>
      <c r="I534" s="229"/>
      <c r="J534" s="229"/>
      <c r="K534" s="436"/>
      <c r="L534" s="229"/>
      <c r="M534" s="229"/>
    </row>
    <row r="535" spans="2:13" x14ac:dyDescent="0.2">
      <c r="B535" t="s">
        <v>123</v>
      </c>
      <c r="C535" s="68"/>
      <c r="D535" t="s">
        <v>88</v>
      </c>
      <c r="E535" s="229"/>
      <c r="F535" s="229" t="s">
        <v>124</v>
      </c>
      <c r="G535" s="436"/>
      <c r="H535" s="229" t="s">
        <v>88</v>
      </c>
      <c r="I535" s="229"/>
      <c r="J535" s="229" t="s">
        <v>125</v>
      </c>
      <c r="K535" s="436"/>
      <c r="L535" s="229" t="s">
        <v>88</v>
      </c>
      <c r="M535" s="229"/>
    </row>
    <row r="536" spans="2:13" x14ac:dyDescent="0.2">
      <c r="B536" t="s">
        <v>91</v>
      </c>
      <c r="C536" s="68" t="s">
        <v>15</v>
      </c>
      <c r="D536" s="9">
        <f>(3+9/16)*in2cm</f>
        <v>9.0487500000000001</v>
      </c>
      <c r="E536" s="229"/>
      <c r="F536" s="229" t="s">
        <v>91</v>
      </c>
      <c r="G536" s="436" t="s">
        <v>15</v>
      </c>
      <c r="H536" s="441">
        <f>(3+5/8)*in2cm</f>
        <v>9.2074999999999996</v>
      </c>
      <c r="I536" s="229"/>
      <c r="J536" s="229" t="s">
        <v>91</v>
      </c>
      <c r="K536" s="436" t="s">
        <v>15</v>
      </c>
      <c r="L536" s="441">
        <f>(3+5/8)*in2cm</f>
        <v>9.2074999999999996</v>
      </c>
      <c r="M536" s="229"/>
    </row>
    <row r="537" spans="2:13" x14ac:dyDescent="0.2">
      <c r="B537" t="s">
        <v>93</v>
      </c>
      <c r="C537" s="68" t="s">
        <v>15</v>
      </c>
      <c r="D537" s="37">
        <f>D536</f>
        <v>9.0487500000000001</v>
      </c>
      <c r="E537" s="229"/>
      <c r="F537" s="229" t="s">
        <v>93</v>
      </c>
      <c r="G537" s="436" t="s">
        <v>15</v>
      </c>
      <c r="H537" s="448">
        <f>H536</f>
        <v>9.2074999999999996</v>
      </c>
      <c r="I537" s="229"/>
      <c r="J537" s="229" t="s">
        <v>93</v>
      </c>
      <c r="K537" s="436" t="s">
        <v>15</v>
      </c>
      <c r="L537" s="448">
        <f>L536</f>
        <v>9.2074999999999996</v>
      </c>
      <c r="M537" s="229"/>
    </row>
    <row r="538" spans="2:13" x14ac:dyDescent="0.2">
      <c r="B538" t="s">
        <v>92</v>
      </c>
      <c r="C538" s="68" t="s">
        <v>15</v>
      </c>
      <c r="D538" s="9">
        <f>(9.25)*in2cm</f>
        <v>23.495000000000001</v>
      </c>
      <c r="E538" s="229"/>
      <c r="F538" s="229" t="s">
        <v>92</v>
      </c>
      <c r="G538" s="436" t="s">
        <v>15</v>
      </c>
      <c r="H538" s="437">
        <f>10.5*in2cm</f>
        <v>26.67</v>
      </c>
      <c r="I538" s="229"/>
      <c r="J538" s="229" t="s">
        <v>92</v>
      </c>
      <c r="K538" s="436" t="s">
        <v>15</v>
      </c>
      <c r="L538" s="437">
        <f>12.5*in2cm</f>
        <v>31.75</v>
      </c>
      <c r="M538" s="229"/>
    </row>
    <row r="539" spans="2:13" x14ac:dyDescent="0.2">
      <c r="B539" t="s">
        <v>17</v>
      </c>
      <c r="C539" s="68" t="s">
        <v>68</v>
      </c>
      <c r="D539" s="9">
        <f>(2+0.0625*7)/kg2lb</f>
        <v>1.1056327167493718</v>
      </c>
      <c r="E539" s="229"/>
      <c r="F539" s="229" t="s">
        <v>17</v>
      </c>
      <c r="G539" s="436" t="s">
        <v>68</v>
      </c>
      <c r="H539" s="441">
        <f>(2+0.0625*10)/kg2lb</f>
        <v>1.1906813872685542</v>
      </c>
      <c r="I539" s="229"/>
      <c r="J539" s="229" t="s">
        <v>17</v>
      </c>
      <c r="K539" s="436" t="s">
        <v>68</v>
      </c>
      <c r="L539" s="441">
        <f>(3+0.0625*6)/kg2lb</f>
        <v>1.5308760693452841</v>
      </c>
      <c r="M539" s="229"/>
    </row>
    <row r="540" spans="2:13" x14ac:dyDescent="0.2">
      <c r="B540" t="s">
        <v>85</v>
      </c>
      <c r="C540" s="68" t="s">
        <v>112</v>
      </c>
      <c r="D540" s="8">
        <v>35</v>
      </c>
      <c r="E540" s="229"/>
      <c r="F540" s="229" t="s">
        <v>85</v>
      </c>
      <c r="G540" s="436" t="s">
        <v>112</v>
      </c>
      <c r="H540" s="437">
        <v>48</v>
      </c>
      <c r="I540" s="229"/>
      <c r="J540" s="229" t="s">
        <v>85</v>
      </c>
      <c r="K540" s="436" t="s">
        <v>112</v>
      </c>
      <c r="L540" s="437">
        <v>62</v>
      </c>
      <c r="M540" s="229"/>
    </row>
    <row r="541" spans="2:13" x14ac:dyDescent="0.2">
      <c r="B541" t="s">
        <v>86</v>
      </c>
      <c r="C541" s="68" t="s">
        <v>87</v>
      </c>
      <c r="D541" s="8">
        <v>3000</v>
      </c>
      <c r="E541" s="229"/>
      <c r="F541" s="229" t="s">
        <v>86</v>
      </c>
      <c r="G541" s="436" t="s">
        <v>87</v>
      </c>
      <c r="H541" s="437">
        <v>3000</v>
      </c>
      <c r="I541" s="229"/>
      <c r="J541" s="229" t="s">
        <v>86</v>
      </c>
      <c r="K541" s="436" t="s">
        <v>87</v>
      </c>
      <c r="L541" s="437">
        <v>3000</v>
      </c>
      <c r="M541" s="229"/>
    </row>
    <row r="542" spans="2:13" x14ac:dyDescent="0.2">
      <c r="B542" s="6" t="s">
        <v>113</v>
      </c>
      <c r="C542" s="74" t="s">
        <v>114</v>
      </c>
      <c r="D542" s="12">
        <f>D540*D541</f>
        <v>105000</v>
      </c>
      <c r="E542" s="229"/>
      <c r="F542" s="229" t="s">
        <v>113</v>
      </c>
      <c r="G542" s="436" t="s">
        <v>114</v>
      </c>
      <c r="H542" s="446">
        <f>H540*H541</f>
        <v>144000</v>
      </c>
      <c r="I542" s="229"/>
      <c r="J542" s="229" t="s">
        <v>113</v>
      </c>
      <c r="K542" s="436" t="s">
        <v>114</v>
      </c>
      <c r="L542" s="446">
        <f>L540*L541</f>
        <v>186000</v>
      </c>
      <c r="M542" s="229"/>
    </row>
    <row r="543" spans="2:13" x14ac:dyDescent="0.2">
      <c r="B543" s="6" t="s">
        <v>115</v>
      </c>
      <c r="C543" s="74" t="s">
        <v>112</v>
      </c>
      <c r="D543" s="12">
        <f>D542/$D$480</f>
        <v>2625</v>
      </c>
      <c r="E543" s="229"/>
      <c r="F543" s="229" t="s">
        <v>115</v>
      </c>
      <c r="G543" s="436" t="s">
        <v>112</v>
      </c>
      <c r="H543" s="446">
        <f>H542/$D$480</f>
        <v>3600</v>
      </c>
      <c r="I543" s="229"/>
      <c r="J543" s="229" t="s">
        <v>115</v>
      </c>
      <c r="K543" s="436" t="s">
        <v>112</v>
      </c>
      <c r="L543" s="446">
        <f>L542/$D$480</f>
        <v>4650</v>
      </c>
      <c r="M543" s="229"/>
    </row>
    <row r="544" spans="2:13" x14ac:dyDescent="0.2">
      <c r="B544" s="6"/>
      <c r="C544" s="74" t="s">
        <v>83</v>
      </c>
      <c r="D544" s="12">
        <f>D543/ft2in^3</f>
        <v>1.5190972222222223</v>
      </c>
      <c r="E544" s="229"/>
      <c r="F544" s="229"/>
      <c r="G544" s="436" t="s">
        <v>83</v>
      </c>
      <c r="H544" s="446">
        <f>H543/ft2in^3</f>
        <v>2.0833333333333335</v>
      </c>
      <c r="I544" s="229"/>
      <c r="J544" s="229"/>
      <c r="K544" s="436" t="s">
        <v>83</v>
      </c>
      <c r="L544" s="446">
        <f>L543/ft2in^3</f>
        <v>2.6909722222222223</v>
      </c>
      <c r="M544" s="229"/>
    </row>
    <row r="545" spans="2:13" x14ac:dyDescent="0.2">
      <c r="B545" s="6" t="s">
        <v>116</v>
      </c>
      <c r="C545" s="74"/>
      <c r="D545" s="14">
        <v>1</v>
      </c>
      <c r="E545" s="229"/>
      <c r="F545" s="229" t="s">
        <v>116</v>
      </c>
      <c r="G545" s="436"/>
      <c r="H545" s="447">
        <v>1</v>
      </c>
      <c r="I545" s="229"/>
      <c r="J545" s="229" t="s">
        <v>116</v>
      </c>
      <c r="K545" s="436"/>
      <c r="L545" s="447">
        <v>1</v>
      </c>
      <c r="M545" s="229"/>
    </row>
    <row r="546" spans="2:13" x14ac:dyDescent="0.2">
      <c r="B546" s="6" t="s">
        <v>117</v>
      </c>
      <c r="C546" s="74" t="s">
        <v>83</v>
      </c>
      <c r="D546" s="12">
        <f>D545*D544</f>
        <v>1.5190972222222223</v>
      </c>
      <c r="E546" s="229"/>
      <c r="F546" s="229" t="s">
        <v>117</v>
      </c>
      <c r="G546" s="436" t="s">
        <v>83</v>
      </c>
      <c r="H546" s="446">
        <f>H545*H544</f>
        <v>2.0833333333333335</v>
      </c>
      <c r="I546" s="229"/>
      <c r="J546" s="229" t="s">
        <v>117</v>
      </c>
      <c r="K546" s="436" t="s">
        <v>83</v>
      </c>
      <c r="L546" s="446">
        <f>L545*L544</f>
        <v>2.6909722222222223</v>
      </c>
      <c r="M546" s="229"/>
    </row>
    <row r="547" spans="2:13" x14ac:dyDescent="0.2">
      <c r="B547" s="6" t="s">
        <v>48</v>
      </c>
      <c r="C547" s="68"/>
      <c r="D547" s="10">
        <f>D546/$D$491</f>
        <v>0.25318287037037041</v>
      </c>
      <c r="E547" s="229"/>
      <c r="F547" s="229" t="s">
        <v>48</v>
      </c>
      <c r="G547" s="436"/>
      <c r="H547" s="439">
        <f>H546/$D$491</f>
        <v>0.34722222222222227</v>
      </c>
      <c r="I547" s="229"/>
      <c r="J547" s="229" t="s">
        <v>48</v>
      </c>
      <c r="K547" s="436"/>
      <c r="L547" s="439">
        <f>L546/$D$491</f>
        <v>0.44849537037037041</v>
      </c>
      <c r="M547" s="229"/>
    </row>
    <row r="548" spans="2:13" ht="13.5" thickBot="1" x14ac:dyDescent="0.25">
      <c r="B548" s="11"/>
      <c r="C548" s="70"/>
      <c r="D548" s="11"/>
      <c r="E548" s="229"/>
      <c r="F548" s="229"/>
      <c r="G548" s="436"/>
      <c r="H548" s="439"/>
      <c r="I548" s="229"/>
      <c r="J548" s="229"/>
      <c r="K548" s="436"/>
      <c r="L548" s="229"/>
      <c r="M548" s="229"/>
    </row>
    <row r="549" spans="2:13" ht="13.5" thickTop="1" x14ac:dyDescent="0.2">
      <c r="B549" s="6" t="s">
        <v>126</v>
      </c>
      <c r="C549" s="74"/>
      <c r="D549" t="s">
        <v>127</v>
      </c>
      <c r="E549" s="229"/>
      <c r="F549" s="449" t="s">
        <v>130</v>
      </c>
      <c r="G549" s="450"/>
      <c r="H549" s="451" t="s">
        <v>131</v>
      </c>
      <c r="I549" s="229"/>
      <c r="J549" s="229" t="s">
        <v>128</v>
      </c>
      <c r="K549" s="436"/>
      <c r="L549" s="229" t="s">
        <v>129</v>
      </c>
      <c r="M549" s="229"/>
    </row>
    <row r="550" spans="2:13" x14ac:dyDescent="0.2">
      <c r="B550" s="6" t="s">
        <v>91</v>
      </c>
      <c r="C550" s="74" t="s">
        <v>15</v>
      </c>
      <c r="D550" s="8">
        <v>10.199999999999999</v>
      </c>
      <c r="E550" s="229"/>
      <c r="F550" s="452" t="s">
        <v>91</v>
      </c>
      <c r="G550" s="318" t="s">
        <v>15</v>
      </c>
      <c r="H550" s="453">
        <v>11.7</v>
      </c>
      <c r="I550" s="229"/>
      <c r="J550" s="229" t="s">
        <v>91</v>
      </c>
      <c r="K550" s="436" t="s">
        <v>15</v>
      </c>
      <c r="L550" s="441">
        <v>10.199999999999999</v>
      </c>
      <c r="M550" s="229"/>
    </row>
    <row r="551" spans="2:13" x14ac:dyDescent="0.2">
      <c r="B551" s="6" t="s">
        <v>93</v>
      </c>
      <c r="C551" s="74" t="s">
        <v>15</v>
      </c>
      <c r="D551" s="15">
        <v>11.2</v>
      </c>
      <c r="E551" s="229"/>
      <c r="F551" s="452" t="s">
        <v>93</v>
      </c>
      <c r="G551" s="318" t="s">
        <v>15</v>
      </c>
      <c r="H551" s="454">
        <v>11.7</v>
      </c>
      <c r="I551" s="229"/>
      <c r="J551" s="229" t="s">
        <v>93</v>
      </c>
      <c r="K551" s="436" t="s">
        <v>15</v>
      </c>
      <c r="L551" s="448">
        <v>15.5</v>
      </c>
      <c r="M551" s="229"/>
    </row>
    <row r="552" spans="2:13" x14ac:dyDescent="0.2">
      <c r="B552" s="6" t="s">
        <v>92</v>
      </c>
      <c r="C552" s="74" t="s">
        <v>15</v>
      </c>
      <c r="D552" s="13">
        <v>22.9</v>
      </c>
      <c r="E552" s="229"/>
      <c r="F552" s="452" t="s">
        <v>92</v>
      </c>
      <c r="G552" s="318" t="s">
        <v>15</v>
      </c>
      <c r="H552" s="453">
        <v>28.4</v>
      </c>
      <c r="I552" s="229"/>
      <c r="J552" s="229" t="s">
        <v>92</v>
      </c>
      <c r="K552" s="436" t="s">
        <v>15</v>
      </c>
      <c r="L552" s="441">
        <v>35.1</v>
      </c>
      <c r="M552" s="229"/>
    </row>
    <row r="553" spans="2:13" x14ac:dyDescent="0.2">
      <c r="B553" s="6" t="s">
        <v>17</v>
      </c>
      <c r="C553" s="74" t="s">
        <v>68</v>
      </c>
      <c r="D553" s="8">
        <v>6.5000000000000002E-2</v>
      </c>
      <c r="E553" s="229"/>
      <c r="F553" s="452" t="s">
        <v>17</v>
      </c>
      <c r="G553" s="318" t="s">
        <v>68</v>
      </c>
      <c r="H553" s="453">
        <v>1.3</v>
      </c>
      <c r="I553" s="229"/>
      <c r="J553" s="229" t="s">
        <v>17</v>
      </c>
      <c r="K553" s="436" t="s">
        <v>68</v>
      </c>
      <c r="L553" s="441">
        <v>1.1000000000000001</v>
      </c>
      <c r="M553" s="229"/>
    </row>
    <row r="554" spans="2:13" x14ac:dyDescent="0.2">
      <c r="B554" s="6" t="s">
        <v>85</v>
      </c>
      <c r="C554" s="74" t="s">
        <v>112</v>
      </c>
      <c r="D554" s="8">
        <v>48</v>
      </c>
      <c r="E554" s="229"/>
      <c r="F554" s="452" t="s">
        <v>85</v>
      </c>
      <c r="G554" s="318" t="s">
        <v>112</v>
      </c>
      <c r="H554" s="455">
        <v>88</v>
      </c>
      <c r="I554" s="229"/>
      <c r="J554" s="229" t="s">
        <v>85</v>
      </c>
      <c r="K554" s="436" t="s">
        <v>112</v>
      </c>
      <c r="L554" s="440">
        <v>68</v>
      </c>
      <c r="M554" s="229"/>
    </row>
    <row r="555" spans="2:13" x14ac:dyDescent="0.2">
      <c r="B555" s="6" t="s">
        <v>86</v>
      </c>
      <c r="C555" s="74" t="s">
        <v>87</v>
      </c>
      <c r="D555" s="8">
        <v>4500</v>
      </c>
      <c r="E555" s="229"/>
      <c r="F555" s="452" t="s">
        <v>86</v>
      </c>
      <c r="G555" s="318" t="s">
        <v>87</v>
      </c>
      <c r="H555" s="456">
        <v>4500</v>
      </c>
      <c r="I555" s="229"/>
      <c r="J555" s="229" t="s">
        <v>86</v>
      </c>
      <c r="K555" s="436" t="s">
        <v>87</v>
      </c>
      <c r="L555" s="437">
        <v>4500</v>
      </c>
      <c r="M555" s="229"/>
    </row>
    <row r="556" spans="2:13" x14ac:dyDescent="0.2">
      <c r="B556" s="6" t="s">
        <v>113</v>
      </c>
      <c r="C556" s="74" t="s">
        <v>114</v>
      </c>
      <c r="D556" s="12">
        <f>D554*D555</f>
        <v>216000</v>
      </c>
      <c r="E556" s="229"/>
      <c r="F556" s="452" t="s">
        <v>113</v>
      </c>
      <c r="G556" s="318" t="s">
        <v>114</v>
      </c>
      <c r="H556" s="457">
        <f>H554*H555</f>
        <v>396000</v>
      </c>
      <c r="I556" s="229"/>
      <c r="J556" s="229" t="s">
        <v>113</v>
      </c>
      <c r="K556" s="436" t="s">
        <v>114</v>
      </c>
      <c r="L556" s="446">
        <f>L554*L555</f>
        <v>306000</v>
      </c>
      <c r="M556" s="229"/>
    </row>
    <row r="557" spans="2:13" x14ac:dyDescent="0.2">
      <c r="B557" s="6" t="s">
        <v>115</v>
      </c>
      <c r="C557" s="74" t="s">
        <v>112</v>
      </c>
      <c r="D557" s="12">
        <f>D556/$D$480</f>
        <v>5400</v>
      </c>
      <c r="E557" s="229"/>
      <c r="F557" s="452" t="s">
        <v>115</v>
      </c>
      <c r="G557" s="318" t="s">
        <v>112</v>
      </c>
      <c r="H557" s="457">
        <f>H556/$D$480</f>
        <v>9900</v>
      </c>
      <c r="I557" s="229"/>
      <c r="J557" s="229" t="s">
        <v>115</v>
      </c>
      <c r="K557" s="436" t="s">
        <v>112</v>
      </c>
      <c r="L557" s="446">
        <f>L556/$D$480</f>
        <v>7650</v>
      </c>
      <c r="M557" s="229"/>
    </row>
    <row r="558" spans="2:13" x14ac:dyDescent="0.2">
      <c r="B558" s="6"/>
      <c r="C558" s="74" t="s">
        <v>83</v>
      </c>
      <c r="D558" s="12">
        <f>D557/ft2in^3</f>
        <v>3.125</v>
      </c>
      <c r="E558" s="229"/>
      <c r="F558" s="452"/>
      <c r="G558" s="318" t="s">
        <v>83</v>
      </c>
      <c r="H558" s="457">
        <f>H557/ft2in^3</f>
        <v>5.729166666666667</v>
      </c>
      <c r="I558" s="229"/>
      <c r="J558" s="229"/>
      <c r="K558" s="436" t="s">
        <v>83</v>
      </c>
      <c r="L558" s="446">
        <f>L557/ft2in^3</f>
        <v>4.427083333333333</v>
      </c>
      <c r="M558" s="229"/>
    </row>
    <row r="559" spans="2:13" x14ac:dyDescent="0.2">
      <c r="B559" s="6" t="s">
        <v>116</v>
      </c>
      <c r="C559" s="74"/>
      <c r="D559" s="14">
        <v>1</v>
      </c>
      <c r="E559" s="229"/>
      <c r="F559" s="452" t="s">
        <v>116</v>
      </c>
      <c r="G559" s="318"/>
      <c r="H559" s="458">
        <v>1</v>
      </c>
      <c r="I559" s="229"/>
      <c r="J559" s="229" t="s">
        <v>116</v>
      </c>
      <c r="K559" s="436"/>
      <c r="L559" s="447">
        <v>1</v>
      </c>
      <c r="M559" s="229"/>
    </row>
    <row r="560" spans="2:13" x14ac:dyDescent="0.2">
      <c r="B560" s="6" t="s">
        <v>117</v>
      </c>
      <c r="C560" s="74" t="s">
        <v>83</v>
      </c>
      <c r="D560" s="12">
        <f>D559*D558</f>
        <v>3.125</v>
      </c>
      <c r="E560" s="229"/>
      <c r="F560" s="452" t="s">
        <v>117</v>
      </c>
      <c r="G560" s="318" t="s">
        <v>83</v>
      </c>
      <c r="H560" s="457">
        <f>H559*H558</f>
        <v>5.729166666666667</v>
      </c>
      <c r="I560" s="229"/>
      <c r="J560" s="229" t="s">
        <v>117</v>
      </c>
      <c r="K560" s="436" t="s">
        <v>83</v>
      </c>
      <c r="L560" s="446">
        <f>L559*L558</f>
        <v>4.427083333333333</v>
      </c>
      <c r="M560" s="229"/>
    </row>
    <row r="561" spans="2:13" ht="13.5" thickBot="1" x14ac:dyDescent="0.25">
      <c r="B561" s="6" t="s">
        <v>48</v>
      </c>
      <c r="C561" s="74"/>
      <c r="D561" s="10">
        <f>D560/$D$491</f>
        <v>0.52083333333333337</v>
      </c>
      <c r="E561" s="229"/>
      <c r="F561" s="459" t="s">
        <v>48</v>
      </c>
      <c r="G561" s="460"/>
      <c r="H561" s="461">
        <f>H560/$D$491</f>
        <v>0.95486111111111116</v>
      </c>
      <c r="I561" s="229"/>
      <c r="J561" s="229" t="s">
        <v>48</v>
      </c>
      <c r="K561" s="436"/>
      <c r="L561" s="439">
        <f>L560/$D$491</f>
        <v>0.73784722222222221</v>
      </c>
      <c r="M561" s="229"/>
    </row>
    <row r="562" spans="2:13" ht="13.5" thickTop="1" x14ac:dyDescent="0.2">
      <c r="B562" s="11"/>
      <c r="C562" s="11"/>
      <c r="D562" s="11"/>
      <c r="E562" s="229"/>
      <c r="F562" s="229"/>
      <c r="G562" s="229"/>
      <c r="H562" s="439"/>
      <c r="I562" s="229"/>
      <c r="J562" s="229"/>
      <c r="K562" s="229"/>
      <c r="L562" s="229"/>
      <c r="M562" s="229"/>
    </row>
    <row r="563" spans="2:13" x14ac:dyDescent="0.2">
      <c r="E563" s="229"/>
      <c r="F563" s="229"/>
      <c r="G563" s="229"/>
      <c r="H563" s="229"/>
      <c r="I563" s="229"/>
      <c r="J563" s="229"/>
      <c r="K563" s="229"/>
      <c r="L563" s="229"/>
      <c r="M563" s="229"/>
    </row>
  </sheetData>
  <phoneticPr fontId="2" type="noConversion"/>
  <conditionalFormatting sqref="L307 D112 D108 D387 D287 H345:H346 D420 D321 H235 H244 H274 H219 H321 D354">
    <cfRule type="cellIs" dxfId="9" priority="3" stopIfTrue="1" operator="lessThan">
      <formula>1</formula>
    </cfRule>
  </conditionalFormatting>
  <conditionalFormatting sqref="H288 H230">
    <cfRule type="cellIs" dxfId="8" priority="15" stopIfTrue="1" operator="lessThan">
      <formula>1</formula>
    </cfRule>
  </conditionalFormatting>
  <conditionalFormatting sqref="L111">
    <cfRule type="cellIs" dxfId="7" priority="5" stopIfTrue="1" operator="greaterThan">
      <formula>$L$112</formula>
    </cfRule>
  </conditionalFormatting>
  <conditionalFormatting sqref="L108:L109">
    <cfRule type="cellIs" dxfId="6" priority="7" stopIfTrue="1" operator="greaterThan">
      <formula>$L$110</formula>
    </cfRule>
  </conditionalFormatting>
  <conditionalFormatting sqref="L113">
    <cfRule type="cellIs" dxfId="5" priority="8" stopIfTrue="1" operator="greaterThan">
      <formula>$L$114</formula>
    </cfRule>
  </conditionalFormatting>
  <conditionalFormatting sqref="L115">
    <cfRule type="cellIs" dxfId="4" priority="11" stopIfTrue="1" operator="greaterThan">
      <formula>$L$116*1.1</formula>
    </cfRule>
    <cfRule type="cellIs" dxfId="3" priority="12" stopIfTrue="1" operator="lessThan">
      <formula>$L$116*0.9</formula>
    </cfRule>
  </conditionalFormatting>
  <conditionalFormatting sqref="L106">
    <cfRule type="cellIs" dxfId="2" priority="13" stopIfTrue="1" operator="greaterThan">
      <formula>$L$107</formula>
    </cfRule>
  </conditionalFormatting>
  <conditionalFormatting sqref="H87">
    <cfRule type="cellIs" dxfId="1" priority="4" stopIfTrue="1" operator="lessThan">
      <formula>0</formula>
    </cfRule>
  </conditionalFormatting>
  <conditionalFormatting sqref="D85">
    <cfRule type="cellIs" dxfId="0" priority="23" stopIfTrue="1" operator="lessThan">
      <formula>0.95</formula>
    </cfRule>
  </conditionalFormatting>
  <hyperlinks>
    <hyperlink ref="D91" r:id="rId1"/>
    <hyperlink ref="D114" r:id="rId2"/>
    <hyperlink ref="D142" r:id="rId3"/>
    <hyperlink ref="H357" r:id="rId4"/>
    <hyperlink ref="H248" r:id="rId5"/>
    <hyperlink ref="H371" r:id="rId6"/>
    <hyperlink ref="H324" r:id="rId7"/>
    <hyperlink ref="D290" r:id="rId8"/>
    <hyperlink ref="D257" r:id="rId9"/>
    <hyperlink ref="D357" r:id="rId10"/>
    <hyperlink ref="D324" r:id="rId11"/>
    <hyperlink ref="D390" r:id="rId12"/>
    <hyperlink ref="H290" r:id="rId13"/>
  </hyperlinks>
  <printOptions horizontalCentered="1" gridLines="1"/>
  <pageMargins left="0.75" right="0.75" top="1" bottom="1" header="0.5" footer="0.5"/>
  <pageSetup scale="37" orientation="portrait" r:id="rId14"/>
  <headerFooter alignWithMargins="0">
    <oddHeader>&amp;F</oddHeader>
    <oddFooter>Page &amp;P of &amp;N</oddFooter>
  </headerFooter>
  <drawing r:id="rId15"/>
  <legacyDrawing r:id="rId16"/>
  <oleObjects>
    <mc:AlternateContent xmlns:mc="http://schemas.openxmlformats.org/markup-compatibility/2006">
      <mc:Choice Requires="x14">
        <oleObject progId="Visio.Drawing.11" shapeId="1029" r:id="rId17">
          <objectPr defaultSize="0" autoPict="0" r:id="rId18">
            <anchor moveWithCells="1">
              <from>
                <xdr:col>1</xdr:col>
                <xdr:colOff>542925</xdr:colOff>
                <xdr:row>1</xdr:row>
                <xdr:rowOff>28575</xdr:rowOff>
              </from>
              <to>
                <xdr:col>1</xdr:col>
                <xdr:colOff>904875</xdr:colOff>
                <xdr:row>3</xdr:row>
                <xdr:rowOff>142875</xdr:rowOff>
              </to>
            </anchor>
          </objectPr>
        </oleObject>
      </mc:Choice>
      <mc:Fallback>
        <oleObject progId="Visio.Drawing.11" shapeId="1029" r:id="rId17"/>
      </mc:Fallback>
    </mc:AlternateContent>
    <mc:AlternateContent xmlns:mc="http://schemas.openxmlformats.org/markup-compatibility/2006">
      <mc:Choice Requires="x14">
        <oleObject progId="Visio.Drawing.11" shapeId="1030" r:id="rId19">
          <objectPr defaultSize="0" autoPict="0" r:id="rId20">
            <anchor moveWithCells="1">
              <from>
                <xdr:col>1</xdr:col>
                <xdr:colOff>142875</xdr:colOff>
                <xdr:row>1</xdr:row>
                <xdr:rowOff>38100</xdr:rowOff>
              </from>
              <to>
                <xdr:col>1</xdr:col>
                <xdr:colOff>485775</xdr:colOff>
                <xdr:row>3</xdr:row>
                <xdr:rowOff>142875</xdr:rowOff>
              </to>
            </anchor>
          </objectPr>
        </oleObject>
      </mc:Choice>
      <mc:Fallback>
        <oleObject progId="Visio.Drawing.11" shapeId="1030" r:id="rId19"/>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C38" sqref="C38:C39"/>
    </sheetView>
  </sheetViews>
  <sheetFormatPr defaultRowHeight="12.75" x14ac:dyDescent="0.2"/>
  <cols>
    <col min="2" max="2" width="43.140625" customWidth="1"/>
  </cols>
  <sheetData>
    <row r="1" spans="1:2" x14ac:dyDescent="0.2">
      <c r="A1" t="s">
        <v>59</v>
      </c>
      <c r="B1" t="s">
        <v>60</v>
      </c>
    </row>
    <row r="2" spans="1:2" x14ac:dyDescent="0.2">
      <c r="A2" t="s">
        <v>242</v>
      </c>
      <c r="B2" t="s">
        <v>243</v>
      </c>
    </row>
    <row r="3" spans="1:2" x14ac:dyDescent="0.2">
      <c r="A3" t="s">
        <v>29</v>
      </c>
      <c r="B3" t="s">
        <v>35</v>
      </c>
    </row>
    <row r="4" spans="1:2" x14ac:dyDescent="0.2">
      <c r="A4" t="s">
        <v>52</v>
      </c>
      <c r="B4" t="s">
        <v>57</v>
      </c>
    </row>
    <row r="5" spans="1:2" x14ac:dyDescent="0.2">
      <c r="A5" t="s">
        <v>30</v>
      </c>
      <c r="B5" t="s">
        <v>34</v>
      </c>
    </row>
    <row r="6" spans="1:2" x14ac:dyDescent="0.2">
      <c r="A6" t="s">
        <v>389</v>
      </c>
      <c r="B6" t="s">
        <v>392</v>
      </c>
    </row>
    <row r="7" spans="1:2" x14ac:dyDescent="0.2">
      <c r="A7" t="s">
        <v>32</v>
      </c>
      <c r="B7" t="s">
        <v>33</v>
      </c>
    </row>
    <row r="8" spans="1:2" x14ac:dyDescent="0.2">
      <c r="A8" t="s">
        <v>31</v>
      </c>
      <c r="B8" t="s">
        <v>36</v>
      </c>
    </row>
    <row r="9" spans="1:2" x14ac:dyDescent="0.2">
      <c r="A9" t="s">
        <v>49</v>
      </c>
      <c r="B9" t="s">
        <v>54</v>
      </c>
    </row>
    <row r="10" spans="1:2" x14ac:dyDescent="0.2">
      <c r="A10" t="s">
        <v>397</v>
      </c>
      <c r="B10" t="s">
        <v>400</v>
      </c>
    </row>
    <row r="11" spans="1:2" x14ac:dyDescent="0.2">
      <c r="A11" t="s">
        <v>78</v>
      </c>
      <c r="B11" t="s">
        <v>79</v>
      </c>
    </row>
    <row r="12" spans="1:2" x14ac:dyDescent="0.2">
      <c r="A12" t="s">
        <v>53</v>
      </c>
      <c r="B12" t="s">
        <v>58</v>
      </c>
    </row>
    <row r="13" spans="1:2" x14ac:dyDescent="0.2">
      <c r="A13" t="s">
        <v>448</v>
      </c>
      <c r="B13" t="s">
        <v>449</v>
      </c>
    </row>
    <row r="14" spans="1:2" x14ac:dyDescent="0.2">
      <c r="A14" t="s">
        <v>388</v>
      </c>
      <c r="B14" t="s">
        <v>393</v>
      </c>
    </row>
    <row r="15" spans="1:2" x14ac:dyDescent="0.2">
      <c r="A15" t="s">
        <v>51</v>
      </c>
      <c r="B15" t="s">
        <v>56</v>
      </c>
    </row>
    <row r="16" spans="1:2" x14ac:dyDescent="0.2">
      <c r="A16" t="s">
        <v>50</v>
      </c>
      <c r="B16" t="s">
        <v>55</v>
      </c>
    </row>
    <row r="17" spans="1:2" x14ac:dyDescent="0.2">
      <c r="A17" t="s">
        <v>465</v>
      </c>
      <c r="B17" t="s">
        <v>461</v>
      </c>
    </row>
    <row r="18" spans="1:2" x14ac:dyDescent="0.2">
      <c r="A18" t="s">
        <v>398</v>
      </c>
      <c r="B18" t="s">
        <v>401</v>
      </c>
    </row>
    <row r="19" spans="1:2" x14ac:dyDescent="0.2">
      <c r="A19" t="s">
        <v>390</v>
      </c>
      <c r="B19" t="s">
        <v>391</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Rev</vt:lpstr>
      <vt:lpstr>Mass</vt:lpstr>
      <vt:lpstr>Dim</vt:lpstr>
      <vt:lpstr>Acyn</vt:lpstr>
      <vt:lpstr>deg2rad</vt:lpstr>
      <vt:lpstr>dscl</vt:lpstr>
      <vt:lpstr>ft2in</vt:lpstr>
      <vt:lpstr>g</vt:lpstr>
      <vt:lpstr>gcc2kgcm</vt:lpstr>
      <vt:lpstr>gcs2kgms</vt:lpstr>
      <vt:lpstr>in2cm</vt:lpstr>
      <vt:lpstr>kg2lb</vt:lpstr>
      <vt:lpstr>lbf2N</vt:lpstr>
      <vt:lpstr>mscl</vt:lpstr>
      <vt:lpstr>mu</vt:lpstr>
      <vt:lpstr>Dim!Print_Area</vt:lpstr>
      <vt:lpstr>psi2Pa</vt:lpstr>
      <vt:lpstr>R_geo</vt:lpstr>
      <vt:lpstr>rad2deg</vt:lpstr>
      <vt:lpstr>Re</vt:lpstr>
      <vt:lpstr>rpm2rps</vt:lpstr>
      <vt:lpstr>tscl</vt:lpstr>
      <vt:lpstr>w_geo</vt:lpstr>
    </vt:vector>
  </TitlesOfParts>
  <Company>China Gym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Jian-Feng Shi</dc:creator>
  <cp:lastModifiedBy>Kirk</cp:lastModifiedBy>
  <cp:lastPrinted>2015-03-07T10:32:21Z</cp:lastPrinted>
  <dcterms:created xsi:type="dcterms:W3CDTF">2015-03-07T03:00:15Z</dcterms:created>
  <dcterms:modified xsi:type="dcterms:W3CDTF">2017-02-06T03:32:15Z</dcterms:modified>
</cp:coreProperties>
</file>